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defaultThemeVersion="124226"/>
  <mc:AlternateContent xmlns:mc="http://schemas.openxmlformats.org/markup-compatibility/2006">
    <mc:Choice Requires="x15">
      <x15ac:absPath xmlns:x15ac="http://schemas.microsoft.com/office/spreadsheetml/2010/11/ac" url="C:\Users\TorunEgganSkjerve\Downloads\"/>
    </mc:Choice>
  </mc:AlternateContent>
  <xr:revisionPtr revIDLastSave="0" documentId="13_ncr:1_{A3592419-A799-48BE-BD6F-6A5BD8043554}" xr6:coauthVersionLast="47" xr6:coauthVersionMax="47" xr10:uidLastSave="{00000000-0000-0000-0000-000000000000}"/>
  <workbookProtection workbookAlgorithmName="SHA-512" workbookHashValue="27gNH/0MLcbzHcfsof26kZGrDmDlA+ivfk5RlrLD6r5xPlt++Zj3rBD/4wogaRMSDfMoLqO4Y0xlzijSlBXJAg==" workbookSaltValue="gRO/gk6xwrJ2IP9cukxnKA==" workbookSpinCount="100000" lockStructure="1"/>
  <bookViews>
    <workbookView xWindow="28680" yWindow="-120" windowWidth="29040" windowHeight="15720" tabRatio="778" xr2:uid="{00000000-000D-0000-FFFF-FFFF00000000}"/>
  </bookViews>
  <sheets>
    <sheet name="Instructions" sheetId="12" r:id="rId1"/>
    <sheet name="Assessment Details" sheetId="3" r:id="rId2"/>
    <sheet name="Pre-Assessment Estimator" sheetId="5" r:id="rId3"/>
    <sheet name="Credit list" sheetId="22" state="hidden" r:id="rId4"/>
    <sheet name="Manuell filtrering og justering" sheetId="16" state="hidden" r:id="rId5"/>
    <sheet name="Poeng" sheetId="13" state="hidden" r:id="rId6"/>
    <sheet name="Summary of Building Performance" sheetId="11" r:id="rId7"/>
    <sheet name="PAE available for copy" sheetId="21" r:id="rId8"/>
    <sheet name="Version Control" sheetId="8" r:id="rId9"/>
    <sheet name="Sheet1" sheetId="17" r:id="rId10"/>
    <sheet name="Sheet2" sheetId="18" r:id="rId11"/>
    <sheet name="Sheet3" sheetId="19" r:id="rId12"/>
    <sheet name="Logg" sheetId="23" state="hidden" r:id="rId13"/>
  </sheets>
  <definedNames>
    <definedName name="_xlnm._FilterDatabase" localSheetId="7" hidden="1">'PAE available for copy'!$A$9:$AF$227</definedName>
    <definedName name="_xlnm._FilterDatabase" localSheetId="5" hidden="1">Poeng!$A$8:$CL$278</definedName>
    <definedName name="_xlnm._FilterDatabase" localSheetId="2" hidden="1">'Pre-Assessment Estimator'!$A$9:$AF$228</definedName>
    <definedName name="_PSc1">'Assessment Details'!$P$70</definedName>
    <definedName name="_PSc2">'Assessment Details'!#REF!</definedName>
    <definedName name="Achieved_const">'Summary of Building Performance'!$H$46</definedName>
    <definedName name="Achieved_design">'Summary of Building Performance'!$F$46</definedName>
    <definedName name="Achieved_initial">'Summary of Building Performance'!$D$46</definedName>
    <definedName name="AD_Add01">'Assessment Details'!$C$14</definedName>
    <definedName name="AD_Add02">'Assessment Details'!$C$15</definedName>
    <definedName name="AD_Add04">'Assessment Details'!$C$17</definedName>
    <definedName name="AD_Architect">'Assessment Details'!$C$25</definedName>
    <definedName name="AD_assessor">'Assessment Details'!$C$8</definedName>
    <definedName name="AD_Assessor_org">'Assessment Details'!$C$9</definedName>
    <definedName name="AD_Banner">'Assessment Details'!$B$2</definedName>
    <definedName name="AD_BREEAM_stage">'Assessment Details'!$Q$5</definedName>
    <definedName name="AD_BREEAM_version">'Assessment Details'!$Q$8</definedName>
    <definedName name="AD_BREEAMAP">'Assessment Details'!$C$28</definedName>
    <definedName name="AD_Buildserve">'Assessment Details'!$C$27</definedName>
    <definedName name="AD_Builduser">'Assessment Details'!$C$7</definedName>
    <definedName name="AD_catlevel">'Assessment Details'!#REF!</definedName>
    <definedName name="AD_catlevel01">'Assessment Details'!$Q$31</definedName>
    <definedName name="AD_catlevel02">'Assessment Details'!$Q$32</definedName>
    <definedName name="AD_catlevel03">'Assessment Details'!$Q$33</definedName>
    <definedName name="AD_client">'Assessment Details'!$C$6</definedName>
    <definedName name="AD_Contractor">'Assessment Details'!$C$24</definedName>
    <definedName name="AD_Developer">'Assessment Details'!$C$23</definedName>
    <definedName name="AD_Energyload">'Assessment Details'!$F$22</definedName>
    <definedName name="AD_GIA">'Assessment Details'!$F$11</definedName>
    <definedName name="AD_heat">'Assessment Details'!$F$15</definedName>
    <definedName name="AD_labcat_list">'Assessment Details'!$Q$31:$Q$34</definedName>
    <definedName name="AD_Labsize">'Assessment Details'!$F$21</definedName>
    <definedName name="AD_Labsize_list">'Assessment Details'!$Q$26:$Q$29</definedName>
    <definedName name="AD_Labsize01">'Assessment Details'!$Q$27</definedName>
    <definedName name="AD_Labsize02">'Assessment Details'!$Q$28</definedName>
    <definedName name="AD_Labsize03">'Assessment Details'!$Q$29</definedName>
    <definedName name="AD_labsize04">'Assessment Details'!$Q$26</definedName>
    <definedName name="AD_MultiRes_option01a">'Assessment Details'!$P$92</definedName>
    <definedName name="AD_MultiRes_option01b">'Assessment Details'!$P$93</definedName>
    <definedName name="AD_Multitenant">'Assessment Details'!$Q$42</definedName>
    <definedName name="AD_NIFA">'Assessment Details'!$F$12</definedName>
    <definedName name="AD_no">'Assessment Details'!$Q$23</definedName>
    <definedName name="AD_nolab" localSheetId="7">'Assessment Details'!#REF!</definedName>
    <definedName name="AD_nolab">'Assessment Details'!#REF!</definedName>
    <definedName name="AD_option_na">'Assessment Details'!$Q$24</definedName>
    <definedName name="AD_Other01">'Assessment Details'!$C$29</definedName>
    <definedName name="AD_Other02">'Assessment Details'!$C$30</definedName>
    <definedName name="AD_other03">'Assessment Details'!$C$31</definedName>
    <definedName name="AD_Other04">'Assessment Details'!$C$32</definedName>
    <definedName name="AD_Ozoneleg">'Assessment Details'!$P$69</definedName>
    <definedName name="AD_p_zone0">'Assessment Details'!$T$87</definedName>
    <definedName name="AD_p_zone1">'Assessment Details'!$T$88</definedName>
    <definedName name="AD_P_zone2">'Assessment Details'!$T$89</definedName>
    <definedName name="AD_P_Zone3">'Assessment Details'!$T$90</definedName>
    <definedName name="AD_Projman">'Assessment Details'!$C$26</definedName>
    <definedName name="AD_ref">'Assessment Details'!$C$5</definedName>
    <definedName name="AD_refrig">'Assessment Details'!$F$19</definedName>
    <definedName name="AD_stage_list">'Assessment Details'!$Q$18:$Q$19</definedName>
    <definedName name="AD_statement03" localSheetId="7">'Assessment Details'!#REF!</definedName>
    <definedName name="AD_statement03">'Assessment Details'!#REF!</definedName>
    <definedName name="AD_Statement04">'Assessment Details'!$Q$44</definedName>
    <definedName name="AD_statement05">'Assessment Details'!$Q$45</definedName>
    <definedName name="AD_statement06">'Assessment Details'!$Q$46</definedName>
    <definedName name="AD_tra01type">'Assessment Details'!$P$64</definedName>
    <definedName name="AD_Trans">'Assessment Details'!$F$20</definedName>
    <definedName name="AD_type_list">'Assessment Details'!$L$5:$L$8</definedName>
    <definedName name="AD_version">'Assessment Details'!$R$82</definedName>
    <definedName name="AD_Yes">'Assessment Details'!$Q$22</definedName>
    <definedName name="AD_YesNo">'Assessment Details'!$Q$22:$Q$23</definedName>
    <definedName name="AD_YesNo_list">'Assessment Details'!$Q$22:$Q$24</definedName>
    <definedName name="ADAS0">'Assessment Details'!$R$80</definedName>
    <definedName name="ADAS01">'Assessment Details'!$Q$18</definedName>
    <definedName name="ADAS02">'Assessment Details'!$Q$19</definedName>
    <definedName name="ADBN">'Assessment Details'!$C$13</definedName>
    <definedName name="ADBT_sub02">'Assessment Details'!$O$5</definedName>
    <definedName name="ADBT_sub03">'Assessment Details'!$O$6</definedName>
    <definedName name="ADBT_sub04">'Assessment Details'!$O$7</definedName>
    <definedName name="ADBT_sub05">'Assessment Details'!$O$8</definedName>
    <definedName name="ADBT_sub06">'Assessment Details'!$O$9</definedName>
    <definedName name="ADBT_sub07">'Assessment Details'!$O$10</definedName>
    <definedName name="ADBT_sub08">'Assessment Details'!$O$11</definedName>
    <definedName name="ADBT_sub09">'Assessment Details'!$O$12</definedName>
    <definedName name="ADBT_sub10">'Assessment Details'!$O$13</definedName>
    <definedName name="ADBT_sub11">'Assessment Details'!$O$14</definedName>
    <definedName name="ADBT_sub12">'Assessment Details'!$O$15</definedName>
    <definedName name="ADBT_sub13">'Assessment Details'!$O$16</definedName>
    <definedName name="ADBT_sub14">'Assessment Details'!$O$17</definedName>
    <definedName name="ADBT_sub15">'Assessment Details'!$O$18</definedName>
    <definedName name="ADBT_sub16">'Assessment Details'!$O$19</definedName>
    <definedName name="ADBT_sub17">'Assessment Details'!$O$20</definedName>
    <definedName name="ADBT0">'Assessment Details'!$F$5</definedName>
    <definedName name="ADBT1">'Assessment Details'!$L$5</definedName>
    <definedName name="ADBT12">'Assessment Details'!$L$9</definedName>
    <definedName name="ADBT13">'Assessment Details'!$L$10</definedName>
    <definedName name="ADBT14">'Assessment Details'!$L$11</definedName>
    <definedName name="ADBT15">'Assessment Details'!$L$12</definedName>
    <definedName name="ADBT16">'Assessment Details'!$L$13</definedName>
    <definedName name="ADBT17">'Assessment Details'!$L$14</definedName>
    <definedName name="ADBT18">'Assessment Details'!$L$15</definedName>
    <definedName name="ADBT19">'Assessment Details'!$L$16</definedName>
    <definedName name="ADBT2">'Assessment Details'!$L$6</definedName>
    <definedName name="ADBT20">'Assessment Details'!$L$17</definedName>
    <definedName name="ADBT3">'Assessment Details'!$L$7</definedName>
    <definedName name="ADBT8">'Assessment Details'!$L$8</definedName>
    <definedName name="ADBT9">'Assessment Details'!$L$5</definedName>
    <definedName name="ADFume_option01">'Assessment Details'!$P$43</definedName>
    <definedName name="ADIND_option02">'Assessment Details'!$F$16</definedName>
    <definedName name="ADIND_option02n">'Assessment Details'!$H$16</definedName>
    <definedName name="ADIND_option03">'Assessment Details'!$F$17</definedName>
    <definedName name="ADPT">'Assessment Details'!$F$7</definedName>
    <definedName name="ADPT01">'Assessment Details'!$Q$11</definedName>
    <definedName name="ADPT02">'Assessment Details'!$Q$13</definedName>
    <definedName name="ADPT03">'Assessment Details'!$Q$14</definedName>
    <definedName name="ADPT04">'Assessment Details'!$Q$15</definedName>
    <definedName name="ais_ja">Poeng!$G$4</definedName>
    <definedName name="AIS_NA">Poeng!$G$6</definedName>
    <definedName name="ais_nei">Poeng!$G$5</definedName>
    <definedName name="AIS_statement09" localSheetId="7">'Assessment Details'!#REF!</definedName>
    <definedName name="AIS_statement09">'Assessment Details'!#REF!</definedName>
    <definedName name="AIS_statement29">'Assessment Details'!$B$37</definedName>
    <definedName name="BP_01">'Summary of Building Performance'!$C$36</definedName>
    <definedName name="BP_02">'Summary of Building Performance'!$C$37</definedName>
    <definedName name="BP_03">'Summary of Building Performance'!$C$38</definedName>
    <definedName name="BP_04">'Summary of Building Performance'!$C$39</definedName>
    <definedName name="BP_05">'Summary of Building Performance'!$C$40</definedName>
    <definedName name="BP_06">'Summary of Building Performance'!$C$41</definedName>
    <definedName name="BP_07">'Summary of Building Performance'!$C$42</definedName>
    <definedName name="BP_08">'Summary of Building Performance'!$C$43</definedName>
    <definedName name="BP_09">'Summary of Building Performance'!$C$44</definedName>
    <definedName name="BP_10">'Summary of Building Performance'!$C$45</definedName>
    <definedName name="BP_11">'Summary of Building Performance'!$D$36</definedName>
    <definedName name="BP_12">'Summary of Building Performance'!$D$37</definedName>
    <definedName name="BP_13">'Summary of Building Performance'!$D$38</definedName>
    <definedName name="BP_14">'Summary of Building Performance'!$D$39</definedName>
    <definedName name="BP_15">'Summary of Building Performance'!$D$40</definedName>
    <definedName name="BP_16">'Summary of Building Performance'!$D$41</definedName>
    <definedName name="BP_18">'Summary of Building Performance'!$D$42</definedName>
    <definedName name="BP_19">'Summary of Building Performance'!$D$43</definedName>
    <definedName name="BP_20">'Summary of Building Performance'!$D$44</definedName>
    <definedName name="BP_21">'Summary of Building Performance'!$D$45</definedName>
    <definedName name="BP_22">'Summary of Building Performance'!$E$36</definedName>
    <definedName name="BP_23">'Summary of Building Performance'!$E$37</definedName>
    <definedName name="BP_24">'Summary of Building Performance'!$E$38</definedName>
    <definedName name="BP_25">'Summary of Building Performance'!$E$39</definedName>
    <definedName name="BP_26">'Summary of Building Performance'!$E$40</definedName>
    <definedName name="BP_27">'Summary of Building Performance'!$E$41</definedName>
    <definedName name="BP_28">'Summary of Building Performance'!$E$42</definedName>
    <definedName name="BP_29">'Summary of Building Performance'!$E$43</definedName>
    <definedName name="BP_30">'Summary of Building Performance'!$E$44</definedName>
    <definedName name="BP_31">'Summary of Building Performance'!$E$45</definedName>
    <definedName name="BP_BREEAMRating">Poeng!$BE$264</definedName>
    <definedName name="BP_Energy_score">'Summary of Building Performance'!$K$38</definedName>
    <definedName name="BP_Innovation_score">'Summary of Building Performance'!$K$45</definedName>
    <definedName name="BP_LUE_score">'Summary of Building Performance'!$K$43</definedName>
    <definedName name="BP_Man_score">'Summary of Building Performance'!$K$36</definedName>
    <definedName name="BP_Materials_score">'Summary of Building Performance'!$K$41</definedName>
    <definedName name="BP_MinStandards">Poeng!$BE$259</definedName>
    <definedName name="BP_MinStandards_const">Poeng!$BK$259</definedName>
    <definedName name="BP_MinStandards_design">Poeng!$BH$259</definedName>
    <definedName name="BP_Trans_score">'Summary of Building Performance'!$K$39</definedName>
    <definedName name="BP_Waste_Score">'Summary of Building Performance'!$K$42</definedName>
    <definedName name="BP_Water_score">'Summary of Building Performance'!$K$40</definedName>
    <definedName name="BRK_Banner" localSheetId="7">'PAE available for copy'!$E$1</definedName>
    <definedName name="BRK_Banner">'Pre-Assessment Estimator'!$E$1</definedName>
    <definedName name="Ene_01">Poeng!$E$69</definedName>
    <definedName name="Ene_02">Poeng!$E$75</definedName>
    <definedName name="Ene_03">Poeng!$E$79</definedName>
    <definedName name="Ene_04">Poeng!$E$82</definedName>
    <definedName name="Ene_05">Poeng!$E$83</definedName>
    <definedName name="Ene_06">Poeng!$E$86</definedName>
    <definedName name="Ene_07">Poeng!$E$90</definedName>
    <definedName name="Ene_08">Poeng!$E$93</definedName>
    <definedName name="Ene_09">Poeng!$E$95</definedName>
    <definedName name="Ene_23">Poeng!$E$96</definedName>
    <definedName name="Ene_c_user">Poeng!$AK$97</definedName>
    <definedName name="Ene_cont_tot">Poeng!$AE$97</definedName>
    <definedName name="Ene_Credits">Poeng!$AB$97</definedName>
    <definedName name="Ene_d_user">Poeng!$AJ$97</definedName>
    <definedName name="Ene_tot_user">Poeng!$AI$97</definedName>
    <definedName name="Ene_Weight">'Summary of Building Performance'!$J$38</definedName>
    <definedName name="Ene01_27">Poeng!$BT$311</definedName>
    <definedName name="Ene01_28">Poeng!$BE$69</definedName>
    <definedName name="Ene01_41">Poeng!$AD$69</definedName>
    <definedName name="Ene01_42">Poeng!$AE$69</definedName>
    <definedName name="Ene01_credits">Poeng!$AB$69</definedName>
    <definedName name="Ene01_Crit1">Poeng!$E$239</definedName>
    <definedName name="Ene01_Crit1_credits">Poeng!$AB$239</definedName>
    <definedName name="Ene01_minstd">Poeng!$BE$239</definedName>
    <definedName name="Ene01_tot">Poeng!$BS$311</definedName>
    <definedName name="Ene01_user">Poeng!$AI$69</definedName>
    <definedName name="Ene02_10">Poeng!$AD$75</definedName>
    <definedName name="Ene02_11">Poeng!$BT$312</definedName>
    <definedName name="Ene02_12">Poeng!$BE$75</definedName>
    <definedName name="Ene02_13">Poeng!$AE$75</definedName>
    <definedName name="Ene02_credits">Poeng!$AB$75</definedName>
    <definedName name="Ene02_tot">Poeng!$BS$312</definedName>
    <definedName name="Ene02_user">Poeng!$AI$75</definedName>
    <definedName name="Ene03_05">Poeng!$AD$79</definedName>
    <definedName name="Ene03_06">Poeng!$AE$79</definedName>
    <definedName name="Ene03_credits">Poeng!$AB$79</definedName>
    <definedName name="Ene03_minstd">Poeng!$BE$79</definedName>
    <definedName name="Ene03_tot" localSheetId="7">Poeng!#REF!</definedName>
    <definedName name="Ene03_tot">Poeng!#REF!</definedName>
    <definedName name="Ene03_user">Poeng!$AI$79</definedName>
    <definedName name="Ene04_15">Poeng!$BS$316</definedName>
    <definedName name="Ene04_16">Poeng!$BE$82</definedName>
    <definedName name="Ene04_19">Poeng!$AD$82</definedName>
    <definedName name="Ene04_20">Poeng!$AE$82</definedName>
    <definedName name="Ene04_credits">Poeng!$AB$82</definedName>
    <definedName name="Ene04_tot">Poeng!$BR$316</definedName>
    <definedName name="Ene04_user">Poeng!$AI$82</definedName>
    <definedName name="Ene05_14">Poeng!$BS$83</definedName>
    <definedName name="Ene05_15">Poeng!$BE$83</definedName>
    <definedName name="Ene05_20">Poeng!$AD$83</definedName>
    <definedName name="Ene05_21">Poeng!$AE$83</definedName>
    <definedName name="Ene05_credits">Poeng!$AB$83</definedName>
    <definedName name="Ene05_tot">Poeng!$BR$83</definedName>
    <definedName name="Ene05_user">Poeng!$AI$83</definedName>
    <definedName name="Ene06_11">Poeng!$AD$86</definedName>
    <definedName name="Ene06_12">Poeng!$AE$86</definedName>
    <definedName name="Ene06_credits">Poeng!$AB$86</definedName>
    <definedName name="Ene06_minstd">Poeng!$BE$86</definedName>
    <definedName name="Ene06_tot">Poeng!$BR$86</definedName>
    <definedName name="Ene06_user">Poeng!$AI$86</definedName>
    <definedName name="Ene07_24">Poeng!$AD$90</definedName>
    <definedName name="Ene07_25">Poeng!$AE$90</definedName>
    <definedName name="Ene07_credits">Poeng!$AB$90</definedName>
    <definedName name="Ene07_minstd">Poeng!$BE$90</definedName>
    <definedName name="Ene07_tot">Poeng!$BR$90</definedName>
    <definedName name="Ene07_user">Poeng!$AI$90</definedName>
    <definedName name="Ene08_27">Poeng!$AD$93</definedName>
    <definedName name="Ene08_29">Poeng!$AE$93</definedName>
    <definedName name="Ene08_credits">Poeng!$AB$93</definedName>
    <definedName name="Ene08_minstd">Poeng!$BE$93</definedName>
    <definedName name="Ene08_tot">Poeng!$BR$93</definedName>
    <definedName name="Ene08_user">Poeng!$AI$93</definedName>
    <definedName name="Ene09_07">Poeng!$AD$95</definedName>
    <definedName name="Ene09_10">Poeng!$AE$95</definedName>
    <definedName name="Ene09_credits">Poeng!$AB$95</definedName>
    <definedName name="Ene09_minstd">Poeng!$BE$95</definedName>
    <definedName name="Ene09_tot">Poeng!$BR$95</definedName>
    <definedName name="Ene09_user">Poeng!$AI$95</definedName>
    <definedName name="Ene23_cont">Poeng!$AE$96</definedName>
    <definedName name="Ene23_credits">Poeng!$AB$96</definedName>
    <definedName name="Ene23_minstd">Poeng!$BE$96</definedName>
    <definedName name="Ene23_user">Poeng!$AI$96</definedName>
    <definedName name="Hea_01">Poeng!$E$39</definedName>
    <definedName name="Hea_02">Poeng!$E$46</definedName>
    <definedName name="Hea_03">Poeng!$E$51</definedName>
    <definedName name="Hea_04">Poeng!$E$55</definedName>
    <definedName name="Hea_05">Poeng!$E$56</definedName>
    <definedName name="Hea_06">Poeng!$E$59</definedName>
    <definedName name="Hea_07">Poeng!$E$62</definedName>
    <definedName name="Hea_08">Poeng!$E$63</definedName>
    <definedName name="Hea_09">Poeng!$E$65</definedName>
    <definedName name="Hea_cont_tot">Poeng!$AE$66</definedName>
    <definedName name="Hea_Credits">Poeng!$AB$66</definedName>
    <definedName name="Hea_Weight">'Summary of Building Performance'!$J$37</definedName>
    <definedName name="Hea01_06" localSheetId="7">Poeng!#REF!</definedName>
    <definedName name="Hea01_06">Poeng!#REF!</definedName>
    <definedName name="Hea01_25" localSheetId="7">Poeng!#REF!</definedName>
    <definedName name="Hea01_25">Poeng!#REF!</definedName>
    <definedName name="Hea01_26">Poeng!$AD$39</definedName>
    <definedName name="Hea01_27">Poeng!$AE$39</definedName>
    <definedName name="Hea01_credits">Poeng!$AB$39</definedName>
    <definedName name="Hea01_minstd">Poeng!$BE$39</definedName>
    <definedName name="Hea01_tot" localSheetId="7">Poeng!#REF!</definedName>
    <definedName name="Hea01_tot">Poeng!#REF!</definedName>
    <definedName name="Hea01_user">Poeng!$AI$39</definedName>
    <definedName name="Hea02_25">Poeng!$AD$46</definedName>
    <definedName name="Hea02_26">Poeng!$AE$46</definedName>
    <definedName name="Hea02_credits">Poeng!$AB$46</definedName>
    <definedName name="Hea02_Crit1">Poeng!$E$236</definedName>
    <definedName name="Hea02_Crit1_cont">Poeng!$AE$236</definedName>
    <definedName name="Hea02_Crit1_credits">Poeng!$AB$236</definedName>
    <definedName name="Hea02_minst_crit">Poeng!$BE$236</definedName>
    <definedName name="Hea02_minstd">Poeng!$BE$46</definedName>
    <definedName name="Hea02_tot">Poeng!$BS$296</definedName>
    <definedName name="Hea02_user">Poeng!$AI$46</definedName>
    <definedName name="Hea03_09">Poeng!$AD$51</definedName>
    <definedName name="Hea03_10">Poeng!$BT$297</definedName>
    <definedName name="Hea03_11">Poeng!$BE$51</definedName>
    <definedName name="Hea03_contr">Poeng!$AE$51</definedName>
    <definedName name="Hea03_credits">Poeng!$AB$51</definedName>
    <definedName name="Hea03_tot">Poeng!$BS$297</definedName>
    <definedName name="Hea03_user">Poeng!$AI$51</definedName>
    <definedName name="Hea04_10">Poeng!$BT$298</definedName>
    <definedName name="Hea04_11">Poeng!$BE$55</definedName>
    <definedName name="Hea04_12">Poeng!$AD$55</definedName>
    <definedName name="Hea04_13">Poeng!$AE$55</definedName>
    <definedName name="Hea04_credits">Poeng!$AB$55</definedName>
    <definedName name="Hea04_tot">Poeng!$BS$298</definedName>
    <definedName name="Hea04_user">Poeng!$AI$55</definedName>
    <definedName name="Hea05_07">Poeng!$AD$56</definedName>
    <definedName name="Hea05_08">Poeng!$AE$56</definedName>
    <definedName name="Hea05_credits">Poeng!$AB$56</definedName>
    <definedName name="Hea05_minstd">Poeng!$BE$56</definedName>
    <definedName name="Hea05_tot">Poeng!$BS$300</definedName>
    <definedName name="Hea05_user">Poeng!$AI$56</definedName>
    <definedName name="Hea06_07">Poeng!$AD$59</definedName>
    <definedName name="Hea06_contr">Poeng!$AE$59</definedName>
    <definedName name="Hea06_credits">Poeng!$AB$59</definedName>
    <definedName name="Hea06_minstd">Poeng!$BE$59</definedName>
    <definedName name="Hea06_tot">Poeng!$BS$301</definedName>
    <definedName name="Hea06_user">Poeng!$AI$59</definedName>
    <definedName name="Hea07_07">Poeng!$AD$62</definedName>
    <definedName name="Hea07_contr">Poeng!$AE$62</definedName>
    <definedName name="Hea07_Credits">Poeng!$AB$62</definedName>
    <definedName name="Hea07_minstd">Poeng!$BE$62</definedName>
    <definedName name="Hea07_Tot">Poeng!$BS$303</definedName>
    <definedName name="Hea07_user">Poeng!$AI$62</definedName>
    <definedName name="Hea08_07">Poeng!$AD$63</definedName>
    <definedName name="Hea08_contr">Poeng!$AE$63</definedName>
    <definedName name="Hea08_Credits">Poeng!$AB$63</definedName>
    <definedName name="Hea08_minstd">Poeng!$BE$63</definedName>
    <definedName name="Hea08_tot">Poeng!$BS$304</definedName>
    <definedName name="Hea08_user">Poeng!$AI$63</definedName>
    <definedName name="Hea09_cont">Poeng!$AE$65</definedName>
    <definedName name="Hea09_Credits">Poeng!$AB$65</definedName>
    <definedName name="Hea09_minstd">Poeng!$BE$65</definedName>
    <definedName name="Hea09_user">Poeng!$AI$65</definedName>
    <definedName name="HUG" localSheetId="7">'PAE available for copy'!$AO$15</definedName>
    <definedName name="HUG">'Pre-Assessment Estimator'!$AT$35</definedName>
    <definedName name="HW_c_user">Poeng!$AK$66</definedName>
    <definedName name="HW_d_user">Poeng!$AJ$66</definedName>
    <definedName name="HW_tot_user">Poeng!$AI$66</definedName>
    <definedName name="Inn_01">Poeng!$E$217</definedName>
    <definedName name="Inn_02">Poeng!$E$218</definedName>
    <definedName name="Inn_03">Poeng!$E$219</definedName>
    <definedName name="Inn_04">Poeng!$E$220</definedName>
    <definedName name="Inn_05">Poeng!$E$221</definedName>
    <definedName name="Inn_06">Poeng!$E$222</definedName>
    <definedName name="Inn_07">Poeng!$E$223</definedName>
    <definedName name="Inn_08">Poeng!$E$224</definedName>
    <definedName name="Inn_09">Poeng!$E$225</definedName>
    <definedName name="Inn_10">Poeng!$E$226</definedName>
    <definedName name="Inn_11">Poeng!$E$227</definedName>
    <definedName name="Inn_12">Poeng!$E$228</definedName>
    <definedName name="Inn_13">Poeng!$E$229</definedName>
    <definedName name="Inn_c_user">Poeng!$AK$231</definedName>
    <definedName name="Inn_cont_tot">Poeng!$AE$231</definedName>
    <definedName name="Inn_Credits">Poeng!$AB$231</definedName>
    <definedName name="Inn_d_user">Poeng!$AJ$231</definedName>
    <definedName name="Inn_tot_user">Poeng!$AI$231</definedName>
    <definedName name="Inn_Weight">'Summary of Building Performance'!$J$45</definedName>
    <definedName name="Inn01_cont">Poeng!$AE$217</definedName>
    <definedName name="Inn01_credits">Poeng!$AB$217</definedName>
    <definedName name="Inn01_minstd">Poeng!$BE$217</definedName>
    <definedName name="Inn01_user">Poeng!$AI$217</definedName>
    <definedName name="Inn02_cont">Poeng!$AE$218</definedName>
    <definedName name="Inn02_credits">Poeng!$AB$218</definedName>
    <definedName name="Inn02_minstd">Poeng!$BE$218</definedName>
    <definedName name="Inn02_user">Poeng!$AI$218</definedName>
    <definedName name="Inn03_cont">Poeng!$AE$219</definedName>
    <definedName name="Inn03_credits">Poeng!$AB$219</definedName>
    <definedName name="Inn03_minstd">Poeng!$BE$219</definedName>
    <definedName name="Inn03_user">Poeng!$AI$219</definedName>
    <definedName name="Inn04_cont">Poeng!$AE$220</definedName>
    <definedName name="Inn04_credits">Poeng!$AB$220</definedName>
    <definedName name="Inn04_minstd">Poeng!$BE$220</definedName>
    <definedName name="Inn04_user">Poeng!$AI$220</definedName>
    <definedName name="Inn05_cont">Poeng!$AE$221</definedName>
    <definedName name="Inn05_credits">Poeng!$AB$221</definedName>
    <definedName name="Inn05_minstd">Poeng!$BE$221</definedName>
    <definedName name="Inn05_user">Poeng!$AI$221</definedName>
    <definedName name="Inn06_cont">Poeng!$AE$222</definedName>
    <definedName name="Inn06_credits">Poeng!$AB$222</definedName>
    <definedName name="Inn06_minstd">Poeng!$BE$222</definedName>
    <definedName name="Inn06_user">Poeng!$AI$222</definedName>
    <definedName name="Inn07_cont">Poeng!$AE$223</definedName>
    <definedName name="Inn07_credits">Poeng!$AB$223</definedName>
    <definedName name="Inn07_minstd">Poeng!$BE$223</definedName>
    <definedName name="Inn07_user">Poeng!$AI$223</definedName>
    <definedName name="Inn08_cont">Poeng!$AE$224</definedName>
    <definedName name="Inn08_credits">Poeng!$AB$224</definedName>
    <definedName name="Inn08_minstd">Poeng!$BE$224</definedName>
    <definedName name="Inn08_user">Poeng!$AI$224</definedName>
    <definedName name="Inn09_cont">Poeng!$AE$225</definedName>
    <definedName name="Inn09_credits">Poeng!$AB$225</definedName>
    <definedName name="Inn09_minstd">Poeng!$BE$225</definedName>
    <definedName name="Inn09_user">Poeng!$AI$225</definedName>
    <definedName name="Inn10_cont">Poeng!$AE$226</definedName>
    <definedName name="Inn10_credits">Poeng!$AB$226</definedName>
    <definedName name="Inn10_minstd">Poeng!$BE$226</definedName>
    <definedName name="Inn10_user">Poeng!$AI$226</definedName>
    <definedName name="Inn11_cont">Poeng!$AE$227</definedName>
    <definedName name="Inn11_credits">Poeng!$AB$227</definedName>
    <definedName name="Inn11_minstd">Poeng!$BE$227</definedName>
    <definedName name="Inn11_user">Poeng!$AI$227</definedName>
    <definedName name="Inn12_cont">Poeng!$AE$228</definedName>
    <definedName name="Inn12_credits">Poeng!$AB$228</definedName>
    <definedName name="Inn12_minstd">Poeng!$BE$228</definedName>
    <definedName name="Inn12_user">Poeng!$AI$228</definedName>
    <definedName name="Inn13_cont">Poeng!$AE$229</definedName>
    <definedName name="Inn13_credits">Poeng!$AB$229</definedName>
    <definedName name="Inn13_minstd">Poeng!$BE$229</definedName>
    <definedName name="Inn13_user">Poeng!$AI$229</definedName>
    <definedName name="janei">'Assessment Details'!$O$51:$O$52</definedName>
    <definedName name="LE_01">Poeng!$E$169</definedName>
    <definedName name="LE_02">Poeng!$E$171</definedName>
    <definedName name="LE_03">Poeng!$E$175</definedName>
    <definedName name="LE_04">Poeng!$E$179</definedName>
    <definedName name="LE_05">Poeng!$E$183</definedName>
    <definedName name="LE_06">Poeng!$E$187</definedName>
    <definedName name="LE_07">Poeng!$E$189</definedName>
    <definedName name="LE_08">Poeng!$E$192</definedName>
    <definedName name="LE_cont_tot">Poeng!$AE$197</definedName>
    <definedName name="LE_Credits">Poeng!$AB$197</definedName>
    <definedName name="LE_Weight">'Summary of Building Performance'!$J$43</definedName>
    <definedName name="LE01_07">Poeng!$AD$169</definedName>
    <definedName name="LE01_08">Poeng!$AE$169</definedName>
    <definedName name="LE01_credits">Poeng!$AB$169</definedName>
    <definedName name="LE01_minstd">Poeng!$BE$169</definedName>
    <definedName name="LE01_tot">Poeng!$BR$169</definedName>
    <definedName name="LE01_user">Poeng!$AI$169</definedName>
    <definedName name="LE02_07">Poeng!$AD$171</definedName>
    <definedName name="LE02_08">Poeng!$AE$171</definedName>
    <definedName name="LE02_credits">Poeng!$AB$171</definedName>
    <definedName name="LE02_minstd">Poeng!$BE$171</definedName>
    <definedName name="LE02_tot">Poeng!$BR$171</definedName>
    <definedName name="LE02_user">Poeng!$AI$171</definedName>
    <definedName name="LE03_07">Poeng!$AD$175</definedName>
    <definedName name="LE03_cont">Poeng!$AE$175</definedName>
    <definedName name="LE03_credits">Poeng!$AB$175</definedName>
    <definedName name="LE03_minstd">Poeng!$BE$175</definedName>
    <definedName name="LE03_user">Poeng!$AI$175</definedName>
    <definedName name="LE04_13">Poeng!$AD$179</definedName>
    <definedName name="LE04_14">Poeng!$AE$179</definedName>
    <definedName name="LE04_credits">Poeng!$AB$179</definedName>
    <definedName name="LE04_minstd">Poeng!$BE$179</definedName>
    <definedName name="LE04_tot">Poeng!$BR$179</definedName>
    <definedName name="LE04_user">Poeng!$AI$179</definedName>
    <definedName name="LE05_14">Poeng!$AD$183</definedName>
    <definedName name="LE05_15">Poeng!$AE$183</definedName>
    <definedName name="LE05_credits">Poeng!$AB$183</definedName>
    <definedName name="LE05_minstd">Poeng!$BE$183</definedName>
    <definedName name="LE05_minstdach">Poeng!$BE$183</definedName>
    <definedName name="LE05_tot">Poeng!$BR$183</definedName>
    <definedName name="LE05_user">Poeng!$AI$183</definedName>
    <definedName name="LE06_07">Poeng!$AD$187</definedName>
    <definedName name="LE06_contr">Poeng!$AE$187</definedName>
    <definedName name="LE06_credits">Poeng!$AB$187</definedName>
    <definedName name="LE06_minstd">Poeng!$BE$187</definedName>
    <definedName name="LE06_tot">Poeng!$BR$187</definedName>
    <definedName name="LE06_user">Poeng!$AI$187</definedName>
    <definedName name="LE07_07">Poeng!$AD$189</definedName>
    <definedName name="LE07_cont">Poeng!$AE$189</definedName>
    <definedName name="LE07_credits">Poeng!$AB$189</definedName>
    <definedName name="LE07_minstd">Poeng!$BE$189</definedName>
    <definedName name="LE07_user">Poeng!$AI$189</definedName>
    <definedName name="LE08_07">Poeng!$AD$192</definedName>
    <definedName name="LE08_cont">Poeng!$AE$192</definedName>
    <definedName name="LE08_credits">Poeng!$AB$192</definedName>
    <definedName name="LE08_minstd">Poeng!$BE$192</definedName>
    <definedName name="LE08_user">Poeng!$AI$192</definedName>
    <definedName name="Lue_c_user">Poeng!$AK$197</definedName>
    <definedName name="Lue_d_user">Poeng!$AJ$197</definedName>
    <definedName name="Lue_tot_user">Poeng!$AI$197</definedName>
    <definedName name="Man_01">Poeng!$E$10</definedName>
    <definedName name="Man_02">Poeng!$E$16</definedName>
    <definedName name="Man_03">Poeng!$E$19</definedName>
    <definedName name="Man_04">Poeng!$E$26</definedName>
    <definedName name="Man_05">Poeng!$E$30</definedName>
    <definedName name="Man_06">Poeng!$E$34</definedName>
    <definedName name="Man_07">Poeng!$E$35</definedName>
    <definedName name="Man_c_user">Poeng!$AK$36</definedName>
    <definedName name="Man_cont_tot">Poeng!$AE$36</definedName>
    <definedName name="Man_Credits">Poeng!$AB$36</definedName>
    <definedName name="Man_d_user">Poeng!$AJ$36</definedName>
    <definedName name="Man_tot_user">Poeng!$AI$36</definedName>
    <definedName name="Man_Weight">'Summary of Building Performance'!$J$36</definedName>
    <definedName name="Man01_37">Poeng!$BE$10</definedName>
    <definedName name="Man01_38">Poeng!$AD$10</definedName>
    <definedName name="Man01_39">Poeng!$AE$10</definedName>
    <definedName name="Man01_credits">Poeng!$AB$10</definedName>
    <definedName name="Man01_Crit1">Poeng!$E$238</definedName>
    <definedName name="Man01_Crit1_cont">Poeng!$AE$238</definedName>
    <definedName name="Man01_Crit1_credits">Poeng!$AB$238</definedName>
    <definedName name="Man01_Exemp">Poeng!$BS$10</definedName>
    <definedName name="Man01_minstd">Poeng!$BE$238</definedName>
    <definedName name="Man01_Tot">Poeng!$BR$10</definedName>
    <definedName name="Man01_user">Poeng!$AI$10</definedName>
    <definedName name="Man02_11">Poeng!$AD$16</definedName>
    <definedName name="Man02_12">Poeng!$AE$16</definedName>
    <definedName name="Man02_credits">Poeng!$AB$16</definedName>
    <definedName name="Man02_Exempl">Poeng!$BS$16</definedName>
    <definedName name="Man02_minstd">Poeng!$BE$16</definedName>
    <definedName name="Man02_Tot">Poeng!$BR$16</definedName>
    <definedName name="Man02_user">Poeng!$AI$16</definedName>
    <definedName name="Man03_12">Poeng!$AD$19</definedName>
    <definedName name="Man03_18">Poeng!$AE$19</definedName>
    <definedName name="Man03_credits">Poeng!$AB$19</definedName>
    <definedName name="Man03_Crit1">Poeng!$E$240</definedName>
    <definedName name="Man03_Crit1_credits">Poeng!$AB$240</definedName>
    <definedName name="Man03_minstd">Poeng!$BE$19</definedName>
    <definedName name="Man03_minstd_cri">Poeng!$BE$240</definedName>
    <definedName name="Man03_Tot">Poeng!$BR$19</definedName>
    <definedName name="Man03_user">Poeng!$AI$19</definedName>
    <definedName name="Man04_17">Poeng!$AD$26</definedName>
    <definedName name="Man04_cont">Poeng!$AE$26</definedName>
    <definedName name="Man04_credits">Poeng!$AB$26</definedName>
    <definedName name="Man04_Crit1">Poeng!$E$241</definedName>
    <definedName name="Man04_Crit1_credits">Poeng!$AB$241</definedName>
    <definedName name="Man04_minstd">Poeng!$BE$26</definedName>
    <definedName name="Man04_minstd_cri">Poeng!$BE$241</definedName>
    <definedName name="Man04_tot">Poeng!$BR$26</definedName>
    <definedName name="Man04_user">Poeng!$AI$26</definedName>
    <definedName name="Man05_10">Poeng!$AD$30</definedName>
    <definedName name="Man05_cont">Poeng!$AE$30</definedName>
    <definedName name="Man05_credits">Poeng!$AB$30</definedName>
    <definedName name="Man05_Crit1">Poeng!$E$242</definedName>
    <definedName name="Man05_Crit1_credits">Poeng!$AB$242</definedName>
    <definedName name="Man05_minstd">Poeng!$BE$30</definedName>
    <definedName name="Man05_minstd_cri">Poeng!$BE$242</definedName>
    <definedName name="Man05_tot">Poeng!$BR$30</definedName>
    <definedName name="Man05_user">Poeng!$AI$30</definedName>
    <definedName name="Man06_cont">Poeng!$AE$34</definedName>
    <definedName name="Man06_credits">Poeng!$AB$34</definedName>
    <definedName name="Man06_minstd">Poeng!$BE$34</definedName>
    <definedName name="Man06_user">Poeng!$AI$34</definedName>
    <definedName name="Man07_cont">Poeng!$AE$35</definedName>
    <definedName name="Man07_credits">Poeng!$AB$35</definedName>
    <definedName name="Man07_minstd">Poeng!$BE$35</definedName>
    <definedName name="Man07_user">Poeng!$AI$35</definedName>
    <definedName name="Mat_01">Poeng!$E$126</definedName>
    <definedName name="Mat_02">Poeng!$E$130</definedName>
    <definedName name="Mat_03">Poeng!$E$134</definedName>
    <definedName name="Mat_05">Poeng!$E$138</definedName>
    <definedName name="Mat_06">Poeng!$E$144</definedName>
    <definedName name="Mat_07">Poeng!$E$148</definedName>
    <definedName name="Mat_c_user">Poeng!$AK$152</definedName>
    <definedName name="Mat_cont_tot">Poeng!$AE$152</definedName>
    <definedName name="Mat_Credits">Poeng!$AB$152</definedName>
    <definedName name="Mat_d_user">Poeng!$AJ$152</definedName>
    <definedName name="Mat_tot_user">Poeng!$AI$152</definedName>
    <definedName name="Mat_Weight">'Summary of Building Performance'!$J$41</definedName>
    <definedName name="Mat01_08">Poeng!$BS$126</definedName>
    <definedName name="Mat01_27">Poeng!$AD$126</definedName>
    <definedName name="Mat01_28">Poeng!$AE$126</definedName>
    <definedName name="Mat01_credits">Poeng!$AB$126</definedName>
    <definedName name="Mat01_Crit1">Poeng!$E$244</definedName>
    <definedName name="Mat01_Crit1_credits">Poeng!$AB$244</definedName>
    <definedName name="Mat01_minstd">Poeng!$BE$244</definedName>
    <definedName name="Mat01_minstd2">Poeng!$BE$126</definedName>
    <definedName name="Mat01_tot">Poeng!$BR$126</definedName>
    <definedName name="Mat01_user">Poeng!$AI$126</definedName>
    <definedName name="Mat02_37">Poeng!$AD$130</definedName>
    <definedName name="Mat02_cont">Poeng!$AE$130</definedName>
    <definedName name="Mat02_credits">Poeng!$AB$130</definedName>
    <definedName name="Mat02_Crit1">Poeng!$E$237</definedName>
    <definedName name="Mat02_Crit1_cont">Poeng!$AE$237</definedName>
    <definedName name="Mat02_Crit1_credits">Poeng!$AB$237</definedName>
    <definedName name="Mat02_minstd">Poeng!$BE$237</definedName>
    <definedName name="Mat02_minstd2">Poeng!$BE$130</definedName>
    <definedName name="Mat02_user">Poeng!$AI$130</definedName>
    <definedName name="Mat03_35">Poeng!$BS$134</definedName>
    <definedName name="Mat03_36">Poeng!$BE$134</definedName>
    <definedName name="Mat03_37">Poeng!$AD$134</definedName>
    <definedName name="Mat03_38">Poeng!$AE$134</definedName>
    <definedName name="Mat03_credits">Poeng!$AB$134</definedName>
    <definedName name="Mat03_Crit1">Poeng!$E$252</definedName>
    <definedName name="Mat03_Crit1_cont">Poeng!$AE$252</definedName>
    <definedName name="Mat03_Crit1_credits">Poeng!$AB$252</definedName>
    <definedName name="Mat03_minstd">Poeng!$BE$252</definedName>
    <definedName name="Mat03_tot">Poeng!$BR$134</definedName>
    <definedName name="Mat03_user">Poeng!$AI$134</definedName>
    <definedName name="Mat05_05">Poeng!$AD$138</definedName>
    <definedName name="Mat05_06">Poeng!$AE$138</definedName>
    <definedName name="Mat05_credits">Poeng!$AB$138</definedName>
    <definedName name="Mat05_minstd">Poeng!$BE$138</definedName>
    <definedName name="Mat05_tot">Poeng!$BR$138</definedName>
    <definedName name="Mat05_user">Poeng!$AI$138</definedName>
    <definedName name="Mat06_05">Poeng!$AD$144</definedName>
    <definedName name="Mat06_cont">Poeng!$AE$144</definedName>
    <definedName name="Mat06_credits">Poeng!$AB$144</definedName>
    <definedName name="Mat06_Crit1">Poeng!$E$245</definedName>
    <definedName name="Mat06_Crit1_credits">Poeng!$AB$245</definedName>
    <definedName name="Mat06_minstd">Poeng!$BE$144</definedName>
    <definedName name="Mat06_minstd_cred">Poeng!$BE$245</definedName>
    <definedName name="Mat06_user">Poeng!$AI$144</definedName>
    <definedName name="Mat07_05">Poeng!$AD$148</definedName>
    <definedName name="Mat07_cont">Poeng!$AE$148</definedName>
    <definedName name="Mat07_credits">Poeng!$AB$148</definedName>
    <definedName name="Mat07_Crit1">Poeng!$E$247</definedName>
    <definedName name="Mat07_Crit1_credits">Poeng!$AB$247</definedName>
    <definedName name="Mat07_minstd">Poeng!$BE$148</definedName>
    <definedName name="Mat07_minstd_cred">Poeng!$BE$247</definedName>
    <definedName name="Mat07_user">Poeng!$AI$148</definedName>
    <definedName name="Note_minstand">Poeng!$BE$267</definedName>
    <definedName name="Note_minstand_const">Poeng!$BK$267</definedName>
    <definedName name="Note_minstand_design">Poeng!$BH$267</definedName>
    <definedName name="Poeng_bort">Poeng!$AA$258</definedName>
    <definedName name="Poeng_tilgj">Poeng!$AB$258</definedName>
    <definedName name="Poeng_tot">Poeng!$T$258</definedName>
    <definedName name="Pol_01">Poeng!$E$200</definedName>
    <definedName name="Pol_02">Poeng!$E$204</definedName>
    <definedName name="Pol_03">Poeng!$E$207</definedName>
    <definedName name="Pol_04">Poeng!$E$208</definedName>
    <definedName name="Pol_05">Poeng!$E$211</definedName>
    <definedName name="Pol_c_user">Poeng!$AK$214</definedName>
    <definedName name="Pol_cont_tot">Poeng!$AE$214</definedName>
    <definedName name="Pol_Credits">Poeng!$AB$214</definedName>
    <definedName name="Pol_d_user">Poeng!$AJ$214</definedName>
    <definedName name="Pol_tot_user">Poeng!$AI$214</definedName>
    <definedName name="Pol_Weight">'Summary of Building Performance'!$J$44</definedName>
    <definedName name="Pol01_19">Poeng!$AD$200</definedName>
    <definedName name="Pol01_20">Poeng!$AE$200</definedName>
    <definedName name="Pol01_credits">Poeng!$AB$200</definedName>
    <definedName name="Pol01_minstd">Poeng!$BE$200</definedName>
    <definedName name="Pol01_tot">Poeng!$BR$200</definedName>
    <definedName name="Pol01_user">Poeng!$AI$200</definedName>
    <definedName name="Pol02_26">Poeng!$AD$204</definedName>
    <definedName name="Pol02_27">Poeng!$AE$204</definedName>
    <definedName name="Pol02_credits">Poeng!$AB$204</definedName>
    <definedName name="Pol02_minstd">Poeng!$BE$204</definedName>
    <definedName name="Pol02_tot">Poeng!$BR$204</definedName>
    <definedName name="Pol02_user">Poeng!$AI$204</definedName>
    <definedName name="Pol03_14">Poeng!$AD$207</definedName>
    <definedName name="Pol03_15">Poeng!$AE$207</definedName>
    <definedName name="Pol03_credits">Poeng!$AB$207</definedName>
    <definedName name="Pol03_minstd">Poeng!$BE$207</definedName>
    <definedName name="Pol03_tot">Poeng!$BR$207</definedName>
    <definedName name="Pol03_user">Poeng!$AI$207</definedName>
    <definedName name="Pol04_05">Poeng!$AD$208</definedName>
    <definedName name="Pol04_06">Poeng!$AE$208</definedName>
    <definedName name="Pol04_credits">Poeng!$AB$208</definedName>
    <definedName name="Pol04_minstd">Poeng!$BE$208</definedName>
    <definedName name="Pol04_tot">Poeng!$BR$208</definedName>
    <definedName name="Pol04_user">Poeng!$AI$208</definedName>
    <definedName name="Pol05_10">Poeng!$AD$211</definedName>
    <definedName name="Pol05_11">Poeng!$AE$211</definedName>
    <definedName name="Pol05_credits">Poeng!$AB$211</definedName>
    <definedName name="Pol05_minstd">Poeng!$BE$211</definedName>
    <definedName name="Pol05_tot">Poeng!$BR$211</definedName>
    <definedName name="Pol05_user">Poeng!$AI$211</definedName>
    <definedName name="projecttype">'Assessment Details'!$P$98</definedName>
    <definedName name="Score_const">'Summary of Building Performance'!$M$46</definedName>
    <definedName name="Score_design">'Summary of Building Performance'!$L$46</definedName>
    <definedName name="Score_Initial">'Summary of Building Performance'!$K$46</definedName>
    <definedName name="status">'Assessment Details'!$O$45:$O$48</definedName>
    <definedName name="Tra_01">Poeng!$E$100</definedName>
    <definedName name="Tra_02">Poeng!$E$103</definedName>
    <definedName name="Tra_03">Poeng!$E$106</definedName>
    <definedName name="Tra_04">Poeng!$E$107</definedName>
    <definedName name="Tra_05">Poeng!$E$108</definedName>
    <definedName name="Tra_06">Poeng!$E$109</definedName>
    <definedName name="Tra_c_user">Poeng!$AK$110</definedName>
    <definedName name="Tra_cont_tot">Poeng!$AE$110</definedName>
    <definedName name="Tra_Credits">Poeng!$AB$110</definedName>
    <definedName name="Tra_d_user">Poeng!$AJ$110</definedName>
    <definedName name="Tra_tot_user">Poeng!$AI$110</definedName>
    <definedName name="Tra_Weight">'Summary of Building Performance'!$J$39</definedName>
    <definedName name="Tra01_07">Poeng!$AD$100</definedName>
    <definedName name="TRa01_08">Poeng!$AE$100</definedName>
    <definedName name="TRA01_BuildType">'Assessment Details'!$O$24:$O$30</definedName>
    <definedName name="Tra01_credits">Poeng!$AB$100</definedName>
    <definedName name="Tra01_Crit1">Poeng!$E$243</definedName>
    <definedName name="Tra01_Crit1_credits">Poeng!$AB$243</definedName>
    <definedName name="Tra01_minstd">Poeng!$BE$243</definedName>
    <definedName name="Tra01_tot">Poeng!$BR$100</definedName>
    <definedName name="Tra01_type7">'Assessment Details'!$O$30</definedName>
    <definedName name="Tra01_user">Poeng!$AI$100</definedName>
    <definedName name="Tra02_06">Poeng!$AD$103</definedName>
    <definedName name="Tra02_07">Poeng!$AE$103</definedName>
    <definedName name="Tra02_credits">Poeng!$AB$103</definedName>
    <definedName name="Tra02_minstd">Poeng!$BE$103</definedName>
    <definedName name="Tra02_tot">Poeng!$BR$103</definedName>
    <definedName name="Tra02_user">Poeng!$AI$103</definedName>
    <definedName name="Tra03_02">'Assessment Details'!$P$64:$P$64</definedName>
    <definedName name="Tra03_13">Poeng!$AD$106</definedName>
    <definedName name="Tra03_14">Poeng!$AE$106</definedName>
    <definedName name="Tra03_credits">Poeng!$AB$106</definedName>
    <definedName name="Tra03_minstd">Poeng!$BE$106</definedName>
    <definedName name="Tra03_tot">Poeng!$BR$106</definedName>
    <definedName name="Tra03_user">Poeng!$AI$106</definedName>
    <definedName name="Tra04_09">Poeng!$AD$107</definedName>
    <definedName name="Tra04_10">Poeng!$AE$107</definedName>
    <definedName name="Tra04_credits">Poeng!$AB$107</definedName>
    <definedName name="Tra04_minstd">Poeng!$BE$107</definedName>
    <definedName name="Tra04_tot">Poeng!$BR$107</definedName>
    <definedName name="Tra04_user">Poeng!$AI$107</definedName>
    <definedName name="Tra05_04">Poeng!$AD$108</definedName>
    <definedName name="Tra05_05">Poeng!$AE$108</definedName>
    <definedName name="Tra05_credits">Poeng!$AB$108</definedName>
    <definedName name="Tra05_minstd">Poeng!$BE$108</definedName>
    <definedName name="Tra05_tot">Poeng!$BR$108</definedName>
    <definedName name="Tra05_user">Poeng!$AI$108</definedName>
    <definedName name="Tra06_04">Poeng!$AD$109</definedName>
    <definedName name="Tra06_05">Poeng!$AE$109</definedName>
    <definedName name="Tra06_credits">Poeng!$AB$109</definedName>
    <definedName name="Tra06_minstd">Poeng!$BE$109</definedName>
    <definedName name="Tra06_user">Poeng!$AI$109</definedName>
    <definedName name="TVC_current_date">'Version Control'!$C$5</definedName>
    <definedName name="TVC_current_version">'Version Control'!$B$5</definedName>
    <definedName name="_xlnm.Print_Area" localSheetId="1">'Assessment Details'!$B$2:$F$54</definedName>
    <definedName name="_xlnm.Print_Area" localSheetId="0">Instructions!$B$2:$P$19</definedName>
    <definedName name="_xlnm.Print_Area" localSheetId="7">'PAE available for copy'!$D$1:$Z$227</definedName>
    <definedName name="_xlnm.Print_Area" localSheetId="2">'Pre-Assessment Estimator'!$E$1:$AB$227</definedName>
    <definedName name="_xlnm.Print_Area" localSheetId="6">'Summary of Building Performance'!$B$2:$P$111</definedName>
    <definedName name="_xlnm.Print_Area" localSheetId="8">'Version Control'!$B$2:$P$23</definedName>
    <definedName name="_xlnm.Print_Titles" localSheetId="7">'PAE available for copy'!$9:$9</definedName>
    <definedName name="_xlnm.Print_Titles" localSheetId="2">'Pre-Assessment Estimator'!$9:$9</definedName>
    <definedName name="Wat__Credits">Poeng!$AB$123</definedName>
    <definedName name="Wat_01">Poeng!$E$113</definedName>
    <definedName name="Wat_02">Poeng!$E$115</definedName>
    <definedName name="Wat_03">Poeng!$E$117</definedName>
    <definedName name="Wat_04">Poeng!$E$121</definedName>
    <definedName name="Wat_c_user">Poeng!$AK$123</definedName>
    <definedName name="Wat_cont_tot">Poeng!$AE$123</definedName>
    <definedName name="Wat_Credits">Poeng!$AB$123</definedName>
    <definedName name="Wat_d_user">Poeng!$AJ$123</definedName>
    <definedName name="Wat_tot_user">Poeng!$AI$123</definedName>
    <definedName name="Wat_Weight">'Summary of Building Performance'!$J$40</definedName>
    <definedName name="Wat01_08">Poeng!$BS$113</definedName>
    <definedName name="Wat01_09">Poeng!$BE$113</definedName>
    <definedName name="Wat01_14">Poeng!$AD$113</definedName>
    <definedName name="Wat01_15">Poeng!$AE$113</definedName>
    <definedName name="Wat01_credits">Poeng!$AB$113</definedName>
    <definedName name="Wat01_minstd">Poeng!$BE$113</definedName>
    <definedName name="Wat01_tot">Poeng!$BR$113</definedName>
    <definedName name="Wat01_user">Poeng!$AI$113</definedName>
    <definedName name="Wat02_10">Poeng!$BS$115</definedName>
    <definedName name="Wat02_11">Poeng!$BE$115</definedName>
    <definedName name="Wat02_12">Poeng!$AD$115</definedName>
    <definedName name="Wat02_13">Poeng!$AE$115</definedName>
    <definedName name="Wat02_credits">Poeng!$AB$115</definedName>
    <definedName name="Wat02_tot">Poeng!$BR$115</definedName>
    <definedName name="Wat02_user">Poeng!$AI$115</definedName>
    <definedName name="Wat03_09">Poeng!$AD$117</definedName>
    <definedName name="Wat03_10">Poeng!$AE$117</definedName>
    <definedName name="Wat03_credits">Poeng!$AB$117</definedName>
    <definedName name="Wat03_minstd">Poeng!$BE$117</definedName>
    <definedName name="Wat03_tot">Poeng!$BR$117</definedName>
    <definedName name="Wat03_user">Poeng!$AI$117</definedName>
    <definedName name="Wat04_05">Poeng!$AD$121</definedName>
    <definedName name="Wat04_06">Poeng!$AE$121</definedName>
    <definedName name="Wat04_credits">Poeng!$AB$121</definedName>
    <definedName name="Wat04_minstd">Poeng!$BE$121</definedName>
    <definedName name="Wat04_tot">Poeng!$BR$121</definedName>
    <definedName name="Wat04_user">Poeng!$AI$121</definedName>
    <definedName name="Wst_01">Poeng!$E$155</definedName>
    <definedName name="Wst_02">Poeng!$E$159</definedName>
    <definedName name="Wst_03">Poeng!$E$160</definedName>
    <definedName name="Wst_04">Poeng!$E$164</definedName>
    <definedName name="Wst_c_user">Poeng!$AK$166</definedName>
    <definedName name="Wst_cont_tot">Poeng!$AE$166</definedName>
    <definedName name="Wst_Credits">Poeng!$AB$166</definedName>
    <definedName name="Wst_d_user">Poeng!$AJ$166</definedName>
    <definedName name="Wst_tot_user">Poeng!$AI$166</definedName>
    <definedName name="Wst_Weight">'Summary of Building Performance'!$J$42</definedName>
    <definedName name="Wst01_17">Poeng!$BS$155</definedName>
    <definedName name="Wst01_18">Poeng!$BE$155</definedName>
    <definedName name="Wst01_27">Poeng!$AD$155</definedName>
    <definedName name="Wst01_28">Poeng!$AE$155</definedName>
    <definedName name="Wst01_credits">Poeng!$AB$155</definedName>
    <definedName name="Wst01_Crit1">Poeng!$E$248</definedName>
    <definedName name="Wst01_Crit1_credits">Poeng!$AB$248</definedName>
    <definedName name="Wst01_minstd">Poeng!$BE$248</definedName>
    <definedName name="Wst01_tot">Poeng!$BR$155</definedName>
    <definedName name="Wst01_user">Poeng!$AI$155</definedName>
    <definedName name="Wst02_11">Poeng!$BS$159</definedName>
    <definedName name="Wst02_14">Poeng!$AD$159</definedName>
    <definedName name="Wst02_15">Poeng!$AE$159</definedName>
    <definedName name="Wst02_credits">Poeng!$AB$159</definedName>
    <definedName name="Wst02_minstd">Poeng!$BE$159</definedName>
    <definedName name="Wst02_tot">Poeng!$BR$159</definedName>
    <definedName name="Wst02_user">Poeng!$AI$159</definedName>
    <definedName name="Wst03_09">Poeng!$BS$160</definedName>
    <definedName name="Wst03_10">Poeng!$BE$160</definedName>
    <definedName name="Wst03_12">Poeng!$AD$160</definedName>
    <definedName name="Wst03_13">Poeng!$AE$160</definedName>
    <definedName name="Wst03_credits">Poeng!$AB$160</definedName>
    <definedName name="Wst03_tot">Poeng!$BR$160</definedName>
    <definedName name="Wst03_user">Poeng!$AI$160</definedName>
    <definedName name="Wst04_08">Poeng!$AD$164</definedName>
    <definedName name="Wst04_09">Poeng!$AE$164</definedName>
    <definedName name="Wst04_credits">Poeng!$AB$164</definedName>
    <definedName name="Wst04_minstd">Poeng!$BE$164</definedName>
    <definedName name="Wst04_tot">Poeng!$BR$164</definedName>
    <definedName name="Wst04_user">Poeng!$AI$164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3" l="1"/>
  <c r="U119" i="13" s="1"/>
  <c r="C63" i="11"/>
  <c r="AK281" i="13"/>
  <c r="Z72" i="21" l="1"/>
  <c r="Y72" i="21"/>
  <c r="X72" i="21"/>
  <c r="U72" i="21"/>
  <c r="S72" i="21"/>
  <c r="R72" i="21"/>
  <c r="Q72" i="21"/>
  <c r="N72" i="21"/>
  <c r="L72" i="21"/>
  <c r="K72" i="21"/>
  <c r="J72" i="21"/>
  <c r="G72" i="21"/>
  <c r="D72" i="21"/>
  <c r="B63" i="11"/>
  <c r="W72" i="5"/>
  <c r="W72" i="21" s="1"/>
  <c r="V72" i="5"/>
  <c r="V72" i="21" s="1"/>
  <c r="P72" i="5"/>
  <c r="P72" i="21" s="1"/>
  <c r="O72" i="5"/>
  <c r="O72" i="21" s="1"/>
  <c r="I72" i="5"/>
  <c r="I72" i="21" s="1"/>
  <c r="H72" i="5"/>
  <c r="H72" i="21" s="1"/>
  <c r="BQ256" i="13"/>
  <c r="U118" i="13"/>
  <c r="AJ281" i="13" l="1"/>
  <c r="AI281" i="13"/>
  <c r="H21" i="3"/>
  <c r="Z173" i="21"/>
  <c r="Y173" i="21"/>
  <c r="X173" i="21"/>
  <c r="U173" i="21"/>
  <c r="S173" i="21"/>
  <c r="R173" i="21"/>
  <c r="Q173" i="21"/>
  <c r="N173" i="21"/>
  <c r="L173" i="21"/>
  <c r="K173" i="21"/>
  <c r="J173" i="21"/>
  <c r="G173" i="21"/>
  <c r="D173" i="21"/>
  <c r="AF172" i="5"/>
  <c r="AE172" i="5"/>
  <c r="AD172" i="5"/>
  <c r="H16" i="3"/>
  <c r="BW175" i="13"/>
  <c r="R214" i="21" l="1"/>
  <c r="R39" i="21"/>
  <c r="K39" i="21"/>
  <c r="K40" i="21"/>
  <c r="AB40" i="21"/>
  <c r="Z40" i="21"/>
  <c r="Y40" i="21"/>
  <c r="X40" i="21"/>
  <c r="U40" i="21"/>
  <c r="S40" i="21"/>
  <c r="R40" i="21"/>
  <c r="Q40" i="21"/>
  <c r="N40" i="21"/>
  <c r="L40" i="21"/>
  <c r="J40" i="21"/>
  <c r="G40" i="21"/>
  <c r="E131" i="13" l="1"/>
  <c r="AF40" i="5" l="1"/>
  <c r="AE40" i="5"/>
  <c r="AD40" i="5"/>
  <c r="BT235" i="13"/>
  <c r="BS235" i="13"/>
  <c r="BR235" i="13"/>
  <c r="H192" i="16" l="1"/>
  <c r="H38" i="16"/>
  <c r="I23" i="3"/>
  <c r="H22" i="16"/>
  <c r="D12" i="21" l="1"/>
  <c r="D13" i="21"/>
  <c r="D14" i="21"/>
  <c r="D15" i="21"/>
  <c r="D16" i="21"/>
  <c r="D17" i="21"/>
  <c r="D18" i="21"/>
  <c r="D19" i="21"/>
  <c r="D20" i="21"/>
  <c r="D21" i="21"/>
  <c r="D22" i="21"/>
  <c r="D23" i="21"/>
  <c r="D24" i="21"/>
  <c r="D25" i="21"/>
  <c r="D26" i="21"/>
  <c r="D27" i="21"/>
  <c r="D28" i="21"/>
  <c r="D29" i="21"/>
  <c r="D30" i="21"/>
  <c r="D31" i="21"/>
  <c r="D32" i="21"/>
  <c r="D33" i="21"/>
  <c r="D34" i="21"/>
  <c r="D38" i="21"/>
  <c r="D46" i="21"/>
  <c r="D51" i="21"/>
  <c r="D55" i="21"/>
  <c r="D58" i="21"/>
  <c r="D61" i="21"/>
  <c r="D66" i="21"/>
  <c r="D74" i="21"/>
  <c r="D78" i="21"/>
  <c r="D81" i="21"/>
  <c r="D84" i="21"/>
  <c r="D88" i="21"/>
  <c r="D91" i="21"/>
  <c r="D96" i="21"/>
  <c r="D99" i="21"/>
  <c r="D105" i="21"/>
  <c r="D108" i="21"/>
  <c r="D110" i="21"/>
  <c r="D114" i="21"/>
  <c r="D119" i="21"/>
  <c r="D123" i="21"/>
  <c r="D127" i="21"/>
  <c r="D131" i="21"/>
  <c r="D137" i="21"/>
  <c r="D142" i="21"/>
  <c r="D149" i="21"/>
  <c r="D155" i="21"/>
  <c r="D157" i="21"/>
  <c r="D159" i="21"/>
  <c r="D164" i="21"/>
  <c r="D167" i="21"/>
  <c r="D171" i="21"/>
  <c r="D172" i="21"/>
  <c r="D174" i="21"/>
  <c r="D175" i="21"/>
  <c r="D179" i="21"/>
  <c r="D183" i="21"/>
  <c r="D185" i="21"/>
  <c r="D188" i="21"/>
  <c r="D196" i="21"/>
  <c r="D201" i="21"/>
  <c r="D204" i="21"/>
  <c r="D207" i="21"/>
  <c r="D213" i="21"/>
  <c r="D214" i="21"/>
  <c r="D215" i="21"/>
  <c r="D216" i="21"/>
  <c r="D217" i="21"/>
  <c r="D218" i="21"/>
  <c r="D219" i="21"/>
  <c r="D220" i="21"/>
  <c r="D221" i="21"/>
  <c r="D222" i="21"/>
  <c r="D223" i="21"/>
  <c r="D224" i="21"/>
  <c r="D225" i="21"/>
  <c r="D226" i="21"/>
  <c r="D11" i="21"/>
  <c r="Z71" i="21" l="1"/>
  <c r="Y71" i="21"/>
  <c r="X71" i="21"/>
  <c r="U71" i="21"/>
  <c r="S71" i="21"/>
  <c r="R71" i="21"/>
  <c r="Q71" i="21"/>
  <c r="N71" i="21"/>
  <c r="L71" i="21"/>
  <c r="K71" i="21"/>
  <c r="J71" i="21"/>
  <c r="G71" i="21"/>
  <c r="G206" i="21"/>
  <c r="J206" i="21"/>
  <c r="K206" i="21"/>
  <c r="L206" i="21"/>
  <c r="N206" i="21"/>
  <c r="Q206" i="21"/>
  <c r="R206" i="21"/>
  <c r="S206" i="21"/>
  <c r="U206" i="21"/>
  <c r="X206" i="21"/>
  <c r="Y206" i="21"/>
  <c r="Z206" i="21"/>
  <c r="G207" i="21"/>
  <c r="J207" i="21"/>
  <c r="K207" i="21"/>
  <c r="L207" i="21"/>
  <c r="N207" i="21"/>
  <c r="Q207" i="21"/>
  <c r="R207" i="21"/>
  <c r="S207" i="21"/>
  <c r="U207" i="21"/>
  <c r="X207" i="21"/>
  <c r="Y207" i="21"/>
  <c r="Z207" i="21"/>
  <c r="G208" i="21"/>
  <c r="J208" i="21"/>
  <c r="K208" i="21"/>
  <c r="L208" i="21"/>
  <c r="N208" i="21"/>
  <c r="Q208" i="21"/>
  <c r="R208" i="21"/>
  <c r="S208" i="21"/>
  <c r="U208" i="21"/>
  <c r="X208" i="21"/>
  <c r="Y208" i="21"/>
  <c r="Z208" i="21"/>
  <c r="G209" i="21"/>
  <c r="J209" i="21"/>
  <c r="K209" i="21"/>
  <c r="L209" i="21"/>
  <c r="N209" i="21"/>
  <c r="Q209" i="21"/>
  <c r="R209" i="21"/>
  <c r="S209" i="21"/>
  <c r="U209" i="21"/>
  <c r="X209" i="21"/>
  <c r="Y209" i="21"/>
  <c r="Z209" i="21"/>
  <c r="G210" i="21"/>
  <c r="J210" i="21"/>
  <c r="K210" i="21"/>
  <c r="L210" i="21"/>
  <c r="N210" i="21"/>
  <c r="Q210" i="21"/>
  <c r="R210" i="21"/>
  <c r="S210" i="21"/>
  <c r="U210" i="21"/>
  <c r="X210" i="21"/>
  <c r="Y210" i="21"/>
  <c r="Z210" i="21"/>
  <c r="G185" i="21"/>
  <c r="J185" i="21"/>
  <c r="K185" i="21"/>
  <c r="L185" i="21"/>
  <c r="N185" i="21"/>
  <c r="Q185" i="21"/>
  <c r="R185" i="21"/>
  <c r="S185" i="21"/>
  <c r="U185" i="21"/>
  <c r="X185" i="21"/>
  <c r="Y185" i="21"/>
  <c r="Z185" i="21"/>
  <c r="G186" i="21"/>
  <c r="J186" i="21"/>
  <c r="K186" i="21"/>
  <c r="L186" i="21"/>
  <c r="N186" i="21"/>
  <c r="Q186" i="21"/>
  <c r="R186" i="21"/>
  <c r="S186" i="21"/>
  <c r="U186" i="21"/>
  <c r="X186" i="21"/>
  <c r="Y186" i="21"/>
  <c r="Z186" i="21"/>
  <c r="G187" i="21"/>
  <c r="J187" i="21"/>
  <c r="K187" i="21"/>
  <c r="L187" i="21"/>
  <c r="N187" i="21"/>
  <c r="Q187" i="21"/>
  <c r="R187" i="21"/>
  <c r="S187" i="21"/>
  <c r="U187" i="21"/>
  <c r="X187" i="21"/>
  <c r="Y187" i="21"/>
  <c r="Z187" i="21"/>
  <c r="G188" i="21"/>
  <c r="J188" i="21"/>
  <c r="K188" i="21"/>
  <c r="L188" i="21"/>
  <c r="N188" i="21"/>
  <c r="Q188" i="21"/>
  <c r="R188" i="21"/>
  <c r="S188" i="21"/>
  <c r="U188" i="21"/>
  <c r="X188" i="21"/>
  <c r="Y188" i="21"/>
  <c r="Z188" i="21"/>
  <c r="G189" i="21"/>
  <c r="J189" i="21"/>
  <c r="K189" i="21"/>
  <c r="L189" i="21"/>
  <c r="N189" i="21"/>
  <c r="Q189" i="21"/>
  <c r="R189" i="21"/>
  <c r="S189" i="21"/>
  <c r="U189" i="21"/>
  <c r="X189" i="21"/>
  <c r="Y189" i="21"/>
  <c r="Z189" i="21"/>
  <c r="G190" i="21"/>
  <c r="J190" i="21"/>
  <c r="K190" i="21"/>
  <c r="L190" i="21"/>
  <c r="N190" i="21"/>
  <c r="Q190" i="21"/>
  <c r="R190" i="21"/>
  <c r="S190" i="21"/>
  <c r="U190" i="21"/>
  <c r="X190" i="21"/>
  <c r="Y190" i="21"/>
  <c r="Z190" i="21"/>
  <c r="G191" i="21"/>
  <c r="J191" i="21"/>
  <c r="K191" i="21"/>
  <c r="L191" i="21"/>
  <c r="N191" i="21"/>
  <c r="Q191" i="21"/>
  <c r="R191" i="21"/>
  <c r="S191" i="21"/>
  <c r="U191" i="21"/>
  <c r="X191" i="21"/>
  <c r="Y191" i="21"/>
  <c r="Z191" i="21"/>
  <c r="G192" i="21"/>
  <c r="J192" i="21"/>
  <c r="K192" i="21"/>
  <c r="L192" i="21"/>
  <c r="N192" i="21"/>
  <c r="Q192" i="21"/>
  <c r="R192" i="21"/>
  <c r="S192" i="21"/>
  <c r="U192" i="21"/>
  <c r="X192" i="21"/>
  <c r="Y192" i="21"/>
  <c r="Z192" i="21"/>
  <c r="G193" i="21"/>
  <c r="J193" i="21"/>
  <c r="K193" i="21"/>
  <c r="L193" i="21"/>
  <c r="N193" i="21"/>
  <c r="Q193" i="21"/>
  <c r="R193" i="21"/>
  <c r="S193" i="21"/>
  <c r="U193" i="21"/>
  <c r="X193" i="21"/>
  <c r="Y193" i="21"/>
  <c r="Z193" i="21"/>
  <c r="G152" i="21"/>
  <c r="J152" i="21"/>
  <c r="K152" i="21"/>
  <c r="L152" i="21"/>
  <c r="N152" i="21"/>
  <c r="Q152" i="21"/>
  <c r="R152" i="21"/>
  <c r="S152" i="21"/>
  <c r="U152" i="21"/>
  <c r="X152" i="21"/>
  <c r="Y152" i="21"/>
  <c r="Z152" i="21"/>
  <c r="G153" i="21"/>
  <c r="J153" i="21"/>
  <c r="K153" i="21"/>
  <c r="L153" i="21"/>
  <c r="N153" i="21"/>
  <c r="Q153" i="21"/>
  <c r="R153" i="21"/>
  <c r="S153" i="21"/>
  <c r="U153" i="21"/>
  <c r="X153" i="21"/>
  <c r="Y153" i="21"/>
  <c r="Z153" i="21"/>
  <c r="G154" i="21"/>
  <c r="J154" i="21"/>
  <c r="K154" i="21"/>
  <c r="L154" i="21"/>
  <c r="N154" i="21"/>
  <c r="Q154" i="21"/>
  <c r="R154" i="21"/>
  <c r="S154" i="21"/>
  <c r="U154" i="21"/>
  <c r="X154" i="21"/>
  <c r="Y154" i="21"/>
  <c r="Z154" i="21"/>
  <c r="G155" i="21"/>
  <c r="J155" i="21"/>
  <c r="K155" i="21"/>
  <c r="L155" i="21"/>
  <c r="N155" i="21"/>
  <c r="Q155" i="21"/>
  <c r="R155" i="21"/>
  <c r="S155" i="21"/>
  <c r="U155" i="21"/>
  <c r="X155" i="21"/>
  <c r="Y155" i="21"/>
  <c r="Z155" i="21"/>
  <c r="G156" i="21"/>
  <c r="J156" i="21"/>
  <c r="K156" i="21"/>
  <c r="L156" i="21"/>
  <c r="N156" i="21"/>
  <c r="Q156" i="21"/>
  <c r="R156" i="21"/>
  <c r="S156" i="21"/>
  <c r="U156" i="21"/>
  <c r="X156" i="21"/>
  <c r="Y156" i="21"/>
  <c r="Z156" i="21"/>
  <c r="G157" i="21"/>
  <c r="J157" i="21"/>
  <c r="K157" i="21"/>
  <c r="L157" i="21"/>
  <c r="N157" i="21"/>
  <c r="Q157" i="21"/>
  <c r="R157" i="21"/>
  <c r="S157" i="21"/>
  <c r="U157" i="21"/>
  <c r="X157" i="21"/>
  <c r="Y157" i="21"/>
  <c r="Z157" i="21"/>
  <c r="G158" i="21"/>
  <c r="J158" i="21"/>
  <c r="K158" i="21"/>
  <c r="L158" i="21"/>
  <c r="N158" i="21"/>
  <c r="Q158" i="21"/>
  <c r="R158" i="21"/>
  <c r="S158" i="21"/>
  <c r="U158" i="21"/>
  <c r="X158" i="21"/>
  <c r="Y158" i="21"/>
  <c r="Z158" i="21"/>
  <c r="G159" i="21"/>
  <c r="J159" i="21"/>
  <c r="K159" i="21"/>
  <c r="L159" i="21"/>
  <c r="N159" i="21"/>
  <c r="Q159" i="21"/>
  <c r="R159" i="21"/>
  <c r="S159" i="21"/>
  <c r="U159" i="21"/>
  <c r="X159" i="21"/>
  <c r="Y159" i="21"/>
  <c r="Z159" i="21"/>
  <c r="G160" i="21"/>
  <c r="J160" i="21"/>
  <c r="K160" i="21"/>
  <c r="L160" i="21"/>
  <c r="N160" i="21"/>
  <c r="Q160" i="21"/>
  <c r="R160" i="21"/>
  <c r="S160" i="21"/>
  <c r="U160" i="21"/>
  <c r="X160" i="21"/>
  <c r="Y160" i="21"/>
  <c r="Z160" i="21"/>
  <c r="G161" i="21"/>
  <c r="J161" i="21"/>
  <c r="K161" i="21"/>
  <c r="L161" i="21"/>
  <c r="N161" i="21"/>
  <c r="Q161" i="21"/>
  <c r="R161" i="21"/>
  <c r="S161" i="21"/>
  <c r="U161" i="21"/>
  <c r="X161" i="21"/>
  <c r="Y161" i="21"/>
  <c r="Z161" i="21"/>
  <c r="G144" i="21"/>
  <c r="J144" i="21"/>
  <c r="K144" i="21"/>
  <c r="L144" i="21"/>
  <c r="N144" i="21"/>
  <c r="Q144" i="21"/>
  <c r="R144" i="21"/>
  <c r="S144" i="21"/>
  <c r="U144" i="21"/>
  <c r="X144" i="21"/>
  <c r="Y144" i="21"/>
  <c r="Z144" i="21"/>
  <c r="G145" i="21"/>
  <c r="J145" i="21"/>
  <c r="K145" i="21"/>
  <c r="L145" i="21"/>
  <c r="N145" i="21"/>
  <c r="Q145" i="21"/>
  <c r="R145" i="21"/>
  <c r="S145" i="21"/>
  <c r="U145" i="21"/>
  <c r="X145" i="21"/>
  <c r="Y145" i="21"/>
  <c r="Z145" i="21"/>
  <c r="G146" i="21"/>
  <c r="J146" i="21"/>
  <c r="K146" i="21"/>
  <c r="L146" i="21"/>
  <c r="N146" i="21"/>
  <c r="Q146" i="21"/>
  <c r="R146" i="21"/>
  <c r="S146" i="21"/>
  <c r="U146" i="21"/>
  <c r="X146" i="21"/>
  <c r="Y146" i="21"/>
  <c r="Z146" i="21"/>
  <c r="G115" i="21"/>
  <c r="J115" i="21"/>
  <c r="K115" i="21"/>
  <c r="L115" i="21"/>
  <c r="N115" i="21"/>
  <c r="Q115" i="21"/>
  <c r="R115" i="21"/>
  <c r="S115" i="21"/>
  <c r="U115" i="21"/>
  <c r="X115" i="21"/>
  <c r="Y115" i="21"/>
  <c r="Z115" i="21"/>
  <c r="G116" i="21"/>
  <c r="J116" i="21"/>
  <c r="K116" i="21"/>
  <c r="L116" i="21"/>
  <c r="N116" i="21"/>
  <c r="Q116" i="21"/>
  <c r="R116" i="21"/>
  <c r="S116" i="21"/>
  <c r="U116" i="21"/>
  <c r="X116" i="21"/>
  <c r="Y116" i="21"/>
  <c r="Z116" i="21"/>
  <c r="AB118" i="21"/>
  <c r="AF118" i="21"/>
  <c r="G224" i="21"/>
  <c r="J224" i="21"/>
  <c r="K224" i="21"/>
  <c r="L224" i="21"/>
  <c r="N224" i="21"/>
  <c r="Q224" i="21"/>
  <c r="R224" i="21"/>
  <c r="S224" i="21"/>
  <c r="U224" i="21"/>
  <c r="X224" i="21"/>
  <c r="Y224" i="21"/>
  <c r="Z224" i="21"/>
  <c r="G225" i="21"/>
  <c r="J225" i="21"/>
  <c r="K225" i="21"/>
  <c r="L225" i="21"/>
  <c r="N225" i="21"/>
  <c r="Q225" i="21"/>
  <c r="R225" i="21"/>
  <c r="S225" i="21"/>
  <c r="U225" i="21"/>
  <c r="X225" i="21"/>
  <c r="Y225" i="21"/>
  <c r="Z225" i="21"/>
  <c r="G226" i="21"/>
  <c r="J226" i="21"/>
  <c r="K226" i="21"/>
  <c r="L226" i="21"/>
  <c r="N226" i="21"/>
  <c r="Q226" i="21"/>
  <c r="R226" i="21"/>
  <c r="S226" i="21"/>
  <c r="U226" i="21"/>
  <c r="X226" i="21"/>
  <c r="Y226" i="21"/>
  <c r="Z226" i="21"/>
  <c r="G227" i="21"/>
  <c r="J227" i="21"/>
  <c r="K227" i="21"/>
  <c r="L227" i="21"/>
  <c r="N227" i="21"/>
  <c r="Q227" i="21"/>
  <c r="R227" i="21"/>
  <c r="S227" i="21"/>
  <c r="U227" i="21"/>
  <c r="X227" i="21"/>
  <c r="Y227" i="21"/>
  <c r="Z227" i="21"/>
  <c r="BT250" i="13" l="1"/>
  <c r="BS250" i="13"/>
  <c r="BR250" i="13"/>
  <c r="AF138" i="5" l="1"/>
  <c r="AE138" i="5"/>
  <c r="AD138" i="5"/>
  <c r="C138" i="5"/>
  <c r="D138" i="21" s="1"/>
  <c r="C139" i="5"/>
  <c r="D139" i="21" s="1"/>
  <c r="BP158" i="13"/>
  <c r="BP156" i="13"/>
  <c r="BP114" i="13"/>
  <c r="BQ255" i="13"/>
  <c r="BQ254" i="13"/>
  <c r="BQ253" i="13"/>
  <c r="AF150" i="5"/>
  <c r="AE150" i="5"/>
  <c r="AD150" i="5"/>
  <c r="AF106" i="5"/>
  <c r="AE106" i="5"/>
  <c r="AD106" i="5"/>
  <c r="C150" i="5"/>
  <c r="D150" i="21" s="1"/>
  <c r="C151" i="5"/>
  <c r="D151" i="21" s="1"/>
  <c r="AF70" i="5"/>
  <c r="AE70" i="5"/>
  <c r="AD70" i="5"/>
  <c r="C106" i="5"/>
  <c r="D106" i="21" s="1"/>
  <c r="C107" i="5"/>
  <c r="D107" i="21" s="1"/>
  <c r="BQ251" i="13"/>
  <c r="U94" i="13" l="1"/>
  <c r="U93" i="13" s="1"/>
  <c r="AF36" i="21"/>
  <c r="AF37" i="21"/>
  <c r="AF64" i="21"/>
  <c r="AF65" i="21"/>
  <c r="AF94" i="21"/>
  <c r="AF95" i="21"/>
  <c r="AF103" i="21"/>
  <c r="AF104" i="21"/>
  <c r="AF117" i="21"/>
  <c r="Z223" i="21"/>
  <c r="Y223" i="21"/>
  <c r="X223" i="21"/>
  <c r="U223" i="21"/>
  <c r="S223" i="21"/>
  <c r="R223" i="21"/>
  <c r="Q223" i="21"/>
  <c r="N223" i="21"/>
  <c r="L223" i="21"/>
  <c r="K223" i="21"/>
  <c r="J223" i="21"/>
  <c r="G223" i="21"/>
  <c r="Z222" i="21"/>
  <c r="Y222" i="21"/>
  <c r="X222" i="21"/>
  <c r="U222" i="21"/>
  <c r="S222" i="21"/>
  <c r="R222" i="21"/>
  <c r="Q222" i="21"/>
  <c r="N222" i="21"/>
  <c r="L222" i="21"/>
  <c r="K222" i="21"/>
  <c r="J222" i="21"/>
  <c r="G222" i="21"/>
  <c r="Z221" i="21"/>
  <c r="Y221" i="21"/>
  <c r="X221" i="21"/>
  <c r="U221" i="21"/>
  <c r="S221" i="21"/>
  <c r="R221" i="21"/>
  <c r="Q221" i="21"/>
  <c r="N221" i="21"/>
  <c r="L221" i="21"/>
  <c r="K221" i="21"/>
  <c r="J221" i="21"/>
  <c r="G221" i="21"/>
  <c r="Z220" i="21"/>
  <c r="Y220" i="21"/>
  <c r="X220" i="21"/>
  <c r="U220" i="21"/>
  <c r="S220" i="21"/>
  <c r="R220" i="21"/>
  <c r="Q220" i="21"/>
  <c r="N220" i="21"/>
  <c r="L220" i="21"/>
  <c r="K220" i="21"/>
  <c r="J220" i="21"/>
  <c r="G220" i="21"/>
  <c r="Z219" i="21"/>
  <c r="Y219" i="21"/>
  <c r="X219" i="21"/>
  <c r="U219" i="21"/>
  <c r="S219" i="21"/>
  <c r="R219" i="21"/>
  <c r="Q219" i="21"/>
  <c r="N219" i="21"/>
  <c r="L219" i="21"/>
  <c r="K219" i="21"/>
  <c r="J219" i="21"/>
  <c r="G219" i="21"/>
  <c r="Z218" i="21"/>
  <c r="Y218" i="21"/>
  <c r="X218" i="21"/>
  <c r="U218" i="21"/>
  <c r="S218" i="21"/>
  <c r="R218" i="21"/>
  <c r="Q218" i="21"/>
  <c r="N218" i="21"/>
  <c r="L218" i="21"/>
  <c r="K218" i="21"/>
  <c r="J218" i="21"/>
  <c r="G218" i="21"/>
  <c r="Z217" i="21"/>
  <c r="Y217" i="21"/>
  <c r="X217" i="21"/>
  <c r="U217" i="21"/>
  <c r="S217" i="21"/>
  <c r="R217" i="21"/>
  <c r="Q217" i="21"/>
  <c r="N217" i="21"/>
  <c r="L217" i="21"/>
  <c r="K217" i="21"/>
  <c r="J217" i="21"/>
  <c r="G217" i="21"/>
  <c r="Z216" i="21"/>
  <c r="Y216" i="21"/>
  <c r="X216" i="21"/>
  <c r="U216" i="21"/>
  <c r="S216" i="21"/>
  <c r="R216" i="21"/>
  <c r="Q216" i="21"/>
  <c r="N216" i="21"/>
  <c r="L216" i="21"/>
  <c r="K216" i="21"/>
  <c r="J216" i="21"/>
  <c r="G216" i="21"/>
  <c r="Z215" i="21"/>
  <c r="Y215" i="21"/>
  <c r="X215" i="21"/>
  <c r="U215" i="21"/>
  <c r="S215" i="21"/>
  <c r="R215" i="21"/>
  <c r="Q215" i="21"/>
  <c r="N215" i="21"/>
  <c r="L215" i="21"/>
  <c r="K215" i="21"/>
  <c r="J215" i="21"/>
  <c r="G215" i="21"/>
  <c r="Z214" i="21"/>
  <c r="Y214" i="21"/>
  <c r="X214" i="21"/>
  <c r="U214" i="21"/>
  <c r="S214" i="21"/>
  <c r="Q214" i="21"/>
  <c r="N214" i="21"/>
  <c r="L214" i="21"/>
  <c r="K214" i="21"/>
  <c r="J214" i="21"/>
  <c r="G214" i="21"/>
  <c r="Z213" i="21"/>
  <c r="Y213" i="21"/>
  <c r="X213" i="21"/>
  <c r="U213" i="21"/>
  <c r="S213" i="21"/>
  <c r="R213" i="21"/>
  <c r="Q213" i="21"/>
  <c r="N213" i="21"/>
  <c r="L213" i="21"/>
  <c r="K213" i="21"/>
  <c r="J213" i="21"/>
  <c r="G213" i="21"/>
  <c r="Z205" i="21"/>
  <c r="Y205" i="21"/>
  <c r="X205" i="21"/>
  <c r="U205" i="21"/>
  <c r="S205" i="21"/>
  <c r="R205" i="21"/>
  <c r="Q205" i="21"/>
  <c r="N205" i="21"/>
  <c r="L205" i="21"/>
  <c r="K205" i="21"/>
  <c r="J205" i="21"/>
  <c r="G205" i="21"/>
  <c r="Z204" i="21"/>
  <c r="Y204" i="21"/>
  <c r="X204" i="21"/>
  <c r="U204" i="21"/>
  <c r="S204" i="21"/>
  <c r="R204" i="21"/>
  <c r="Q204" i="21"/>
  <c r="N204" i="21"/>
  <c r="L204" i="21"/>
  <c r="K204" i="21"/>
  <c r="J204" i="21"/>
  <c r="G204" i="21"/>
  <c r="Z203" i="21"/>
  <c r="Y203" i="21"/>
  <c r="X203" i="21"/>
  <c r="U203" i="21"/>
  <c r="S203" i="21"/>
  <c r="R203" i="21"/>
  <c r="Q203" i="21"/>
  <c r="N203" i="21"/>
  <c r="L203" i="21"/>
  <c r="K203" i="21"/>
  <c r="J203" i="21"/>
  <c r="G203" i="21"/>
  <c r="Z202" i="21"/>
  <c r="Y202" i="21"/>
  <c r="X202" i="21"/>
  <c r="U202" i="21"/>
  <c r="S202" i="21"/>
  <c r="R202" i="21"/>
  <c r="Q202" i="21"/>
  <c r="N202" i="21"/>
  <c r="L202" i="21"/>
  <c r="K202" i="21"/>
  <c r="J202" i="21"/>
  <c r="G202" i="21"/>
  <c r="Z201" i="21"/>
  <c r="Y201" i="21"/>
  <c r="X201" i="21"/>
  <c r="U201" i="21"/>
  <c r="S201" i="21"/>
  <c r="R201" i="21"/>
  <c r="Q201" i="21"/>
  <c r="N201" i="21"/>
  <c r="L201" i="21"/>
  <c r="K201" i="21"/>
  <c r="J201" i="21"/>
  <c r="G201" i="21"/>
  <c r="Z200" i="21"/>
  <c r="Y200" i="21"/>
  <c r="X200" i="21"/>
  <c r="U200" i="21"/>
  <c r="S200" i="21"/>
  <c r="R200" i="21"/>
  <c r="Q200" i="21"/>
  <c r="N200" i="21"/>
  <c r="L200" i="21"/>
  <c r="K200" i="21"/>
  <c r="J200" i="21"/>
  <c r="G200" i="21"/>
  <c r="Z199" i="21"/>
  <c r="Y199" i="21"/>
  <c r="X199" i="21"/>
  <c r="U199" i="21"/>
  <c r="S199" i="21"/>
  <c r="R199" i="21"/>
  <c r="Q199" i="21"/>
  <c r="N199" i="21"/>
  <c r="L199" i="21"/>
  <c r="K199" i="21"/>
  <c r="J199" i="21"/>
  <c r="G199" i="21"/>
  <c r="Z198" i="21"/>
  <c r="Y198" i="21"/>
  <c r="X198" i="21"/>
  <c r="U198" i="21"/>
  <c r="S198" i="21"/>
  <c r="R198" i="21"/>
  <c r="Q198" i="21"/>
  <c r="N198" i="21"/>
  <c r="L198" i="21"/>
  <c r="K198" i="21"/>
  <c r="J198" i="21"/>
  <c r="G198" i="21"/>
  <c r="Z197" i="21"/>
  <c r="Y197" i="21"/>
  <c r="X197" i="21"/>
  <c r="U197" i="21"/>
  <c r="S197" i="21"/>
  <c r="R197" i="21"/>
  <c r="Q197" i="21"/>
  <c r="N197" i="21"/>
  <c r="L197" i="21"/>
  <c r="K197" i="21"/>
  <c r="J197" i="21"/>
  <c r="G197" i="21"/>
  <c r="Z196" i="21"/>
  <c r="Y196" i="21"/>
  <c r="X196" i="21"/>
  <c r="U196" i="21"/>
  <c r="S196" i="21"/>
  <c r="R196" i="21"/>
  <c r="Q196" i="21"/>
  <c r="N196" i="21"/>
  <c r="L196" i="21"/>
  <c r="K196" i="21"/>
  <c r="J196" i="21"/>
  <c r="G196" i="21"/>
  <c r="Z184" i="21"/>
  <c r="Y184" i="21"/>
  <c r="X184" i="21"/>
  <c r="U184" i="21"/>
  <c r="S184" i="21"/>
  <c r="R184" i="21"/>
  <c r="Q184" i="21"/>
  <c r="N184" i="21"/>
  <c r="L184" i="21"/>
  <c r="K184" i="21"/>
  <c r="J184" i="21"/>
  <c r="G184" i="21"/>
  <c r="Z183" i="21"/>
  <c r="Y183" i="21"/>
  <c r="X183" i="21"/>
  <c r="U183" i="21"/>
  <c r="S183" i="21"/>
  <c r="R183" i="21"/>
  <c r="Q183" i="21"/>
  <c r="N183" i="21"/>
  <c r="L183" i="21"/>
  <c r="K183" i="21"/>
  <c r="J183" i="21"/>
  <c r="G183" i="21"/>
  <c r="Z182" i="21"/>
  <c r="Y182" i="21"/>
  <c r="X182" i="21"/>
  <c r="U182" i="21"/>
  <c r="S182" i="21"/>
  <c r="R182" i="21"/>
  <c r="Q182" i="21"/>
  <c r="N182" i="21"/>
  <c r="L182" i="21"/>
  <c r="K182" i="21"/>
  <c r="J182" i="21"/>
  <c r="G182" i="21"/>
  <c r="Z181" i="21"/>
  <c r="Y181" i="21"/>
  <c r="X181" i="21"/>
  <c r="U181" i="21"/>
  <c r="S181" i="21"/>
  <c r="R181" i="21"/>
  <c r="Q181" i="21"/>
  <c r="N181" i="21"/>
  <c r="L181" i="21"/>
  <c r="K181" i="21"/>
  <c r="J181" i="21"/>
  <c r="G181" i="21"/>
  <c r="Z180" i="21"/>
  <c r="Y180" i="21"/>
  <c r="X180" i="21"/>
  <c r="U180" i="21"/>
  <c r="S180" i="21"/>
  <c r="R180" i="21"/>
  <c r="Q180" i="21"/>
  <c r="N180" i="21"/>
  <c r="L180" i="21"/>
  <c r="K180" i="21"/>
  <c r="J180" i="21"/>
  <c r="G180" i="21"/>
  <c r="Z179" i="21"/>
  <c r="Y179" i="21"/>
  <c r="X179" i="21"/>
  <c r="U179" i="21"/>
  <c r="S179" i="21"/>
  <c r="R179" i="21"/>
  <c r="Q179" i="21"/>
  <c r="N179" i="21"/>
  <c r="L179" i="21"/>
  <c r="K179" i="21"/>
  <c r="J179" i="21"/>
  <c r="G179" i="21"/>
  <c r="Z178" i="21"/>
  <c r="Y178" i="21"/>
  <c r="X178" i="21"/>
  <c r="U178" i="21"/>
  <c r="S178" i="21"/>
  <c r="R178" i="21"/>
  <c r="Q178" i="21"/>
  <c r="N178" i="21"/>
  <c r="L178" i="21"/>
  <c r="K178" i="21"/>
  <c r="J178" i="21"/>
  <c r="G178" i="21"/>
  <c r="Z177" i="21"/>
  <c r="Y177" i="21"/>
  <c r="X177" i="21"/>
  <c r="U177" i="21"/>
  <c r="S177" i="21"/>
  <c r="R177" i="21"/>
  <c r="Q177" i="21"/>
  <c r="N177" i="21"/>
  <c r="L177" i="21"/>
  <c r="K177" i="21"/>
  <c r="J177" i="21"/>
  <c r="G177" i="21"/>
  <c r="Z176" i="21"/>
  <c r="Y176" i="21"/>
  <c r="X176" i="21"/>
  <c r="U176" i="21"/>
  <c r="S176" i="21"/>
  <c r="R176" i="21"/>
  <c r="Q176" i="21"/>
  <c r="N176" i="21"/>
  <c r="L176" i="21"/>
  <c r="K176" i="21"/>
  <c r="J176" i="21"/>
  <c r="G176" i="21"/>
  <c r="Z175" i="21"/>
  <c r="Y175" i="21"/>
  <c r="X175" i="21"/>
  <c r="U175" i="21"/>
  <c r="S175" i="21"/>
  <c r="R175" i="21"/>
  <c r="Q175" i="21"/>
  <c r="N175" i="21"/>
  <c r="L175" i="21"/>
  <c r="K175" i="21"/>
  <c r="J175" i="21"/>
  <c r="G175" i="21"/>
  <c r="Z174" i="21"/>
  <c r="Y174" i="21"/>
  <c r="X174" i="21"/>
  <c r="U174" i="21"/>
  <c r="S174" i="21"/>
  <c r="R174" i="21"/>
  <c r="Q174" i="21"/>
  <c r="N174" i="21"/>
  <c r="L174" i="21"/>
  <c r="K174" i="21"/>
  <c r="J174" i="21"/>
  <c r="G174" i="21"/>
  <c r="Z172" i="21"/>
  <c r="Y172" i="21"/>
  <c r="X172" i="21"/>
  <c r="U172" i="21"/>
  <c r="S172" i="21"/>
  <c r="R172" i="21"/>
  <c r="Q172" i="21"/>
  <c r="N172" i="21"/>
  <c r="L172" i="21"/>
  <c r="K172" i="21"/>
  <c r="J172" i="21"/>
  <c r="G172" i="21"/>
  <c r="Z171" i="21"/>
  <c r="Y171" i="21"/>
  <c r="X171" i="21"/>
  <c r="U171" i="21"/>
  <c r="S171" i="21"/>
  <c r="R171" i="21"/>
  <c r="Q171" i="21"/>
  <c r="N171" i="21"/>
  <c r="L171" i="21"/>
  <c r="K171" i="21"/>
  <c r="J171" i="21"/>
  <c r="G171" i="21"/>
  <c r="Z170" i="21"/>
  <c r="Y170" i="21"/>
  <c r="X170" i="21"/>
  <c r="U170" i="21"/>
  <c r="S170" i="21"/>
  <c r="R170" i="21"/>
  <c r="Q170" i="21"/>
  <c r="N170" i="21"/>
  <c r="L170" i="21"/>
  <c r="K170" i="21"/>
  <c r="J170" i="21"/>
  <c r="G170" i="21"/>
  <c r="Z169" i="21"/>
  <c r="Y169" i="21"/>
  <c r="X169" i="21"/>
  <c r="U169" i="21"/>
  <c r="S169" i="21"/>
  <c r="R169" i="21"/>
  <c r="Q169" i="21"/>
  <c r="N169" i="21"/>
  <c r="L169" i="21"/>
  <c r="K169" i="21"/>
  <c r="J169" i="21"/>
  <c r="G169" i="21"/>
  <c r="Z168" i="21"/>
  <c r="Y168" i="21"/>
  <c r="X168" i="21"/>
  <c r="U168" i="21"/>
  <c r="S168" i="21"/>
  <c r="R168" i="21"/>
  <c r="Q168" i="21"/>
  <c r="N168" i="21"/>
  <c r="L168" i="21"/>
  <c r="K168" i="21"/>
  <c r="J168" i="21"/>
  <c r="G168" i="21"/>
  <c r="Z167" i="21"/>
  <c r="Y167" i="21"/>
  <c r="X167" i="21"/>
  <c r="U167" i="21"/>
  <c r="S167" i="21"/>
  <c r="R167" i="21"/>
  <c r="Q167" i="21"/>
  <c r="N167" i="21"/>
  <c r="L167" i="21"/>
  <c r="K167" i="21"/>
  <c r="J167" i="21"/>
  <c r="G167" i="21"/>
  <c r="Z166" i="21"/>
  <c r="Y166" i="21"/>
  <c r="X166" i="21"/>
  <c r="U166" i="21"/>
  <c r="S166" i="21"/>
  <c r="R166" i="21"/>
  <c r="Q166" i="21"/>
  <c r="N166" i="21"/>
  <c r="L166" i="21"/>
  <c r="K166" i="21"/>
  <c r="J166" i="21"/>
  <c r="G166" i="21"/>
  <c r="Z165" i="21"/>
  <c r="Y165" i="21"/>
  <c r="X165" i="21"/>
  <c r="U165" i="21"/>
  <c r="S165" i="21"/>
  <c r="R165" i="21"/>
  <c r="Q165" i="21"/>
  <c r="N165" i="21"/>
  <c r="L165" i="21"/>
  <c r="K165" i="21"/>
  <c r="J165" i="21"/>
  <c r="G165" i="21"/>
  <c r="Z164" i="21"/>
  <c r="Y164" i="21"/>
  <c r="X164" i="21"/>
  <c r="U164" i="21"/>
  <c r="S164" i="21"/>
  <c r="R164" i="21"/>
  <c r="Q164" i="21"/>
  <c r="N164" i="21"/>
  <c r="L164" i="21"/>
  <c r="K164" i="21"/>
  <c r="J164" i="21"/>
  <c r="G164" i="21"/>
  <c r="Z151" i="21"/>
  <c r="Y151" i="21"/>
  <c r="X151" i="21"/>
  <c r="U151" i="21"/>
  <c r="S151" i="21"/>
  <c r="R151" i="21"/>
  <c r="Q151" i="21"/>
  <c r="N151" i="21"/>
  <c r="L151" i="21"/>
  <c r="K151" i="21"/>
  <c r="J151" i="21"/>
  <c r="G151" i="21"/>
  <c r="Z150" i="21"/>
  <c r="Y150" i="21"/>
  <c r="X150" i="21"/>
  <c r="U150" i="21"/>
  <c r="S150" i="21"/>
  <c r="R150" i="21"/>
  <c r="Q150" i="21"/>
  <c r="N150" i="21"/>
  <c r="L150" i="21"/>
  <c r="K150" i="21"/>
  <c r="J150" i="21"/>
  <c r="G150" i="21"/>
  <c r="Z149" i="21"/>
  <c r="Y149" i="21"/>
  <c r="X149" i="21"/>
  <c r="U149" i="21"/>
  <c r="S149" i="21"/>
  <c r="R149" i="21"/>
  <c r="Q149" i="21"/>
  <c r="N149" i="21"/>
  <c r="L149" i="21"/>
  <c r="K149" i="21"/>
  <c r="J149" i="21"/>
  <c r="G149" i="21"/>
  <c r="Z143" i="21"/>
  <c r="Y143" i="21"/>
  <c r="X143" i="21"/>
  <c r="U143" i="21"/>
  <c r="S143" i="21"/>
  <c r="R143" i="21"/>
  <c r="Q143" i="21"/>
  <c r="N143" i="21"/>
  <c r="L143" i="21"/>
  <c r="K143" i="21"/>
  <c r="J143" i="21"/>
  <c r="G143" i="21"/>
  <c r="Z142" i="21"/>
  <c r="Y142" i="21"/>
  <c r="X142" i="21"/>
  <c r="U142" i="21"/>
  <c r="S142" i="21"/>
  <c r="R142" i="21"/>
  <c r="Q142" i="21"/>
  <c r="N142" i="21"/>
  <c r="L142" i="21"/>
  <c r="K142" i="21"/>
  <c r="J142" i="21"/>
  <c r="G142" i="21"/>
  <c r="Z141" i="21"/>
  <c r="Y141" i="21"/>
  <c r="X141" i="21"/>
  <c r="U141" i="21"/>
  <c r="S141" i="21"/>
  <c r="R141" i="21"/>
  <c r="Q141" i="21"/>
  <c r="N141" i="21"/>
  <c r="L141" i="21"/>
  <c r="K141" i="21"/>
  <c r="J141" i="21"/>
  <c r="G141" i="21"/>
  <c r="Z140" i="21"/>
  <c r="Y140" i="21"/>
  <c r="X140" i="21"/>
  <c r="U140" i="21"/>
  <c r="S140" i="21"/>
  <c r="R140" i="21"/>
  <c r="Q140" i="21"/>
  <c r="N140" i="21"/>
  <c r="L140" i="21"/>
  <c r="K140" i="21"/>
  <c r="J140" i="21"/>
  <c r="G140" i="21"/>
  <c r="Z139" i="21"/>
  <c r="Y139" i="21"/>
  <c r="X139" i="21"/>
  <c r="U139" i="21"/>
  <c r="S139" i="21"/>
  <c r="R139" i="21"/>
  <c r="Q139" i="21"/>
  <c r="N139" i="21"/>
  <c r="L139" i="21"/>
  <c r="K139" i="21"/>
  <c r="J139" i="21"/>
  <c r="G139" i="21"/>
  <c r="Z138" i="21"/>
  <c r="Y138" i="21"/>
  <c r="X138" i="21"/>
  <c r="U138" i="21"/>
  <c r="S138" i="21"/>
  <c r="R138" i="21"/>
  <c r="Q138" i="21"/>
  <c r="N138" i="21"/>
  <c r="L138" i="21"/>
  <c r="K138" i="21"/>
  <c r="J138" i="21"/>
  <c r="G138" i="21"/>
  <c r="Z137" i="21"/>
  <c r="Y137" i="21"/>
  <c r="X137" i="21"/>
  <c r="U137" i="21"/>
  <c r="S137" i="21"/>
  <c r="R137" i="21"/>
  <c r="Q137" i="21"/>
  <c r="N137" i="21"/>
  <c r="L137" i="21"/>
  <c r="K137" i="21"/>
  <c r="J137" i="21"/>
  <c r="G137" i="21"/>
  <c r="Z136" i="21"/>
  <c r="Y136" i="21"/>
  <c r="X136" i="21"/>
  <c r="U136" i="21"/>
  <c r="S136" i="21"/>
  <c r="R136" i="21"/>
  <c r="Q136" i="21"/>
  <c r="N136" i="21"/>
  <c r="L136" i="21"/>
  <c r="K136" i="21"/>
  <c r="J136" i="21"/>
  <c r="G136" i="21"/>
  <c r="Z135" i="21"/>
  <c r="Y135" i="21"/>
  <c r="X135" i="21"/>
  <c r="U135" i="21"/>
  <c r="S135" i="21"/>
  <c r="R135" i="21"/>
  <c r="Q135" i="21"/>
  <c r="N135" i="21"/>
  <c r="L135" i="21"/>
  <c r="K135" i="21"/>
  <c r="J135" i="21"/>
  <c r="G135" i="21"/>
  <c r="Z134" i="21"/>
  <c r="Y134" i="21"/>
  <c r="X134" i="21"/>
  <c r="U134" i="21"/>
  <c r="S134" i="21"/>
  <c r="R134" i="21"/>
  <c r="Q134" i="21"/>
  <c r="N134" i="21"/>
  <c r="L134" i="21"/>
  <c r="K134" i="21"/>
  <c r="J134" i="21"/>
  <c r="G134" i="21"/>
  <c r="Z133" i="21"/>
  <c r="Y133" i="21"/>
  <c r="X133" i="21"/>
  <c r="U133" i="21"/>
  <c r="S133" i="21"/>
  <c r="R133" i="21"/>
  <c r="Q133" i="21"/>
  <c r="N133" i="21"/>
  <c r="L133" i="21"/>
  <c r="K133" i="21"/>
  <c r="J133" i="21"/>
  <c r="G133" i="21"/>
  <c r="Z132" i="21"/>
  <c r="Y132" i="21"/>
  <c r="X132" i="21"/>
  <c r="U132" i="21"/>
  <c r="S132" i="21"/>
  <c r="R132" i="21"/>
  <c r="Q132" i="21"/>
  <c r="N132" i="21"/>
  <c r="L132" i="21"/>
  <c r="K132" i="21"/>
  <c r="J132" i="21"/>
  <c r="G132" i="21"/>
  <c r="Z131" i="21"/>
  <c r="Y131" i="21"/>
  <c r="X131" i="21"/>
  <c r="U131" i="21"/>
  <c r="S131" i="21"/>
  <c r="R131" i="21"/>
  <c r="Q131" i="21"/>
  <c r="N131" i="21"/>
  <c r="L131" i="21"/>
  <c r="K131" i="21"/>
  <c r="J131" i="21"/>
  <c r="G131" i="21"/>
  <c r="Z130" i="21"/>
  <c r="Y130" i="21"/>
  <c r="X130" i="21"/>
  <c r="U130" i="21"/>
  <c r="S130" i="21"/>
  <c r="R130" i="21"/>
  <c r="Q130" i="21"/>
  <c r="N130" i="21"/>
  <c r="L130" i="21"/>
  <c r="K130" i="21"/>
  <c r="J130" i="21"/>
  <c r="G130" i="21"/>
  <c r="Z129" i="21"/>
  <c r="Y129" i="21"/>
  <c r="X129" i="21"/>
  <c r="U129" i="21"/>
  <c r="S129" i="21"/>
  <c r="R129" i="21"/>
  <c r="Q129" i="21"/>
  <c r="N129" i="21"/>
  <c r="L129" i="21"/>
  <c r="K129" i="21"/>
  <c r="J129" i="21"/>
  <c r="G129" i="21"/>
  <c r="Z128" i="21"/>
  <c r="Y128" i="21"/>
  <c r="X128" i="21"/>
  <c r="U128" i="21"/>
  <c r="S128" i="21"/>
  <c r="R128" i="21"/>
  <c r="Q128" i="21"/>
  <c r="N128" i="21"/>
  <c r="L128" i="21"/>
  <c r="K128" i="21"/>
  <c r="J128" i="21"/>
  <c r="G128" i="21"/>
  <c r="Z127" i="21"/>
  <c r="Y127" i="21"/>
  <c r="X127" i="21"/>
  <c r="U127" i="21"/>
  <c r="S127" i="21"/>
  <c r="R127" i="21"/>
  <c r="Q127" i="21"/>
  <c r="N127" i="21"/>
  <c r="L127" i="21"/>
  <c r="K127" i="21"/>
  <c r="J127" i="21"/>
  <c r="G127" i="21"/>
  <c r="Z126" i="21"/>
  <c r="Y126" i="21"/>
  <c r="X126" i="21"/>
  <c r="U126" i="21"/>
  <c r="S126" i="21"/>
  <c r="R126" i="21"/>
  <c r="Q126" i="21"/>
  <c r="N126" i="21"/>
  <c r="L126" i="21"/>
  <c r="K126" i="21"/>
  <c r="J126" i="21"/>
  <c r="G126" i="21"/>
  <c r="Z125" i="21"/>
  <c r="Y125" i="21"/>
  <c r="X125" i="21"/>
  <c r="U125" i="21"/>
  <c r="S125" i="21"/>
  <c r="R125" i="21"/>
  <c r="Q125" i="21"/>
  <c r="N125" i="21"/>
  <c r="L125" i="21"/>
  <c r="K125" i="21"/>
  <c r="J125" i="21"/>
  <c r="G125" i="21"/>
  <c r="Z124" i="21"/>
  <c r="Y124" i="21"/>
  <c r="X124" i="21"/>
  <c r="U124" i="21"/>
  <c r="S124" i="21"/>
  <c r="R124" i="21"/>
  <c r="Q124" i="21"/>
  <c r="N124" i="21"/>
  <c r="L124" i="21"/>
  <c r="K124" i="21"/>
  <c r="J124" i="21"/>
  <c r="G124" i="21"/>
  <c r="Z123" i="21"/>
  <c r="Y123" i="21"/>
  <c r="X123" i="21"/>
  <c r="U123" i="21"/>
  <c r="S123" i="21"/>
  <c r="R123" i="21"/>
  <c r="Q123" i="21"/>
  <c r="N123" i="21"/>
  <c r="L123" i="21"/>
  <c r="K123" i="21"/>
  <c r="J123" i="21"/>
  <c r="G123" i="21"/>
  <c r="Z122" i="21"/>
  <c r="Y122" i="21"/>
  <c r="X122" i="21"/>
  <c r="U122" i="21"/>
  <c r="S122" i="21"/>
  <c r="R122" i="21"/>
  <c r="Q122" i="21"/>
  <c r="N122" i="21"/>
  <c r="L122" i="21"/>
  <c r="K122" i="21"/>
  <c r="J122" i="21"/>
  <c r="G122" i="21"/>
  <c r="Z121" i="21"/>
  <c r="Y121" i="21"/>
  <c r="X121" i="21"/>
  <c r="U121" i="21"/>
  <c r="S121" i="21"/>
  <c r="R121" i="21"/>
  <c r="Q121" i="21"/>
  <c r="N121" i="21"/>
  <c r="L121" i="21"/>
  <c r="K121" i="21"/>
  <c r="J121" i="21"/>
  <c r="G121" i="21"/>
  <c r="Z120" i="21"/>
  <c r="Y120" i="21"/>
  <c r="X120" i="21"/>
  <c r="U120" i="21"/>
  <c r="S120" i="21"/>
  <c r="R120" i="21"/>
  <c r="Q120" i="21"/>
  <c r="N120" i="21"/>
  <c r="L120" i="21"/>
  <c r="K120" i="21"/>
  <c r="J120" i="21"/>
  <c r="G120" i="21"/>
  <c r="Z119" i="21"/>
  <c r="Y119" i="21"/>
  <c r="X119" i="21"/>
  <c r="U119" i="21"/>
  <c r="S119" i="21"/>
  <c r="R119" i="21"/>
  <c r="Q119" i="21"/>
  <c r="N119" i="21"/>
  <c r="L119" i="21"/>
  <c r="K119" i="21"/>
  <c r="J119" i="21"/>
  <c r="G119" i="21"/>
  <c r="Z114" i="21"/>
  <c r="Y114" i="21"/>
  <c r="X114" i="21"/>
  <c r="U114" i="21"/>
  <c r="S114" i="21"/>
  <c r="R114" i="21"/>
  <c r="Q114" i="21"/>
  <c r="N114" i="21"/>
  <c r="L114" i="21"/>
  <c r="K114" i="21"/>
  <c r="J114" i="21"/>
  <c r="G114" i="21"/>
  <c r="Z113" i="21"/>
  <c r="Y113" i="21"/>
  <c r="X113" i="21"/>
  <c r="U113" i="21"/>
  <c r="S113" i="21"/>
  <c r="R113" i="21"/>
  <c r="Q113" i="21"/>
  <c r="N113" i="21"/>
  <c r="L113" i="21"/>
  <c r="K113" i="21"/>
  <c r="J113" i="21"/>
  <c r="G113" i="21"/>
  <c r="Z112" i="21"/>
  <c r="Y112" i="21"/>
  <c r="X112" i="21"/>
  <c r="U112" i="21"/>
  <c r="S112" i="21"/>
  <c r="R112" i="21"/>
  <c r="Q112" i="21"/>
  <c r="N112" i="21"/>
  <c r="L112" i="21"/>
  <c r="K112" i="21"/>
  <c r="J112" i="21"/>
  <c r="G112" i="21"/>
  <c r="Z111" i="21"/>
  <c r="Y111" i="21"/>
  <c r="X111" i="21"/>
  <c r="U111" i="21"/>
  <c r="S111" i="21"/>
  <c r="R111" i="21"/>
  <c r="Q111" i="21"/>
  <c r="N111" i="21"/>
  <c r="L111" i="21"/>
  <c r="K111" i="21"/>
  <c r="J111" i="21"/>
  <c r="G111" i="21"/>
  <c r="Z110" i="21"/>
  <c r="Y110" i="21"/>
  <c r="X110" i="21"/>
  <c r="U110" i="21"/>
  <c r="S110" i="21"/>
  <c r="R110" i="21"/>
  <c r="Q110" i="21"/>
  <c r="N110" i="21"/>
  <c r="L110" i="21"/>
  <c r="K110" i="21"/>
  <c r="J110" i="21"/>
  <c r="G110" i="21"/>
  <c r="Z109" i="21"/>
  <c r="Y109" i="21"/>
  <c r="X109" i="21"/>
  <c r="U109" i="21"/>
  <c r="S109" i="21"/>
  <c r="R109" i="21"/>
  <c r="Q109" i="21"/>
  <c r="N109" i="21"/>
  <c r="L109" i="21"/>
  <c r="K109" i="21"/>
  <c r="J109" i="21"/>
  <c r="G109" i="21"/>
  <c r="Z108" i="21"/>
  <c r="Y108" i="21"/>
  <c r="X108" i="21"/>
  <c r="U108" i="21"/>
  <c r="S108" i="21"/>
  <c r="R108" i="21"/>
  <c r="Q108" i="21"/>
  <c r="N108" i="21"/>
  <c r="L108" i="21"/>
  <c r="K108" i="21"/>
  <c r="J108" i="21"/>
  <c r="G108" i="21"/>
  <c r="Z107" i="21"/>
  <c r="Y107" i="21"/>
  <c r="X107" i="21"/>
  <c r="U107" i="21"/>
  <c r="S107" i="21"/>
  <c r="R107" i="21"/>
  <c r="Q107" i="21"/>
  <c r="N107" i="21"/>
  <c r="L107" i="21"/>
  <c r="K107" i="21"/>
  <c r="J107" i="21"/>
  <c r="G107" i="21"/>
  <c r="Z106" i="21"/>
  <c r="Y106" i="21"/>
  <c r="X106" i="21"/>
  <c r="U106" i="21"/>
  <c r="S106" i="21"/>
  <c r="R106" i="21"/>
  <c r="Q106" i="21"/>
  <c r="N106" i="21"/>
  <c r="L106" i="21"/>
  <c r="K106" i="21"/>
  <c r="J106" i="21"/>
  <c r="G106" i="21"/>
  <c r="Z105" i="21"/>
  <c r="Y105" i="21"/>
  <c r="X105" i="21"/>
  <c r="U105" i="21"/>
  <c r="S105" i="21"/>
  <c r="R105" i="21"/>
  <c r="Q105" i="21"/>
  <c r="N105" i="21"/>
  <c r="L105" i="21"/>
  <c r="K105" i="21"/>
  <c r="J105" i="21"/>
  <c r="G105" i="21"/>
  <c r="Z101" i="21"/>
  <c r="Y101" i="21"/>
  <c r="X101" i="21"/>
  <c r="U101" i="21"/>
  <c r="S101" i="21"/>
  <c r="R101" i="21"/>
  <c r="Q101" i="21"/>
  <c r="N101" i="21"/>
  <c r="L101" i="21"/>
  <c r="K101" i="21"/>
  <c r="J101" i="21"/>
  <c r="G101" i="21"/>
  <c r="Z100" i="21"/>
  <c r="Y100" i="21"/>
  <c r="X100" i="21"/>
  <c r="U100" i="21"/>
  <c r="S100" i="21"/>
  <c r="R100" i="21"/>
  <c r="Q100" i="21"/>
  <c r="N100" i="21"/>
  <c r="L100" i="21"/>
  <c r="K100" i="21"/>
  <c r="J100" i="21"/>
  <c r="G100" i="21"/>
  <c r="Z99" i="21"/>
  <c r="Y99" i="21"/>
  <c r="X99" i="21"/>
  <c r="U99" i="21"/>
  <c r="S99" i="21"/>
  <c r="R99" i="21"/>
  <c r="Q99" i="21"/>
  <c r="N99" i="21"/>
  <c r="L99" i="21"/>
  <c r="K99" i="21"/>
  <c r="J99" i="21"/>
  <c r="G99" i="21"/>
  <c r="Z98" i="21"/>
  <c r="Y98" i="21"/>
  <c r="X98" i="21"/>
  <c r="U98" i="21"/>
  <c r="S98" i="21"/>
  <c r="R98" i="21"/>
  <c r="Q98" i="21"/>
  <c r="N98" i="21"/>
  <c r="L98" i="21"/>
  <c r="K98" i="21"/>
  <c r="J98" i="21"/>
  <c r="G98" i="21"/>
  <c r="Z97" i="21"/>
  <c r="Y97" i="21"/>
  <c r="X97" i="21"/>
  <c r="U97" i="21"/>
  <c r="S97" i="21"/>
  <c r="R97" i="21"/>
  <c r="Q97" i="21"/>
  <c r="N97" i="21"/>
  <c r="L97" i="21"/>
  <c r="K97" i="21"/>
  <c r="J97" i="21"/>
  <c r="G97" i="21"/>
  <c r="Z96" i="21"/>
  <c r="Y96" i="21"/>
  <c r="X96" i="21"/>
  <c r="U96" i="21"/>
  <c r="S96" i="21"/>
  <c r="R96" i="21"/>
  <c r="Q96" i="21"/>
  <c r="N96" i="21"/>
  <c r="L96" i="21"/>
  <c r="K96" i="21"/>
  <c r="J96" i="21"/>
  <c r="G96" i="21"/>
  <c r="Z92" i="21"/>
  <c r="Y92" i="21"/>
  <c r="X92" i="21"/>
  <c r="U92" i="21"/>
  <c r="S92" i="21"/>
  <c r="R92" i="21"/>
  <c r="Q92" i="21"/>
  <c r="N92" i="21"/>
  <c r="L92" i="21"/>
  <c r="K92" i="21"/>
  <c r="J92" i="21"/>
  <c r="G92" i="21"/>
  <c r="Z91" i="21"/>
  <c r="Y91" i="21"/>
  <c r="X91" i="21"/>
  <c r="U91" i="21"/>
  <c r="S91" i="21"/>
  <c r="R91" i="21"/>
  <c r="Q91" i="21"/>
  <c r="N91" i="21"/>
  <c r="L91" i="21"/>
  <c r="K91" i="21"/>
  <c r="J91" i="21"/>
  <c r="G91" i="21"/>
  <c r="Z90" i="21"/>
  <c r="Y90" i="21"/>
  <c r="X90" i="21"/>
  <c r="U90" i="21"/>
  <c r="S90" i="21"/>
  <c r="R90" i="21"/>
  <c r="Q90" i="21"/>
  <c r="N90" i="21"/>
  <c r="L90" i="21"/>
  <c r="K90" i="21"/>
  <c r="J90" i="21"/>
  <c r="G90" i="21"/>
  <c r="Z89" i="21"/>
  <c r="Y89" i="21"/>
  <c r="X89" i="21"/>
  <c r="U89" i="21"/>
  <c r="S89" i="21"/>
  <c r="R89" i="21"/>
  <c r="Q89" i="21"/>
  <c r="N89" i="21"/>
  <c r="L89" i="21"/>
  <c r="K89" i="21"/>
  <c r="J89" i="21"/>
  <c r="G89" i="21"/>
  <c r="Z88" i="21"/>
  <c r="Y88" i="21"/>
  <c r="X88" i="21"/>
  <c r="U88" i="21"/>
  <c r="S88" i="21"/>
  <c r="R88" i="21"/>
  <c r="Q88" i="21"/>
  <c r="N88" i="21"/>
  <c r="L88" i="21"/>
  <c r="K88" i="21"/>
  <c r="J88" i="21"/>
  <c r="G88" i="21"/>
  <c r="Z87" i="21"/>
  <c r="Y87" i="21"/>
  <c r="X87" i="21"/>
  <c r="U87" i="21"/>
  <c r="S87" i="21"/>
  <c r="R87" i="21"/>
  <c r="Q87" i="21"/>
  <c r="N87" i="21"/>
  <c r="L87" i="21"/>
  <c r="K87" i="21"/>
  <c r="J87" i="21"/>
  <c r="G87" i="21"/>
  <c r="Z86" i="21"/>
  <c r="Y86" i="21"/>
  <c r="X86" i="21"/>
  <c r="U86" i="21"/>
  <c r="S86" i="21"/>
  <c r="R86" i="21"/>
  <c r="Q86" i="21"/>
  <c r="N86" i="21"/>
  <c r="L86" i="21"/>
  <c r="K86" i="21"/>
  <c r="J86" i="21"/>
  <c r="G86" i="21"/>
  <c r="Z85" i="21"/>
  <c r="Y85" i="21"/>
  <c r="X85" i="21"/>
  <c r="U85" i="21"/>
  <c r="S85" i="21"/>
  <c r="R85" i="21"/>
  <c r="Q85" i="21"/>
  <c r="N85" i="21"/>
  <c r="L85" i="21"/>
  <c r="K85" i="21"/>
  <c r="J85" i="21"/>
  <c r="G85" i="21"/>
  <c r="Z84" i="21"/>
  <c r="Y84" i="21"/>
  <c r="X84" i="21"/>
  <c r="U84" i="21"/>
  <c r="S84" i="21"/>
  <c r="R84" i="21"/>
  <c r="Q84" i="21"/>
  <c r="N84" i="21"/>
  <c r="L84" i="21"/>
  <c r="K84" i="21"/>
  <c r="J84" i="21"/>
  <c r="G84" i="21"/>
  <c r="Z83" i="21"/>
  <c r="Y83" i="21"/>
  <c r="X83" i="21"/>
  <c r="U83" i="21"/>
  <c r="S83" i="21"/>
  <c r="R83" i="21"/>
  <c r="Q83" i="21"/>
  <c r="N83" i="21"/>
  <c r="L83" i="21"/>
  <c r="K83" i="21"/>
  <c r="J83" i="21"/>
  <c r="G83" i="21"/>
  <c r="Z82" i="21"/>
  <c r="Y82" i="21"/>
  <c r="X82" i="21"/>
  <c r="U82" i="21"/>
  <c r="S82" i="21"/>
  <c r="R82" i="21"/>
  <c r="Q82" i="21"/>
  <c r="N82" i="21"/>
  <c r="L82" i="21"/>
  <c r="K82" i="21"/>
  <c r="J82" i="21"/>
  <c r="G82" i="21"/>
  <c r="Z81" i="21"/>
  <c r="Y81" i="21"/>
  <c r="X81" i="21"/>
  <c r="U81" i="21"/>
  <c r="S81" i="21"/>
  <c r="R81" i="21"/>
  <c r="Q81" i="21"/>
  <c r="N81" i="21"/>
  <c r="L81" i="21"/>
  <c r="K81" i="21"/>
  <c r="J81" i="21"/>
  <c r="G81" i="21"/>
  <c r="Z80" i="21"/>
  <c r="Y80" i="21"/>
  <c r="X80" i="21"/>
  <c r="U80" i="21"/>
  <c r="S80" i="21"/>
  <c r="R80" i="21"/>
  <c r="Q80" i="21"/>
  <c r="N80" i="21"/>
  <c r="L80" i="21"/>
  <c r="K80" i="21"/>
  <c r="J80" i="21"/>
  <c r="G80" i="21"/>
  <c r="Z79" i="21"/>
  <c r="Y79" i="21"/>
  <c r="X79" i="21"/>
  <c r="U79" i="21"/>
  <c r="S79" i="21"/>
  <c r="R79" i="21"/>
  <c r="Q79" i="21"/>
  <c r="N79" i="21"/>
  <c r="L79" i="21"/>
  <c r="K79" i="21"/>
  <c r="J79" i="21"/>
  <c r="G79" i="21"/>
  <c r="Z78" i="21"/>
  <c r="Y78" i="21"/>
  <c r="X78" i="21"/>
  <c r="U78" i="21"/>
  <c r="S78" i="21"/>
  <c r="R78" i="21"/>
  <c r="Q78" i="21"/>
  <c r="N78" i="21"/>
  <c r="L78" i="21"/>
  <c r="K78" i="21"/>
  <c r="J78" i="21"/>
  <c r="G78" i="21"/>
  <c r="Z77" i="21"/>
  <c r="Y77" i="21"/>
  <c r="X77" i="21"/>
  <c r="U77" i="21"/>
  <c r="S77" i="21"/>
  <c r="R77" i="21"/>
  <c r="Q77" i="21"/>
  <c r="N77" i="21"/>
  <c r="L77" i="21"/>
  <c r="K77" i="21"/>
  <c r="J77" i="21"/>
  <c r="G77" i="21"/>
  <c r="Z76" i="21"/>
  <c r="Y76" i="21"/>
  <c r="X76" i="21"/>
  <c r="U76" i="21"/>
  <c r="S76" i="21"/>
  <c r="R76" i="21"/>
  <c r="Q76" i="21"/>
  <c r="N76" i="21"/>
  <c r="L76" i="21"/>
  <c r="K76" i="21"/>
  <c r="J76" i="21"/>
  <c r="G76" i="21"/>
  <c r="Z75" i="21"/>
  <c r="Y75" i="21"/>
  <c r="X75" i="21"/>
  <c r="U75" i="21"/>
  <c r="S75" i="21"/>
  <c r="R75" i="21"/>
  <c r="Q75" i="21"/>
  <c r="N75" i="21"/>
  <c r="L75" i="21"/>
  <c r="K75" i="21"/>
  <c r="J75" i="21"/>
  <c r="G75" i="21"/>
  <c r="Z74" i="21"/>
  <c r="Y74" i="21"/>
  <c r="X74" i="21"/>
  <c r="U74" i="21"/>
  <c r="S74" i="21"/>
  <c r="R74" i="21"/>
  <c r="Q74" i="21"/>
  <c r="N74" i="21"/>
  <c r="L74" i="21"/>
  <c r="K74" i="21"/>
  <c r="J74" i="21"/>
  <c r="G74" i="21"/>
  <c r="Z73" i="21"/>
  <c r="Y73" i="21"/>
  <c r="X73" i="21"/>
  <c r="U73" i="21"/>
  <c r="S73" i="21"/>
  <c r="R73" i="21"/>
  <c r="Q73" i="21"/>
  <c r="N73" i="21"/>
  <c r="L73" i="21"/>
  <c r="K73" i="21"/>
  <c r="J73" i="21"/>
  <c r="G73" i="21"/>
  <c r="Z70" i="21"/>
  <c r="Y70" i="21"/>
  <c r="X70" i="21"/>
  <c r="U70" i="21"/>
  <c r="S70" i="21"/>
  <c r="R70" i="21"/>
  <c r="Q70" i="21"/>
  <c r="N70" i="21"/>
  <c r="L70" i="21"/>
  <c r="K70" i="21"/>
  <c r="J70" i="21"/>
  <c r="G70" i="21"/>
  <c r="Z69" i="21"/>
  <c r="Y69" i="21"/>
  <c r="X69" i="21"/>
  <c r="U69" i="21"/>
  <c r="S69" i="21"/>
  <c r="R69" i="21"/>
  <c r="Q69" i="21"/>
  <c r="N69" i="21"/>
  <c r="L69" i="21"/>
  <c r="K69" i="21"/>
  <c r="J69" i="21"/>
  <c r="G69" i="21"/>
  <c r="Z68" i="21"/>
  <c r="Y68" i="21"/>
  <c r="X68" i="21"/>
  <c r="U68" i="21"/>
  <c r="S68" i="21"/>
  <c r="R68" i="21"/>
  <c r="Q68" i="21"/>
  <c r="N68" i="21"/>
  <c r="L68" i="21"/>
  <c r="K68" i="21"/>
  <c r="J68" i="21"/>
  <c r="G68" i="21"/>
  <c r="Z67" i="21"/>
  <c r="Y67" i="21"/>
  <c r="X67" i="21"/>
  <c r="U67" i="21"/>
  <c r="S67" i="21"/>
  <c r="R67" i="21"/>
  <c r="Q67" i="21"/>
  <c r="N67" i="21"/>
  <c r="L67" i="21"/>
  <c r="K67" i="21"/>
  <c r="J67" i="21"/>
  <c r="G67" i="21"/>
  <c r="Z66" i="21"/>
  <c r="Y66" i="21"/>
  <c r="X66" i="21"/>
  <c r="U66" i="21"/>
  <c r="S66" i="21"/>
  <c r="R66" i="21"/>
  <c r="Q66" i="21"/>
  <c r="N66" i="21"/>
  <c r="L66" i="21"/>
  <c r="K66" i="21"/>
  <c r="J66" i="21"/>
  <c r="G66" i="21"/>
  <c r="Z62" i="21"/>
  <c r="Y62" i="21"/>
  <c r="X62" i="21"/>
  <c r="U62" i="21"/>
  <c r="S62" i="21"/>
  <c r="R62" i="21"/>
  <c r="Q62" i="21"/>
  <c r="N62" i="21"/>
  <c r="L62" i="21"/>
  <c r="K62" i="21"/>
  <c r="J62" i="21"/>
  <c r="G62" i="21"/>
  <c r="Z61" i="21"/>
  <c r="Y61" i="21"/>
  <c r="X61" i="21"/>
  <c r="U61" i="21"/>
  <c r="S61" i="21"/>
  <c r="R61" i="21"/>
  <c r="Q61" i="21"/>
  <c r="N61" i="21"/>
  <c r="L61" i="21"/>
  <c r="K61" i="21"/>
  <c r="J61" i="21"/>
  <c r="G61" i="21"/>
  <c r="Z60" i="21"/>
  <c r="Y60" i="21"/>
  <c r="X60" i="21"/>
  <c r="U60" i="21"/>
  <c r="S60" i="21"/>
  <c r="R60" i="21"/>
  <c r="Q60" i="21"/>
  <c r="N60" i="21"/>
  <c r="L60" i="21"/>
  <c r="K60" i="21"/>
  <c r="J60" i="21"/>
  <c r="G60" i="21"/>
  <c r="Z59" i="21"/>
  <c r="Y59" i="21"/>
  <c r="X59" i="21"/>
  <c r="U59" i="21"/>
  <c r="S59" i="21"/>
  <c r="R59" i="21"/>
  <c r="Q59" i="21"/>
  <c r="N59" i="21"/>
  <c r="L59" i="21"/>
  <c r="K59" i="21"/>
  <c r="J59" i="21"/>
  <c r="G59" i="21"/>
  <c r="Z58" i="21"/>
  <c r="Y58" i="21"/>
  <c r="X58" i="21"/>
  <c r="U58" i="21"/>
  <c r="S58" i="21"/>
  <c r="R58" i="21"/>
  <c r="Q58" i="21"/>
  <c r="N58" i="21"/>
  <c r="L58" i="21"/>
  <c r="K58" i="21"/>
  <c r="J58" i="21"/>
  <c r="G58" i="21"/>
  <c r="Z57" i="21"/>
  <c r="Y57" i="21"/>
  <c r="X57" i="21"/>
  <c r="U57" i="21"/>
  <c r="S57" i="21"/>
  <c r="R57" i="21"/>
  <c r="Q57" i="21"/>
  <c r="N57" i="21"/>
  <c r="L57" i="21"/>
  <c r="K57" i="21"/>
  <c r="J57" i="21"/>
  <c r="G57" i="21"/>
  <c r="Z56" i="21"/>
  <c r="Y56" i="21"/>
  <c r="X56" i="21"/>
  <c r="U56" i="21"/>
  <c r="S56" i="21"/>
  <c r="R56" i="21"/>
  <c r="Q56" i="21"/>
  <c r="N56" i="21"/>
  <c r="L56" i="21"/>
  <c r="K56" i="21"/>
  <c r="J56" i="21"/>
  <c r="G56" i="21"/>
  <c r="Z55" i="21"/>
  <c r="Y55" i="21"/>
  <c r="X55" i="21"/>
  <c r="U55" i="21"/>
  <c r="S55" i="21"/>
  <c r="R55" i="21"/>
  <c r="Q55" i="21"/>
  <c r="N55" i="21"/>
  <c r="L55" i="21"/>
  <c r="K55" i="21"/>
  <c r="J55" i="21"/>
  <c r="G55" i="21"/>
  <c r="Z54" i="21"/>
  <c r="Y54" i="21"/>
  <c r="X54" i="21"/>
  <c r="U54" i="21"/>
  <c r="S54" i="21"/>
  <c r="R54" i="21"/>
  <c r="Q54" i="21"/>
  <c r="N54" i="21"/>
  <c r="L54" i="21"/>
  <c r="K54" i="21"/>
  <c r="J54" i="21"/>
  <c r="G54" i="21"/>
  <c r="Z53" i="21"/>
  <c r="Y53" i="21"/>
  <c r="X53" i="21"/>
  <c r="U53" i="21"/>
  <c r="S53" i="21"/>
  <c r="R53" i="21"/>
  <c r="Q53" i="21"/>
  <c r="N53" i="21"/>
  <c r="L53" i="21"/>
  <c r="K53" i="21"/>
  <c r="J53" i="21"/>
  <c r="G53" i="21"/>
  <c r="Z52" i="21"/>
  <c r="Y52" i="21"/>
  <c r="X52" i="21"/>
  <c r="U52" i="21"/>
  <c r="S52" i="21"/>
  <c r="R52" i="21"/>
  <c r="Q52" i="21"/>
  <c r="N52" i="21"/>
  <c r="L52" i="21"/>
  <c r="K52" i="21"/>
  <c r="J52" i="21"/>
  <c r="G52" i="21"/>
  <c r="Z51" i="21"/>
  <c r="Y51" i="21"/>
  <c r="X51" i="21"/>
  <c r="U51" i="21"/>
  <c r="S51" i="21"/>
  <c r="R51" i="21"/>
  <c r="Q51" i="21"/>
  <c r="N51" i="21"/>
  <c r="L51" i="21"/>
  <c r="K51" i="21"/>
  <c r="J51" i="21"/>
  <c r="G51" i="21"/>
  <c r="Z50" i="21"/>
  <c r="Y50" i="21"/>
  <c r="X50" i="21"/>
  <c r="U50" i="21"/>
  <c r="S50" i="21"/>
  <c r="R50" i="21"/>
  <c r="Q50" i="21"/>
  <c r="N50" i="21"/>
  <c r="L50" i="21"/>
  <c r="K50" i="21"/>
  <c r="J50" i="21"/>
  <c r="G50" i="21"/>
  <c r="Z49" i="21"/>
  <c r="Y49" i="21"/>
  <c r="X49" i="21"/>
  <c r="U49" i="21"/>
  <c r="S49" i="21"/>
  <c r="R49" i="21"/>
  <c r="Q49" i="21"/>
  <c r="N49" i="21"/>
  <c r="L49" i="21"/>
  <c r="K49" i="21"/>
  <c r="J49" i="21"/>
  <c r="G49" i="21"/>
  <c r="Z48" i="21"/>
  <c r="Y48" i="21"/>
  <c r="X48" i="21"/>
  <c r="U48" i="21"/>
  <c r="S48" i="21"/>
  <c r="R48" i="21"/>
  <c r="Q48" i="21"/>
  <c r="N48" i="21"/>
  <c r="L48" i="21"/>
  <c r="K48" i="21"/>
  <c r="J48" i="21"/>
  <c r="G48" i="21"/>
  <c r="Z47" i="21"/>
  <c r="Y47" i="21"/>
  <c r="X47" i="21"/>
  <c r="U47" i="21"/>
  <c r="S47" i="21"/>
  <c r="R47" i="21"/>
  <c r="Q47" i="21"/>
  <c r="N47" i="21"/>
  <c r="L47" i="21"/>
  <c r="K47" i="21"/>
  <c r="J47" i="21"/>
  <c r="G47" i="21"/>
  <c r="Z46" i="21"/>
  <c r="Y46" i="21"/>
  <c r="X46" i="21"/>
  <c r="U46" i="21"/>
  <c r="S46" i="21"/>
  <c r="R46" i="21"/>
  <c r="Q46" i="21"/>
  <c r="N46" i="21"/>
  <c r="L46" i="21"/>
  <c r="K46" i="21"/>
  <c r="J46" i="21"/>
  <c r="G46" i="21"/>
  <c r="Z45" i="21"/>
  <c r="Y45" i="21"/>
  <c r="X45" i="21"/>
  <c r="U45" i="21"/>
  <c r="S45" i="21"/>
  <c r="R45" i="21"/>
  <c r="Q45" i="21"/>
  <c r="N45" i="21"/>
  <c r="L45" i="21"/>
  <c r="K45" i="21"/>
  <c r="J45" i="21"/>
  <c r="G45" i="21"/>
  <c r="Z44" i="21"/>
  <c r="Y44" i="21"/>
  <c r="X44" i="21"/>
  <c r="U44" i="21"/>
  <c r="S44" i="21"/>
  <c r="R44" i="21"/>
  <c r="Q44" i="21"/>
  <c r="N44" i="21"/>
  <c r="L44" i="21"/>
  <c r="K44" i="21"/>
  <c r="J44" i="21"/>
  <c r="G44" i="21"/>
  <c r="Z43" i="21"/>
  <c r="Y43" i="21"/>
  <c r="X43" i="21"/>
  <c r="U43" i="21"/>
  <c r="S43" i="21"/>
  <c r="R43" i="21"/>
  <c r="Q43" i="21"/>
  <c r="N43" i="21"/>
  <c r="L43" i="21"/>
  <c r="K43" i="21"/>
  <c r="J43" i="21"/>
  <c r="G43" i="21"/>
  <c r="Z42" i="21"/>
  <c r="Y42" i="21"/>
  <c r="X42" i="21"/>
  <c r="U42" i="21"/>
  <c r="S42" i="21"/>
  <c r="R42" i="21"/>
  <c r="Q42" i="21"/>
  <c r="N42" i="21"/>
  <c r="L42" i="21"/>
  <c r="K42" i="21"/>
  <c r="J42" i="21"/>
  <c r="G42" i="21"/>
  <c r="Z41" i="21"/>
  <c r="Y41" i="21"/>
  <c r="X41" i="21"/>
  <c r="U41" i="21"/>
  <c r="S41" i="21"/>
  <c r="R41" i="21"/>
  <c r="Q41" i="21"/>
  <c r="N41" i="21"/>
  <c r="L41" i="21"/>
  <c r="K41" i="21"/>
  <c r="J41" i="21"/>
  <c r="G41" i="21"/>
  <c r="Z39" i="21"/>
  <c r="Y39" i="21"/>
  <c r="X39" i="21"/>
  <c r="U39" i="21"/>
  <c r="S39" i="21"/>
  <c r="Q39" i="21"/>
  <c r="N39" i="21"/>
  <c r="L39" i="21"/>
  <c r="J39" i="21"/>
  <c r="G39" i="21"/>
  <c r="Z38" i="21"/>
  <c r="Y38" i="21"/>
  <c r="X38" i="21"/>
  <c r="U38" i="21"/>
  <c r="S38" i="21"/>
  <c r="R38" i="21"/>
  <c r="Q38" i="21"/>
  <c r="N38" i="21"/>
  <c r="L38" i="21"/>
  <c r="K38" i="21"/>
  <c r="J38" i="21"/>
  <c r="G38" i="21"/>
  <c r="Z102" i="21"/>
  <c r="Y102" i="21"/>
  <c r="X102" i="21"/>
  <c r="U102" i="21"/>
  <c r="S102" i="21"/>
  <c r="R102" i="21"/>
  <c r="Q102" i="21"/>
  <c r="N102" i="21"/>
  <c r="L102" i="21"/>
  <c r="K102" i="21"/>
  <c r="J102" i="21"/>
  <c r="G102" i="21"/>
  <c r="Z93" i="21"/>
  <c r="Y93" i="21"/>
  <c r="X93" i="21"/>
  <c r="U93" i="21"/>
  <c r="S93" i="21"/>
  <c r="R93" i="21"/>
  <c r="Q93" i="21"/>
  <c r="N93" i="21"/>
  <c r="L93" i="21"/>
  <c r="K93" i="21"/>
  <c r="J93" i="21"/>
  <c r="G93" i="21"/>
  <c r="Z63" i="21"/>
  <c r="Y63" i="21"/>
  <c r="X63" i="21"/>
  <c r="U63" i="21"/>
  <c r="S63" i="21"/>
  <c r="R63" i="21"/>
  <c r="Q63" i="21"/>
  <c r="N63" i="21"/>
  <c r="L63" i="21"/>
  <c r="K63" i="21"/>
  <c r="J63" i="21"/>
  <c r="G63" i="21"/>
  <c r="Z11" i="21"/>
  <c r="N12" i="21"/>
  <c r="Q12" i="21"/>
  <c r="R12" i="21"/>
  <c r="S12" i="21"/>
  <c r="N13" i="21"/>
  <c r="Q13" i="21"/>
  <c r="R13" i="21"/>
  <c r="S13" i="21"/>
  <c r="N14" i="21"/>
  <c r="Q14" i="21"/>
  <c r="R14" i="21"/>
  <c r="S14" i="21"/>
  <c r="N15" i="21"/>
  <c r="Q15" i="21"/>
  <c r="R15" i="21"/>
  <c r="S15" i="21"/>
  <c r="N16" i="21"/>
  <c r="Q16" i="21"/>
  <c r="R16" i="21"/>
  <c r="S16" i="21"/>
  <c r="N17" i="21"/>
  <c r="Q17" i="21"/>
  <c r="R17" i="21"/>
  <c r="S17" i="21"/>
  <c r="N18" i="21"/>
  <c r="Q18" i="21"/>
  <c r="R18" i="21"/>
  <c r="S18" i="21"/>
  <c r="N19" i="21"/>
  <c r="Q19" i="21"/>
  <c r="R19" i="21"/>
  <c r="S19" i="21"/>
  <c r="N20" i="21"/>
  <c r="Q20" i="21"/>
  <c r="R20" i="21"/>
  <c r="S20" i="21"/>
  <c r="N21" i="21"/>
  <c r="Q21" i="21"/>
  <c r="R21" i="21"/>
  <c r="S21" i="21"/>
  <c r="N22" i="21"/>
  <c r="Q22" i="21"/>
  <c r="R22" i="21"/>
  <c r="S22" i="21"/>
  <c r="N23" i="21"/>
  <c r="Q23" i="21"/>
  <c r="R23" i="21"/>
  <c r="S23" i="21"/>
  <c r="N24" i="21"/>
  <c r="Q24" i="21"/>
  <c r="R24" i="21"/>
  <c r="S24" i="21"/>
  <c r="N25" i="21"/>
  <c r="Q25" i="21"/>
  <c r="R25" i="21"/>
  <c r="S25" i="21"/>
  <c r="N26" i="21"/>
  <c r="Q26" i="21"/>
  <c r="R26" i="21"/>
  <c r="S26" i="21"/>
  <c r="N27" i="21"/>
  <c r="Q27" i="21"/>
  <c r="R27" i="21"/>
  <c r="S27" i="21"/>
  <c r="N28" i="21"/>
  <c r="Q28" i="21"/>
  <c r="R28" i="21"/>
  <c r="S28" i="21"/>
  <c r="N29" i="21"/>
  <c r="Q29" i="21"/>
  <c r="R29" i="21"/>
  <c r="S29" i="21"/>
  <c r="N30" i="21"/>
  <c r="Q30" i="21"/>
  <c r="R30" i="21"/>
  <c r="S30" i="21"/>
  <c r="N31" i="21"/>
  <c r="Q31" i="21"/>
  <c r="R31" i="21"/>
  <c r="S31" i="21"/>
  <c r="N32" i="21"/>
  <c r="Q32" i="21"/>
  <c r="R32" i="21"/>
  <c r="S32" i="21"/>
  <c r="N33" i="21"/>
  <c r="Q33" i="21"/>
  <c r="R33" i="21"/>
  <c r="S33" i="21"/>
  <c r="N34" i="21"/>
  <c r="Q34" i="21"/>
  <c r="R34" i="21"/>
  <c r="S34" i="21"/>
  <c r="N35" i="21"/>
  <c r="Q35" i="21"/>
  <c r="R35" i="21"/>
  <c r="S35" i="21"/>
  <c r="Y11" i="21"/>
  <c r="X11" i="21"/>
  <c r="U11" i="21"/>
  <c r="S11" i="21"/>
  <c r="R11" i="21"/>
  <c r="Q11" i="21"/>
  <c r="N11" i="21"/>
  <c r="J12" i="21"/>
  <c r="K12" i="21"/>
  <c r="L12" i="21"/>
  <c r="J13" i="21"/>
  <c r="K13" i="21"/>
  <c r="L13" i="21"/>
  <c r="J14" i="21"/>
  <c r="K14" i="21"/>
  <c r="L14" i="21"/>
  <c r="J15" i="21"/>
  <c r="K15" i="21"/>
  <c r="L15" i="21"/>
  <c r="J16" i="21"/>
  <c r="K16" i="21"/>
  <c r="L16" i="21"/>
  <c r="J17" i="21"/>
  <c r="K17" i="21"/>
  <c r="L17" i="21"/>
  <c r="J18" i="21"/>
  <c r="K18" i="21"/>
  <c r="L18" i="21"/>
  <c r="J19" i="21"/>
  <c r="K19" i="21"/>
  <c r="L19" i="21"/>
  <c r="J20" i="21"/>
  <c r="K20" i="21"/>
  <c r="L20" i="21"/>
  <c r="J21" i="21"/>
  <c r="K21" i="21"/>
  <c r="L21" i="21"/>
  <c r="J22" i="21"/>
  <c r="K22" i="21"/>
  <c r="L22" i="21"/>
  <c r="J23" i="21"/>
  <c r="K23" i="21"/>
  <c r="L23" i="21"/>
  <c r="J24" i="21"/>
  <c r="K24" i="21"/>
  <c r="L24" i="21"/>
  <c r="J25" i="21"/>
  <c r="K25" i="21"/>
  <c r="L25" i="21"/>
  <c r="J26" i="21"/>
  <c r="K26" i="21"/>
  <c r="L26" i="21"/>
  <c r="J27" i="21"/>
  <c r="K27" i="21"/>
  <c r="L27" i="21"/>
  <c r="J28" i="21"/>
  <c r="K28" i="21"/>
  <c r="L28" i="21"/>
  <c r="J29" i="21"/>
  <c r="K29" i="21"/>
  <c r="L29" i="21"/>
  <c r="J30" i="21"/>
  <c r="K30" i="21"/>
  <c r="L30" i="21"/>
  <c r="J31" i="21"/>
  <c r="K31" i="21"/>
  <c r="L31" i="21"/>
  <c r="J32" i="21"/>
  <c r="K32" i="21"/>
  <c r="L32" i="21"/>
  <c r="J33" i="21"/>
  <c r="K33" i="21"/>
  <c r="L33" i="21"/>
  <c r="J34" i="21"/>
  <c r="K34" i="21"/>
  <c r="L34" i="21"/>
  <c r="J35" i="21"/>
  <c r="K35" i="21"/>
  <c r="L35" i="21"/>
  <c r="U35" i="21"/>
  <c r="U34" i="21"/>
  <c r="U33" i="21"/>
  <c r="U32" i="21"/>
  <c r="U31" i="21"/>
  <c r="U30" i="21"/>
  <c r="U29" i="21"/>
  <c r="U28" i="21"/>
  <c r="U27" i="21"/>
  <c r="U26" i="21"/>
  <c r="U25" i="21"/>
  <c r="U24" i="21"/>
  <c r="U23" i="21"/>
  <c r="U22" i="21"/>
  <c r="U21" i="21"/>
  <c r="U20" i="21"/>
  <c r="U19" i="21"/>
  <c r="U18" i="21"/>
  <c r="U17" i="21"/>
  <c r="U16" i="21"/>
  <c r="U15" i="21"/>
  <c r="U14" i="21"/>
  <c r="U13" i="21"/>
  <c r="U12" i="21"/>
  <c r="G12" i="21"/>
  <c r="G13" i="21"/>
  <c r="G14" i="21"/>
  <c r="G15" i="21"/>
  <c r="G16" i="21"/>
  <c r="G17" i="21"/>
  <c r="G18" i="21"/>
  <c r="G19" i="21"/>
  <c r="G20" i="21"/>
  <c r="G21" i="21"/>
  <c r="G22" i="21"/>
  <c r="G23" i="21"/>
  <c r="G24" i="21"/>
  <c r="G25" i="21"/>
  <c r="G26" i="21"/>
  <c r="G27" i="21"/>
  <c r="G28" i="21"/>
  <c r="G29" i="21"/>
  <c r="G30" i="21"/>
  <c r="G31" i="21"/>
  <c r="G32" i="21"/>
  <c r="G33" i="21"/>
  <c r="G34" i="21"/>
  <c r="G35" i="21"/>
  <c r="G11" i="21"/>
  <c r="AB224" i="21"/>
  <c r="X12" i="21"/>
  <c r="Y12" i="21"/>
  <c r="Z12" i="21"/>
  <c r="X13" i="21"/>
  <c r="Y13" i="21"/>
  <c r="Z13" i="21"/>
  <c r="X14" i="21"/>
  <c r="Y14" i="21"/>
  <c r="Z14" i="21"/>
  <c r="X15" i="21"/>
  <c r="Y15" i="21"/>
  <c r="Z15" i="21"/>
  <c r="X16" i="21"/>
  <c r="Y16" i="21"/>
  <c r="Z16" i="21"/>
  <c r="X17" i="21"/>
  <c r="Y17" i="21"/>
  <c r="Z17" i="21"/>
  <c r="X18" i="21"/>
  <c r="Y18" i="21"/>
  <c r="Z18" i="21"/>
  <c r="X19" i="21"/>
  <c r="Y19" i="21"/>
  <c r="Z19" i="21"/>
  <c r="X20" i="21"/>
  <c r="Y20" i="21"/>
  <c r="Z20" i="21"/>
  <c r="X21" i="21"/>
  <c r="Y21" i="21"/>
  <c r="Z21" i="21"/>
  <c r="X22" i="21"/>
  <c r="Y22" i="21"/>
  <c r="Z22" i="21"/>
  <c r="X23" i="21"/>
  <c r="Y23" i="21"/>
  <c r="Z23" i="21"/>
  <c r="X24" i="21"/>
  <c r="Y24" i="21"/>
  <c r="Z24" i="21"/>
  <c r="X25" i="21"/>
  <c r="Y25" i="21"/>
  <c r="Z25" i="21"/>
  <c r="X26" i="21"/>
  <c r="Y26" i="21"/>
  <c r="Z26" i="21"/>
  <c r="X27" i="21"/>
  <c r="Y27" i="21"/>
  <c r="Z27" i="21"/>
  <c r="X28" i="21"/>
  <c r="Y28" i="21"/>
  <c r="Z28" i="21"/>
  <c r="X29" i="21"/>
  <c r="Y29" i="21"/>
  <c r="Z29" i="21"/>
  <c r="X30" i="21"/>
  <c r="Y30" i="21"/>
  <c r="Z30" i="21"/>
  <c r="X31" i="21"/>
  <c r="Y31" i="21"/>
  <c r="Z31" i="21"/>
  <c r="X32" i="21"/>
  <c r="Y32" i="21"/>
  <c r="Z32" i="21"/>
  <c r="X33" i="21"/>
  <c r="Y33" i="21"/>
  <c r="Z33" i="21"/>
  <c r="X34" i="21"/>
  <c r="Y34" i="21"/>
  <c r="Z34" i="21"/>
  <c r="X35" i="21"/>
  <c r="Y35" i="21"/>
  <c r="Z35" i="21"/>
  <c r="AF10" i="21"/>
  <c r="E35" i="21"/>
  <c r="Q231" i="13" l="1"/>
  <c r="Q214" i="13"/>
  <c r="Q192" i="13"/>
  <c r="Q189" i="13"/>
  <c r="Q187" i="13"/>
  <c r="Q183" i="13"/>
  <c r="Q179" i="13"/>
  <c r="Q175" i="13"/>
  <c r="Q171" i="13"/>
  <c r="Q169" i="13"/>
  <c r="Q164" i="13"/>
  <c r="Q162" i="13"/>
  <c r="Q160" i="13"/>
  <c r="Q155" i="13"/>
  <c r="Q148" i="13"/>
  <c r="Q144" i="13"/>
  <c r="Q138" i="13"/>
  <c r="Q134" i="13"/>
  <c r="Q130" i="13"/>
  <c r="Q126" i="13"/>
  <c r="Q121" i="13"/>
  <c r="Q117" i="13"/>
  <c r="Q115" i="13"/>
  <c r="Q113" i="13"/>
  <c r="Q103" i="13"/>
  <c r="Q100" i="13"/>
  <c r="Q93" i="13"/>
  <c r="Q90" i="13"/>
  <c r="Q86" i="13"/>
  <c r="Q83" i="13"/>
  <c r="Q75" i="13"/>
  <c r="Q69" i="13"/>
  <c r="Q63" i="13"/>
  <c r="Q59" i="13"/>
  <c r="Q56" i="13"/>
  <c r="Q51" i="13"/>
  <c r="Q46" i="13"/>
  <c r="Q39" i="13"/>
  <c r="Q30" i="13"/>
  <c r="Q26" i="13"/>
  <c r="Q19" i="13"/>
  <c r="Q16" i="13"/>
  <c r="Q10" i="13"/>
  <c r="L17" i="3"/>
  <c r="R9" i="13" s="1"/>
  <c r="O2" i="11"/>
  <c r="AB38" i="11"/>
  <c r="AB39" i="11"/>
  <c r="AB41" i="11"/>
  <c r="AB42" i="11"/>
  <c r="AB43" i="11"/>
  <c r="AB45" i="11"/>
  <c r="AB46" i="11"/>
  <c r="AB47" i="11"/>
  <c r="AB48" i="11"/>
  <c r="AB49" i="11"/>
  <c r="AB50" i="11"/>
  <c r="AB51" i="11"/>
  <c r="AB52" i="11"/>
  <c r="AB53" i="11"/>
  <c r="AB54" i="11"/>
  <c r="AB55" i="11"/>
  <c r="AB56" i="11"/>
  <c r="AB57" i="11"/>
  <c r="AB58" i="11"/>
  <c r="Q152" i="13" l="1"/>
  <c r="Q110" i="13"/>
  <c r="Q123" i="13"/>
  <c r="Q36" i="13"/>
  <c r="Q97" i="13"/>
  <c r="Q66" i="13"/>
  <c r="Q166" i="13"/>
  <c r="Q197" i="13"/>
  <c r="E218" i="13"/>
  <c r="Y4" i="13"/>
  <c r="E7" i="5"/>
  <c r="E7" i="21" s="1"/>
  <c r="BQ252" i="13"/>
  <c r="AF166" i="5"/>
  <c r="AE166" i="5"/>
  <c r="AD166" i="5"/>
  <c r="AF154" i="5"/>
  <c r="AE154" i="5"/>
  <c r="AD154" i="5"/>
  <c r="C13" i="11"/>
  <c r="B49" i="11" s="1"/>
  <c r="U7" i="5"/>
  <c r="N7" i="5"/>
  <c r="BQ32" i="13"/>
  <c r="BR32" i="13" s="1"/>
  <c r="BQ33" i="13"/>
  <c r="BT33" i="13" s="1"/>
  <c r="BQ34" i="13"/>
  <c r="BR34" i="13" s="1"/>
  <c r="BQ35" i="13"/>
  <c r="BR35" i="13" s="1"/>
  <c r="BQ39" i="13"/>
  <c r="BR39" i="13" s="1"/>
  <c r="BQ40" i="13"/>
  <c r="BT40" i="13" s="1"/>
  <c r="BQ41" i="13"/>
  <c r="BR41" i="13" s="1"/>
  <c r="BQ42" i="13"/>
  <c r="BR42" i="13" s="1"/>
  <c r="BQ43" i="13"/>
  <c r="BR43" i="13" s="1"/>
  <c r="BQ44" i="13"/>
  <c r="BS44" i="13" s="1"/>
  <c r="BQ45" i="13"/>
  <c r="BR45" i="13" s="1"/>
  <c r="BQ46" i="13"/>
  <c r="BR46" i="13" s="1"/>
  <c r="BQ47" i="13"/>
  <c r="BR47" i="13" s="1"/>
  <c r="BQ48" i="13"/>
  <c r="BT48" i="13" s="1"/>
  <c r="BQ49" i="13"/>
  <c r="BQ50" i="13"/>
  <c r="BR50" i="13" s="1"/>
  <c r="BQ51" i="13"/>
  <c r="BR51" i="13" s="1"/>
  <c r="BQ52" i="13"/>
  <c r="BR52" i="13" s="1"/>
  <c r="BQ53" i="13"/>
  <c r="BT53" i="13" s="1"/>
  <c r="BQ54" i="13"/>
  <c r="BR54" i="13" s="1"/>
  <c r="BQ55" i="13"/>
  <c r="BR55" i="13" s="1"/>
  <c r="BQ56" i="13"/>
  <c r="BR56" i="13" s="1"/>
  <c r="BQ57" i="13"/>
  <c r="BT57" i="13" s="1"/>
  <c r="BQ58" i="13"/>
  <c r="BR58" i="13" s="1"/>
  <c r="BQ59" i="13"/>
  <c r="BR59" i="13" s="1"/>
  <c r="BQ60" i="13"/>
  <c r="BR60" i="13" s="1"/>
  <c r="BQ61" i="13"/>
  <c r="BT61" i="13" s="1"/>
  <c r="BQ62" i="13"/>
  <c r="BR62" i="13" s="1"/>
  <c r="BQ63" i="13"/>
  <c r="BR63" i="13" s="1"/>
  <c r="BQ64" i="13"/>
  <c r="BR64" i="13" s="1"/>
  <c r="BQ65" i="13"/>
  <c r="BT65" i="13" s="1"/>
  <c r="BQ69" i="13"/>
  <c r="BR69" i="13" s="1"/>
  <c r="BQ70" i="13"/>
  <c r="BR70" i="13" s="1"/>
  <c r="BQ71" i="13"/>
  <c r="BR71" i="13" s="1"/>
  <c r="BQ72" i="13"/>
  <c r="BQ73" i="13"/>
  <c r="BQ74" i="13"/>
  <c r="BR74" i="13" s="1"/>
  <c r="BQ75" i="13"/>
  <c r="BR75" i="13" s="1"/>
  <c r="BQ76" i="13"/>
  <c r="BR76" i="13" s="1"/>
  <c r="BQ77" i="13"/>
  <c r="BT77" i="13" s="1"/>
  <c r="BQ78" i="13"/>
  <c r="BR78" i="13" s="1"/>
  <c r="BQ79" i="13"/>
  <c r="BR79" i="13" s="1"/>
  <c r="BQ80" i="13"/>
  <c r="BR80" i="13" s="1"/>
  <c r="BQ81" i="13"/>
  <c r="BS81" i="13" s="1"/>
  <c r="BQ82" i="13"/>
  <c r="BR82" i="13" s="1"/>
  <c r="BQ83" i="13"/>
  <c r="BR83" i="13" s="1"/>
  <c r="BQ84" i="13"/>
  <c r="BR84" i="13" s="1"/>
  <c r="BQ85" i="13"/>
  <c r="BR85" i="13" s="1"/>
  <c r="BQ86" i="13"/>
  <c r="BR86" i="13" s="1"/>
  <c r="BQ87" i="13"/>
  <c r="BR87" i="13" s="1"/>
  <c r="BQ88" i="13"/>
  <c r="BR88" i="13" s="1"/>
  <c r="BQ89" i="13"/>
  <c r="BT89" i="13" s="1"/>
  <c r="BQ90" i="13"/>
  <c r="BR90" i="13" s="1"/>
  <c r="BQ91" i="13"/>
  <c r="BR91" i="13" s="1"/>
  <c r="BQ92" i="13"/>
  <c r="BR92" i="13" s="1"/>
  <c r="BQ93" i="13"/>
  <c r="BR93" i="13" s="1"/>
  <c r="BQ94" i="13"/>
  <c r="BR94" i="13" s="1"/>
  <c r="BQ95" i="13"/>
  <c r="BR95" i="13" s="1"/>
  <c r="BQ96" i="13"/>
  <c r="BR96" i="13" s="1"/>
  <c r="BQ100" i="13"/>
  <c r="BR100" i="13" s="1"/>
  <c r="BQ101" i="13"/>
  <c r="BQ102" i="13"/>
  <c r="BQ103" i="13"/>
  <c r="BR103" i="13" s="1"/>
  <c r="BQ104" i="13"/>
  <c r="BT104" i="13" s="1"/>
  <c r="BQ105" i="13"/>
  <c r="BR105" i="13" s="1"/>
  <c r="BQ106" i="13"/>
  <c r="BR106" i="13" s="1"/>
  <c r="BQ107" i="13"/>
  <c r="BR107" i="13" s="1"/>
  <c r="BQ108" i="13"/>
  <c r="BR108" i="13" s="1"/>
  <c r="BQ109" i="13"/>
  <c r="BR109" i="13" s="1"/>
  <c r="BQ113" i="13"/>
  <c r="BR113" i="13" s="1"/>
  <c r="BQ114" i="13"/>
  <c r="BQ115" i="13"/>
  <c r="BR115" i="13" s="1"/>
  <c r="BQ116" i="13"/>
  <c r="BT116" i="13" s="1"/>
  <c r="BQ117" i="13"/>
  <c r="BR117" i="13" s="1"/>
  <c r="BQ118" i="13"/>
  <c r="BR118" i="13" s="1"/>
  <c r="BQ119" i="13"/>
  <c r="BR119" i="13" s="1"/>
  <c r="BQ120" i="13"/>
  <c r="BT120" i="13" s="1"/>
  <c r="BQ121" i="13"/>
  <c r="BR121" i="13" s="1"/>
  <c r="BQ122" i="13"/>
  <c r="BR122" i="13" s="1"/>
  <c r="BQ126" i="13"/>
  <c r="BR126" i="13" s="1"/>
  <c r="BQ127" i="13"/>
  <c r="BS127" i="13" s="1"/>
  <c r="BQ128" i="13"/>
  <c r="BQ129" i="13"/>
  <c r="BQ130" i="13"/>
  <c r="BR130" i="13" s="1"/>
  <c r="BQ131" i="13"/>
  <c r="BT131" i="13" s="1"/>
  <c r="BQ132" i="13"/>
  <c r="BR132" i="13" s="1"/>
  <c r="BQ133" i="13"/>
  <c r="BR133" i="13" s="1"/>
  <c r="BQ134" i="13"/>
  <c r="BR134" i="13" s="1"/>
  <c r="BQ135" i="13"/>
  <c r="BT135" i="13" s="1"/>
  <c r="BQ136" i="13"/>
  <c r="BR136" i="13" s="1"/>
  <c r="BQ137" i="13"/>
  <c r="BR137" i="13" s="1"/>
  <c r="BQ138" i="13"/>
  <c r="BR138" i="13" s="1"/>
  <c r="BQ139" i="13"/>
  <c r="BR139" i="13" s="1"/>
  <c r="BQ140" i="13"/>
  <c r="BR140" i="13" s="1"/>
  <c r="BQ141" i="13"/>
  <c r="BR141" i="13" s="1"/>
  <c r="BQ142" i="13"/>
  <c r="BR142" i="13" s="1"/>
  <c r="BQ143" i="13"/>
  <c r="BT143" i="13" s="1"/>
  <c r="BQ144" i="13"/>
  <c r="BR144" i="13" s="1"/>
  <c r="BQ145" i="13"/>
  <c r="BQ146" i="13"/>
  <c r="BQ147" i="13"/>
  <c r="BQ148" i="13"/>
  <c r="BR148" i="13" s="1"/>
  <c r="BQ150" i="13"/>
  <c r="BQ151" i="13"/>
  <c r="BQ155" i="13"/>
  <c r="BR155" i="13" s="1"/>
  <c r="BQ156" i="13"/>
  <c r="BQ157" i="13"/>
  <c r="BT157" i="13" s="1"/>
  <c r="BQ158" i="13"/>
  <c r="BQ159" i="13"/>
  <c r="BR159" i="13" s="1"/>
  <c r="BQ160" i="13"/>
  <c r="BR160" i="13" s="1"/>
  <c r="BQ161" i="13"/>
  <c r="BR161" i="13" s="1"/>
  <c r="BQ162" i="13"/>
  <c r="BR162" i="13" s="1"/>
  <c r="BQ163" i="13"/>
  <c r="BR163" i="13" s="1"/>
  <c r="BQ164" i="13"/>
  <c r="BT164" i="13" s="1"/>
  <c r="BQ165" i="13"/>
  <c r="BR165" i="13" s="1"/>
  <c r="BQ169" i="13"/>
  <c r="BR169" i="13" s="1"/>
  <c r="BQ170" i="13"/>
  <c r="BQ171" i="13"/>
  <c r="BT171" i="13" s="1"/>
  <c r="BQ172" i="13"/>
  <c r="BR172" i="13" s="1"/>
  <c r="BQ173" i="13"/>
  <c r="BQ175" i="13"/>
  <c r="BR175" i="13" s="1"/>
  <c r="BQ176" i="13"/>
  <c r="BT176" i="13" s="1"/>
  <c r="BQ177" i="13"/>
  <c r="BQ178" i="13"/>
  <c r="BQ179" i="13"/>
  <c r="BT179" i="13" s="1"/>
  <c r="BQ180" i="13"/>
  <c r="BR180" i="13" s="1"/>
  <c r="BQ181" i="13"/>
  <c r="BR181" i="13" s="1"/>
  <c r="BQ182" i="13"/>
  <c r="BR182" i="13" s="1"/>
  <c r="BQ183" i="13"/>
  <c r="BT183" i="13" s="1"/>
  <c r="BQ184" i="13"/>
  <c r="BR184" i="13" s="1"/>
  <c r="BQ185" i="13"/>
  <c r="BR185" i="13" s="1"/>
  <c r="BQ186" i="13"/>
  <c r="BR186" i="13" s="1"/>
  <c r="BQ187" i="13"/>
  <c r="BT187" i="13" s="1"/>
  <c r="BQ188" i="13"/>
  <c r="BQ189" i="13"/>
  <c r="BR189" i="13" s="1"/>
  <c r="BQ190" i="13"/>
  <c r="BR190" i="13" s="1"/>
  <c r="BQ191" i="13"/>
  <c r="BR191" i="13" s="1"/>
  <c r="BQ192" i="13"/>
  <c r="BT192" i="13" s="1"/>
  <c r="BQ193" i="13"/>
  <c r="BR193" i="13" s="1"/>
  <c r="BQ194" i="13"/>
  <c r="BR194" i="13" s="1"/>
  <c r="BQ195" i="13"/>
  <c r="BR195" i="13" s="1"/>
  <c r="BQ196" i="13"/>
  <c r="BT196" i="13" s="1"/>
  <c r="BQ200" i="13"/>
  <c r="BR200" i="13" s="1"/>
  <c r="BQ201" i="13"/>
  <c r="BR201" i="13" s="1"/>
  <c r="BQ202" i="13"/>
  <c r="BS202" i="13" s="1"/>
  <c r="BQ203" i="13"/>
  <c r="BS203" i="13" s="1"/>
  <c r="BQ204" i="13"/>
  <c r="BR204" i="13" s="1"/>
  <c r="BQ205" i="13"/>
  <c r="BR205" i="13" s="1"/>
  <c r="BQ206" i="13"/>
  <c r="BR206" i="13" s="1"/>
  <c r="BQ207" i="13"/>
  <c r="BT207" i="13" s="1"/>
  <c r="BQ208" i="13"/>
  <c r="BR208" i="13" s="1"/>
  <c r="BQ209" i="13"/>
  <c r="BR209" i="13" s="1"/>
  <c r="BQ210" i="13"/>
  <c r="BS210" i="13" s="1"/>
  <c r="BQ211" i="13"/>
  <c r="BT211" i="13" s="1"/>
  <c r="BQ212" i="13"/>
  <c r="BR212" i="13" s="1"/>
  <c r="BQ213" i="13"/>
  <c r="BR213" i="13" s="1"/>
  <c r="BQ217" i="13"/>
  <c r="BR217" i="13" s="1"/>
  <c r="BQ218" i="13"/>
  <c r="BS218" i="13" s="1"/>
  <c r="BQ219" i="13"/>
  <c r="BR219" i="13" s="1"/>
  <c r="BQ220" i="13"/>
  <c r="BR220" i="13" s="1"/>
  <c r="BQ221" i="13"/>
  <c r="BS221" i="13" s="1"/>
  <c r="BQ222" i="13"/>
  <c r="BT222" i="13" s="1"/>
  <c r="BQ223" i="13"/>
  <c r="BR223" i="13" s="1"/>
  <c r="BQ224" i="13"/>
  <c r="BR224" i="13" s="1"/>
  <c r="BQ225" i="13"/>
  <c r="BQ226" i="13"/>
  <c r="BR226" i="13" s="1"/>
  <c r="BQ227" i="13"/>
  <c r="BT227" i="13" s="1"/>
  <c r="BQ228" i="13"/>
  <c r="BR228" i="13" s="1"/>
  <c r="BQ229" i="13"/>
  <c r="BR229" i="13" s="1"/>
  <c r="BQ230" i="13"/>
  <c r="BT230" i="13" s="1"/>
  <c r="BQ234" i="13"/>
  <c r="BS234" i="13" s="1"/>
  <c r="BQ236" i="13"/>
  <c r="BR236" i="13" s="1"/>
  <c r="BQ237" i="13"/>
  <c r="BR237" i="13" s="1"/>
  <c r="BQ238" i="13"/>
  <c r="BQ239" i="13"/>
  <c r="BQ240" i="13"/>
  <c r="BR240" i="13" s="1"/>
  <c r="BQ241" i="13"/>
  <c r="BR241" i="13" s="1"/>
  <c r="BQ243" i="13"/>
  <c r="BT243" i="13" s="1"/>
  <c r="BQ244" i="13"/>
  <c r="BR244" i="13" s="1"/>
  <c r="BQ245" i="13"/>
  <c r="BR245" i="13" s="1"/>
  <c r="BQ246" i="13"/>
  <c r="BS246" i="13" s="1"/>
  <c r="BQ247" i="13"/>
  <c r="BS247" i="13" s="1"/>
  <c r="BQ248" i="13"/>
  <c r="BR248" i="13" s="1"/>
  <c r="BQ249" i="13"/>
  <c r="BR249" i="13" s="1"/>
  <c r="BQ11" i="13"/>
  <c r="BS11" i="13" s="1"/>
  <c r="BQ12" i="13"/>
  <c r="BQ13" i="13"/>
  <c r="BT13" i="13" s="1"/>
  <c r="BQ14" i="13"/>
  <c r="BS14" i="13" s="1"/>
  <c r="BQ15" i="13"/>
  <c r="BR15" i="13" s="1"/>
  <c r="BQ16" i="13"/>
  <c r="BR16" i="13" s="1"/>
  <c r="BQ17" i="13"/>
  <c r="BT17" i="13" s="1"/>
  <c r="BQ18" i="13"/>
  <c r="BS18" i="13" s="1"/>
  <c r="BQ19" i="13"/>
  <c r="BS19" i="13" s="1"/>
  <c r="BQ20" i="13"/>
  <c r="BS20" i="13" s="1"/>
  <c r="BQ21" i="13"/>
  <c r="BR21" i="13" s="1"/>
  <c r="BQ22" i="13"/>
  <c r="BQ23" i="13"/>
  <c r="BQ24" i="13"/>
  <c r="BQ25" i="13"/>
  <c r="BQ26" i="13"/>
  <c r="BT26" i="13" s="1"/>
  <c r="BQ27" i="13"/>
  <c r="BS27" i="13" s="1"/>
  <c r="BQ28" i="13"/>
  <c r="BR28" i="13" s="1"/>
  <c r="BQ29" i="13"/>
  <c r="BT29" i="13" s="1"/>
  <c r="BQ30" i="13"/>
  <c r="BT30" i="13" s="1"/>
  <c r="BQ31" i="13"/>
  <c r="BR31" i="13" s="1"/>
  <c r="BQ10" i="13"/>
  <c r="BT10" i="13" s="1"/>
  <c r="Q258" i="13" l="1"/>
  <c r="BS157" i="13"/>
  <c r="BR127" i="13"/>
  <c r="BS94" i="13"/>
  <c r="BR81" i="13"/>
  <c r="BS57" i="13"/>
  <c r="BR157" i="13"/>
  <c r="BR120" i="13"/>
  <c r="BT93" i="13"/>
  <c r="BR77" i="13"/>
  <c r="BR57" i="13"/>
  <c r="BT140" i="13"/>
  <c r="BT109" i="13"/>
  <c r="BS93" i="13"/>
  <c r="BT54" i="13"/>
  <c r="BS140" i="13"/>
  <c r="BS109" i="13"/>
  <c r="BS54" i="13"/>
  <c r="BT139" i="13"/>
  <c r="BT108" i="13"/>
  <c r="BR89" i="13"/>
  <c r="BR53" i="13"/>
  <c r="BS139" i="13"/>
  <c r="BS108" i="13"/>
  <c r="BT85" i="13"/>
  <c r="BT69" i="13"/>
  <c r="BR48" i="13"/>
  <c r="BR19" i="13"/>
  <c r="BS85" i="13"/>
  <c r="BS69" i="13"/>
  <c r="BT45" i="13"/>
  <c r="BS26" i="13"/>
  <c r="BR135" i="13"/>
  <c r="BR104" i="13"/>
  <c r="BR65" i="13"/>
  <c r="BS45" i="13"/>
  <c r="BT100" i="13"/>
  <c r="BT82" i="13"/>
  <c r="BR61" i="13"/>
  <c r="BT44" i="13"/>
  <c r="BS13" i="13"/>
  <c r="BS100" i="13"/>
  <c r="BS82" i="13"/>
  <c r="BT58" i="13"/>
  <c r="BR44" i="13"/>
  <c r="BS196" i="13"/>
  <c r="BT127" i="13"/>
  <c r="BT81" i="13"/>
  <c r="BS58" i="13"/>
  <c r="BR33" i="13"/>
  <c r="BT94" i="13"/>
  <c r="BR20" i="13"/>
  <c r="BS30" i="13"/>
  <c r="BS17" i="13"/>
  <c r="BR210" i="13"/>
  <c r="BS143" i="13"/>
  <c r="BS135" i="13"/>
  <c r="BS131" i="13"/>
  <c r="BS120" i="13"/>
  <c r="BS116" i="13"/>
  <c r="BS104" i="13"/>
  <c r="BS89" i="13"/>
  <c r="BS77" i="13"/>
  <c r="BS65" i="13"/>
  <c r="BS61" i="13"/>
  <c r="BS53" i="13"/>
  <c r="BS48" i="13"/>
  <c r="BS40" i="13"/>
  <c r="BS33" i="13"/>
  <c r="BR11" i="13"/>
  <c r="BR18" i="13"/>
  <c r="BS29" i="13"/>
  <c r="BS16" i="13"/>
  <c r="BR196" i="13"/>
  <c r="BT155" i="13"/>
  <c r="BT142" i="13"/>
  <c r="BT138" i="13"/>
  <c r="BT134" i="13"/>
  <c r="BT130" i="13"/>
  <c r="BT126" i="13"/>
  <c r="BT119" i="13"/>
  <c r="BT115" i="13"/>
  <c r="BT107" i="13"/>
  <c r="BT103" i="13"/>
  <c r="BT96" i="13"/>
  <c r="BT92" i="13"/>
  <c r="BT88" i="13"/>
  <c r="BT84" i="13"/>
  <c r="BT80" i="13"/>
  <c r="BT76" i="13"/>
  <c r="BT71" i="13"/>
  <c r="BT64" i="13"/>
  <c r="BT60" i="13"/>
  <c r="BT56" i="13"/>
  <c r="BT52" i="13"/>
  <c r="BT47" i="13"/>
  <c r="BT43" i="13"/>
  <c r="BT39" i="13"/>
  <c r="BT32" i="13"/>
  <c r="BR116" i="13"/>
  <c r="BR40" i="13"/>
  <c r="BR30" i="13"/>
  <c r="BR17" i="13"/>
  <c r="BT28" i="13"/>
  <c r="BT21" i="13"/>
  <c r="BT15" i="13"/>
  <c r="BR192" i="13"/>
  <c r="BS155" i="13"/>
  <c r="BS142" i="13"/>
  <c r="BS138" i="13"/>
  <c r="BS134" i="13"/>
  <c r="BS130" i="13"/>
  <c r="BS126" i="13"/>
  <c r="BS119" i="13"/>
  <c r="BS115" i="13"/>
  <c r="BS107" i="13"/>
  <c r="BS103" i="13"/>
  <c r="BS96" i="13"/>
  <c r="BS92" i="13"/>
  <c r="BS88" i="13"/>
  <c r="BS84" i="13"/>
  <c r="BS80" i="13"/>
  <c r="BS76" i="13"/>
  <c r="BS71" i="13"/>
  <c r="BS64" i="13"/>
  <c r="BS60" i="13"/>
  <c r="BS56" i="13"/>
  <c r="BS52" i="13"/>
  <c r="BS47" i="13"/>
  <c r="BS43" i="13"/>
  <c r="BS39" i="13"/>
  <c r="BS32" i="13"/>
  <c r="BT16" i="13"/>
  <c r="BR143" i="13"/>
  <c r="BR29" i="13"/>
  <c r="BS28" i="13"/>
  <c r="BS21" i="13"/>
  <c r="BS15" i="13"/>
  <c r="BT186" i="13"/>
  <c r="BR131" i="13"/>
  <c r="BT27" i="13"/>
  <c r="BT20" i="13"/>
  <c r="BT14" i="13"/>
  <c r="BS183" i="13"/>
  <c r="BT148" i="13"/>
  <c r="BT141" i="13"/>
  <c r="BT137" i="13"/>
  <c r="BT133" i="13"/>
  <c r="BT122" i="13"/>
  <c r="BT118" i="13"/>
  <c r="BT113" i="13"/>
  <c r="BT106" i="13"/>
  <c r="BT95" i="13"/>
  <c r="BT91" i="13"/>
  <c r="BT87" i="13"/>
  <c r="BT83" i="13"/>
  <c r="BT79" i="13"/>
  <c r="BT75" i="13"/>
  <c r="BT70" i="13"/>
  <c r="BT63" i="13"/>
  <c r="BT59" i="13"/>
  <c r="BT55" i="13"/>
  <c r="BT51" i="13"/>
  <c r="BT46" i="13"/>
  <c r="BT42" i="13"/>
  <c r="BT35" i="13"/>
  <c r="BT31" i="13"/>
  <c r="BR27" i="13"/>
  <c r="BR14" i="13"/>
  <c r="BS148" i="13"/>
  <c r="BS141" i="13"/>
  <c r="BS137" i="13"/>
  <c r="BS133" i="13"/>
  <c r="BS122" i="13"/>
  <c r="BS118" i="13"/>
  <c r="BS113" i="13"/>
  <c r="BS106" i="13"/>
  <c r="BS95" i="13"/>
  <c r="BS91" i="13"/>
  <c r="BS87" i="13"/>
  <c r="BS83" i="13"/>
  <c r="BS79" i="13"/>
  <c r="BS75" i="13"/>
  <c r="BS70" i="13"/>
  <c r="BS63" i="13"/>
  <c r="BS59" i="13"/>
  <c r="BS55" i="13"/>
  <c r="BS51" i="13"/>
  <c r="BS46" i="13"/>
  <c r="BS42" i="13"/>
  <c r="BS35" i="13"/>
  <c r="BS31" i="13"/>
  <c r="BR26" i="13"/>
  <c r="BR13" i="13"/>
  <c r="BT19" i="13"/>
  <c r="BT161" i="13"/>
  <c r="BR10" i="13"/>
  <c r="BT159" i="13"/>
  <c r="BT144" i="13"/>
  <c r="BT136" i="13"/>
  <c r="BT132" i="13"/>
  <c r="BT121" i="13"/>
  <c r="BT117" i="13"/>
  <c r="BT105" i="13"/>
  <c r="BT90" i="13"/>
  <c r="BT86" i="13"/>
  <c r="BT78" i="13"/>
  <c r="BT74" i="13"/>
  <c r="BT62" i="13"/>
  <c r="BT50" i="13"/>
  <c r="BT41" i="13"/>
  <c r="BT34" i="13"/>
  <c r="BS10" i="13"/>
  <c r="BT18" i="13"/>
  <c r="BT11" i="13"/>
  <c r="BS159" i="13"/>
  <c r="BS144" i="13"/>
  <c r="BS136" i="13"/>
  <c r="BS132" i="13"/>
  <c r="BS121" i="13"/>
  <c r="BS117" i="13"/>
  <c r="BS105" i="13"/>
  <c r="BS90" i="13"/>
  <c r="BS86" i="13"/>
  <c r="BS78" i="13"/>
  <c r="BS74" i="13"/>
  <c r="BS62" i="13"/>
  <c r="BS50" i="13"/>
  <c r="BS41" i="13"/>
  <c r="BS34" i="13"/>
  <c r="BT226" i="13"/>
  <c r="BS226" i="13"/>
  <c r="BS207" i="13"/>
  <c r="BT191" i="13"/>
  <c r="BR179" i="13"/>
  <c r="BS161" i="13"/>
  <c r="BR243" i="13"/>
  <c r="BT249" i="13"/>
  <c r="BR207" i="13"/>
  <c r="BS191" i="13"/>
  <c r="BS171" i="13"/>
  <c r="BS222" i="13"/>
  <c r="BT206" i="13"/>
  <c r="BR171" i="13"/>
  <c r="BT160" i="13"/>
  <c r="BS179" i="13"/>
  <c r="BS243" i="13"/>
  <c r="BR222" i="13"/>
  <c r="BS206" i="13"/>
  <c r="BS187" i="13"/>
  <c r="BS160" i="13"/>
  <c r="BT221" i="13"/>
  <c r="BR187" i="13"/>
  <c r="BS249" i="13"/>
  <c r="BS211" i="13"/>
  <c r="BT195" i="13"/>
  <c r="BR183" i="13"/>
  <c r="BR164" i="13"/>
  <c r="BR221" i="13"/>
  <c r="BR211" i="13"/>
  <c r="BS195" i="13"/>
  <c r="BT182" i="13"/>
  <c r="BT163" i="13"/>
  <c r="BT248" i="13"/>
  <c r="BT237" i="13"/>
  <c r="BS227" i="13"/>
  <c r="BT210" i="13"/>
  <c r="BS182" i="13"/>
  <c r="BS163" i="13"/>
  <c r="BS248" i="13"/>
  <c r="BS164" i="13"/>
  <c r="BS237" i="13"/>
  <c r="BR227" i="13"/>
  <c r="BS192" i="13"/>
  <c r="BT217" i="13"/>
  <c r="BT234" i="13"/>
  <c r="BR246" i="13"/>
  <c r="BR203" i="13"/>
  <c r="BR230" i="13"/>
  <c r="BR176" i="13"/>
  <c r="BT229" i="13"/>
  <c r="BT224" i="13"/>
  <c r="BT220" i="13"/>
  <c r="BT213" i="13"/>
  <c r="BT209" i="13"/>
  <c r="BT205" i="13"/>
  <c r="BT201" i="13"/>
  <c r="BT194" i="13"/>
  <c r="BT190" i="13"/>
  <c r="BT185" i="13"/>
  <c r="BT181" i="13"/>
  <c r="BT175" i="13"/>
  <c r="BT169" i="13"/>
  <c r="BT162" i="13"/>
  <c r="BT245" i="13"/>
  <c r="BT241" i="13"/>
  <c r="BT236" i="13"/>
  <c r="BR234" i="13"/>
  <c r="BS217" i="13"/>
  <c r="BR202" i="13"/>
  <c r="BS229" i="13"/>
  <c r="BS224" i="13"/>
  <c r="BS220" i="13"/>
  <c r="BS213" i="13"/>
  <c r="BS209" i="13"/>
  <c r="BS205" i="13"/>
  <c r="BS201" i="13"/>
  <c r="BS194" i="13"/>
  <c r="BS190" i="13"/>
  <c r="BS185" i="13"/>
  <c r="BS181" i="13"/>
  <c r="BS175" i="13"/>
  <c r="BS169" i="13"/>
  <c r="BS162" i="13"/>
  <c r="BS245" i="13"/>
  <c r="BS241" i="13"/>
  <c r="BS236" i="13"/>
  <c r="BT228" i="13"/>
  <c r="BT223" i="13"/>
  <c r="BT219" i="13"/>
  <c r="BT212" i="13"/>
  <c r="BT208" i="13"/>
  <c r="BT204" i="13"/>
  <c r="BT200" i="13"/>
  <c r="BT193" i="13"/>
  <c r="BT189" i="13"/>
  <c r="BT184" i="13"/>
  <c r="BT180" i="13"/>
  <c r="BT172" i="13"/>
  <c r="BT165" i="13"/>
  <c r="BT244" i="13"/>
  <c r="BT240" i="13"/>
  <c r="BT246" i="13"/>
  <c r="BS228" i="13"/>
  <c r="BS223" i="13"/>
  <c r="BS219" i="13"/>
  <c r="BS212" i="13"/>
  <c r="BS208" i="13"/>
  <c r="BS204" i="13"/>
  <c r="BS200" i="13"/>
  <c r="BS193" i="13"/>
  <c r="BS189" i="13"/>
  <c r="BS184" i="13"/>
  <c r="BS180" i="13"/>
  <c r="BS172" i="13"/>
  <c r="BS165" i="13"/>
  <c r="BS244" i="13"/>
  <c r="BS240" i="13"/>
  <c r="BR218" i="13"/>
  <c r="BR247" i="13"/>
  <c r="BT202" i="13"/>
  <c r="BS230" i="13"/>
  <c r="BS176" i="13"/>
  <c r="BS186" i="13"/>
  <c r="BT218" i="13"/>
  <c r="BT203" i="13"/>
  <c r="BT247" i="13"/>
  <c r="BS341" i="13" l="1"/>
  <c r="AF191" i="5"/>
  <c r="AE191" i="5"/>
  <c r="AD191" i="5"/>
  <c r="BJ195" i="13"/>
  <c r="BK195" i="13" s="1"/>
  <c r="BG195" i="13"/>
  <c r="BH195" i="13" s="1"/>
  <c r="BD195" i="13"/>
  <c r="BE195" i="13" s="1"/>
  <c r="B195" i="13"/>
  <c r="U122" i="13" l="1"/>
  <c r="U121" i="13" s="1"/>
  <c r="BJ40" i="13"/>
  <c r="BK40" i="13" s="1"/>
  <c r="BG40" i="13"/>
  <c r="BH40" i="13" s="1"/>
  <c r="BD40" i="13"/>
  <c r="BE40" i="13" s="1"/>
  <c r="AF39" i="5"/>
  <c r="AE39" i="5"/>
  <c r="AD39" i="5"/>
  <c r="C39" i="5"/>
  <c r="C41" i="5"/>
  <c r="D41" i="21" s="1"/>
  <c r="K39" i="13"/>
  <c r="D39" i="21" l="1"/>
  <c r="C40" i="5"/>
  <c r="D40" i="21" s="1"/>
  <c r="BJ178" i="13"/>
  <c r="BK178" i="13" s="1"/>
  <c r="BG178" i="13"/>
  <c r="BH178" i="13" s="1"/>
  <c r="BD178" i="13"/>
  <c r="BE178" i="13" s="1"/>
  <c r="BJ177" i="13"/>
  <c r="BK177" i="13" s="1"/>
  <c r="BG177" i="13"/>
  <c r="BH177" i="13" s="1"/>
  <c r="BD177" i="13"/>
  <c r="BE177" i="13" s="1"/>
  <c r="AI260" i="13"/>
  <c r="AI259" i="13"/>
  <c r="AF15" i="5" l="1"/>
  <c r="AE15" i="5"/>
  <c r="AD15" i="5"/>
  <c r="H158" i="16"/>
  <c r="H140" i="16"/>
  <c r="H139" i="16"/>
  <c r="H21" i="16"/>
  <c r="H20" i="16"/>
  <c r="H19" i="16"/>
  <c r="U88" i="13"/>
  <c r="U87" i="13"/>
  <c r="H86" i="16"/>
  <c r="H85" i="16"/>
  <c r="H7" i="16"/>
  <c r="U85" i="13"/>
  <c r="U84" i="13"/>
  <c r="U83" i="13" l="1"/>
  <c r="AF100" i="5"/>
  <c r="AE100" i="5"/>
  <c r="AD100" i="5"/>
  <c r="BJ88" i="13"/>
  <c r="BK88" i="13" s="1"/>
  <c r="BG88" i="13"/>
  <c r="BH88" i="13" s="1"/>
  <c r="BD88" i="13"/>
  <c r="BE88" i="13" s="1"/>
  <c r="AF86" i="5"/>
  <c r="AE86" i="5"/>
  <c r="AD86" i="5"/>
  <c r="C86" i="5"/>
  <c r="D86" i="21" s="1"/>
  <c r="B88" i="13"/>
  <c r="Z88" i="13" s="1"/>
  <c r="H75" i="13"/>
  <c r="N59" i="13"/>
  <c r="M59" i="13"/>
  <c r="H59" i="13"/>
  <c r="N56" i="13"/>
  <c r="M56" i="13"/>
  <c r="H56" i="13"/>
  <c r="AF26" i="5"/>
  <c r="AE26" i="5"/>
  <c r="AD26" i="5"/>
  <c r="AF25" i="5"/>
  <c r="AE25" i="5"/>
  <c r="AD25" i="5"/>
  <c r="B23" i="13"/>
  <c r="B24" i="13"/>
  <c r="AF199" i="5" l="1"/>
  <c r="AE199" i="5"/>
  <c r="AD199" i="5"/>
  <c r="L187" i="13"/>
  <c r="BJ143" i="13"/>
  <c r="BK143" i="13" s="1"/>
  <c r="BG143" i="13"/>
  <c r="BH143" i="13" s="1"/>
  <c r="BD143" i="13"/>
  <c r="BE143" i="13" s="1"/>
  <c r="AF136" i="5"/>
  <c r="AE136" i="5"/>
  <c r="AD136" i="5"/>
  <c r="H137" i="16"/>
  <c r="R138" i="13"/>
  <c r="P138" i="13"/>
  <c r="O138" i="13"/>
  <c r="N138" i="13"/>
  <c r="M138" i="13"/>
  <c r="L138" i="13"/>
  <c r="K138" i="13"/>
  <c r="J138" i="13"/>
  <c r="I138" i="13"/>
  <c r="H138" i="13"/>
  <c r="G138" i="13"/>
  <c r="F138" i="13"/>
  <c r="B143" i="13"/>
  <c r="H8" i="16" l="1"/>
  <c r="H9" i="16"/>
  <c r="H10" i="16"/>
  <c r="H11" i="16"/>
  <c r="H12" i="16"/>
  <c r="H13" i="16"/>
  <c r="H14" i="16"/>
  <c r="H15" i="16"/>
  <c r="H16" i="16"/>
  <c r="H17" i="16"/>
  <c r="H18" i="16"/>
  <c r="Z23" i="13"/>
  <c r="Z24" i="13"/>
  <c r="H23" i="16"/>
  <c r="H24" i="16"/>
  <c r="H25" i="16"/>
  <c r="H26" i="16"/>
  <c r="H27" i="16"/>
  <c r="H28" i="16"/>
  <c r="H29" i="16"/>
  <c r="H30" i="16"/>
  <c r="H31" i="16"/>
  <c r="H32" i="16"/>
  <c r="H33" i="16"/>
  <c r="H34" i="16"/>
  <c r="H35" i="16"/>
  <c r="H36"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9" i="16"/>
  <c r="H80" i="16"/>
  <c r="H81" i="16"/>
  <c r="H82" i="16"/>
  <c r="H83" i="16"/>
  <c r="H84"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8" i="16"/>
  <c r="Z143" i="13"/>
  <c r="H141" i="16"/>
  <c r="H142" i="16"/>
  <c r="H143" i="16"/>
  <c r="H144" i="16"/>
  <c r="H145" i="16"/>
  <c r="H146" i="16"/>
  <c r="H147" i="16"/>
  <c r="H148" i="16"/>
  <c r="H149" i="16"/>
  <c r="H150" i="16"/>
  <c r="H151" i="16"/>
  <c r="H152" i="16"/>
  <c r="H153" i="16"/>
  <c r="H154" i="16"/>
  <c r="H155" i="16"/>
  <c r="H156" i="16"/>
  <c r="H157"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3" i="16"/>
  <c r="Z195" i="13" s="1"/>
  <c r="H194" i="16"/>
  <c r="H195" i="16"/>
  <c r="H196" i="16"/>
  <c r="H197" i="16"/>
  <c r="H198" i="16"/>
  <c r="H200" i="16" s="1"/>
  <c r="H201" i="16"/>
  <c r="H202" i="16"/>
  <c r="H203" i="16" s="1"/>
  <c r="H204" i="16"/>
  <c r="H205" i="16"/>
  <c r="H206" i="16"/>
  <c r="H207" i="16" s="1"/>
  <c r="H208" i="16"/>
  <c r="H209" i="16"/>
  <c r="H210" i="16" s="1"/>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BJ213" i="13"/>
  <c r="BK213" i="13" s="1"/>
  <c r="BG213" i="13"/>
  <c r="BH213" i="13" s="1"/>
  <c r="BD213" i="13"/>
  <c r="BE213" i="13" s="1"/>
  <c r="BJ212" i="13"/>
  <c r="BK212" i="13" s="1"/>
  <c r="BG212" i="13"/>
  <c r="BH212" i="13" s="1"/>
  <c r="BD212" i="13"/>
  <c r="BE212" i="13" s="1"/>
  <c r="BJ196" i="13"/>
  <c r="BK196" i="13" s="1"/>
  <c r="BG196" i="13"/>
  <c r="BH196" i="13" s="1"/>
  <c r="BD196" i="13"/>
  <c r="BE196" i="13" s="1"/>
  <c r="BJ194" i="13"/>
  <c r="BK194" i="13" s="1"/>
  <c r="BG194" i="13"/>
  <c r="BH194" i="13" s="1"/>
  <c r="BD194" i="13"/>
  <c r="BE194" i="13" s="1"/>
  <c r="BJ193" i="13"/>
  <c r="BK193" i="13" s="1"/>
  <c r="BG193" i="13"/>
  <c r="BH193" i="13" s="1"/>
  <c r="BD193" i="13"/>
  <c r="BE193" i="13" s="1"/>
  <c r="BJ149" i="13"/>
  <c r="BK149" i="13" s="1"/>
  <c r="BG149" i="13"/>
  <c r="BH149" i="13" s="1"/>
  <c r="BD149" i="13"/>
  <c r="BE149" i="13" s="1"/>
  <c r="AF200" i="5"/>
  <c r="AE200" i="5"/>
  <c r="AD200" i="5"/>
  <c r="AF198" i="5"/>
  <c r="AE198" i="5"/>
  <c r="AD198" i="5"/>
  <c r="BD205" i="13"/>
  <c r="BE205" i="13" s="1"/>
  <c r="BG205" i="13"/>
  <c r="BH205" i="13" s="1"/>
  <c r="BJ205" i="13"/>
  <c r="BK205" i="13" s="1"/>
  <c r="BD206" i="13"/>
  <c r="BE206" i="13" s="1"/>
  <c r="BG206" i="13"/>
  <c r="BH206" i="13" s="1"/>
  <c r="BJ206" i="13"/>
  <c r="BK206" i="13" s="1"/>
  <c r="BD209" i="13"/>
  <c r="BE209" i="13" s="1"/>
  <c r="BG209" i="13"/>
  <c r="BH209" i="13" s="1"/>
  <c r="BJ209" i="13"/>
  <c r="BK209" i="13" s="1"/>
  <c r="BD210" i="13"/>
  <c r="BE210" i="13" s="1"/>
  <c r="BG210" i="13"/>
  <c r="BH210" i="13" s="1"/>
  <c r="BJ210" i="13"/>
  <c r="BK210" i="13" s="1"/>
  <c r="BD201" i="13"/>
  <c r="BE201" i="13" s="1"/>
  <c r="BG201" i="13"/>
  <c r="BH201" i="13" s="1"/>
  <c r="BJ201" i="13"/>
  <c r="BK201" i="13" s="1"/>
  <c r="BD202" i="13"/>
  <c r="BE202" i="13" s="1"/>
  <c r="BG202" i="13"/>
  <c r="BH202" i="13" s="1"/>
  <c r="BJ202" i="13"/>
  <c r="BK202" i="13" s="1"/>
  <c r="BD203" i="13"/>
  <c r="BE203" i="13" s="1"/>
  <c r="BG203" i="13"/>
  <c r="BH203" i="13" s="1"/>
  <c r="BJ203" i="13"/>
  <c r="BK203" i="13" s="1"/>
  <c r="BD172" i="13"/>
  <c r="BE172" i="13" s="1"/>
  <c r="BG172" i="13"/>
  <c r="BH172" i="13" s="1"/>
  <c r="BJ172" i="13"/>
  <c r="BK172" i="13" s="1"/>
  <c r="BD174" i="13"/>
  <c r="BE174" i="13" s="1"/>
  <c r="BG174" i="13"/>
  <c r="BH174" i="13" s="1"/>
  <c r="BJ174" i="13"/>
  <c r="BK174" i="13" s="1"/>
  <c r="BD176" i="13"/>
  <c r="BE176" i="13" s="1"/>
  <c r="BG176" i="13"/>
  <c r="BH176" i="13" s="1"/>
  <c r="BJ176" i="13"/>
  <c r="BK176" i="13" s="1"/>
  <c r="BD180" i="13"/>
  <c r="BE180" i="13" s="1"/>
  <c r="BG180" i="13"/>
  <c r="BH180" i="13" s="1"/>
  <c r="BJ180" i="13"/>
  <c r="BK180" i="13" s="1"/>
  <c r="BD182" i="13"/>
  <c r="BE182" i="13" s="1"/>
  <c r="BG182" i="13"/>
  <c r="BH182" i="13" s="1"/>
  <c r="BJ182" i="13"/>
  <c r="BK182" i="13" s="1"/>
  <c r="BD184" i="13"/>
  <c r="BE184" i="13" s="1"/>
  <c r="BG184" i="13"/>
  <c r="BH184" i="13" s="1"/>
  <c r="BJ184" i="13"/>
  <c r="BK184" i="13" s="1"/>
  <c r="BD185" i="13"/>
  <c r="BE185" i="13" s="1"/>
  <c r="BG185" i="13"/>
  <c r="BH185" i="13" s="1"/>
  <c r="BJ185" i="13"/>
  <c r="BK185" i="13" s="1"/>
  <c r="BD186" i="13"/>
  <c r="BE186" i="13" s="1"/>
  <c r="BG186" i="13"/>
  <c r="BH186" i="13" s="1"/>
  <c r="BJ186" i="13"/>
  <c r="BK186" i="13" s="1"/>
  <c r="BD190" i="13"/>
  <c r="BE190" i="13" s="1"/>
  <c r="BG190" i="13"/>
  <c r="BH190" i="13" s="1"/>
  <c r="BJ190" i="13"/>
  <c r="BK190" i="13" s="1"/>
  <c r="BD191" i="13"/>
  <c r="BE191" i="13" s="1"/>
  <c r="BG191" i="13"/>
  <c r="BH191" i="13" s="1"/>
  <c r="BJ191" i="13"/>
  <c r="BK191" i="13" s="1"/>
  <c r="BD170" i="13"/>
  <c r="BE170" i="13" s="1"/>
  <c r="BG170" i="13"/>
  <c r="BH170" i="13" s="1"/>
  <c r="BJ170" i="13"/>
  <c r="BK170" i="13" s="1"/>
  <c r="BD162" i="13"/>
  <c r="BE162" i="13" s="1"/>
  <c r="BG162" i="13"/>
  <c r="BH162" i="13" s="1"/>
  <c r="BJ162" i="13"/>
  <c r="BK162" i="13" s="1"/>
  <c r="BD131" i="13"/>
  <c r="BE131" i="13" s="1"/>
  <c r="BG131" i="13"/>
  <c r="BH131" i="13" s="1"/>
  <c r="BJ131" i="13"/>
  <c r="BK131" i="13" s="1"/>
  <c r="BD132" i="13"/>
  <c r="BE132" i="13" s="1"/>
  <c r="BG132" i="13"/>
  <c r="BH132" i="13" s="1"/>
  <c r="BJ132" i="13"/>
  <c r="BK132" i="13" s="1"/>
  <c r="BD133" i="13"/>
  <c r="BE133" i="13" s="1"/>
  <c r="BG133" i="13"/>
  <c r="BH133" i="13" s="1"/>
  <c r="BJ133" i="13"/>
  <c r="BK133" i="13" s="1"/>
  <c r="BD135" i="13"/>
  <c r="BE135" i="13" s="1"/>
  <c r="BG135" i="13"/>
  <c r="BH135" i="13" s="1"/>
  <c r="BJ135" i="13"/>
  <c r="BK135" i="13" s="1"/>
  <c r="BD136" i="13"/>
  <c r="BE136" i="13" s="1"/>
  <c r="BG136" i="13"/>
  <c r="BH136" i="13" s="1"/>
  <c r="BJ136" i="13"/>
  <c r="BK136" i="13" s="1"/>
  <c r="BD137" i="13"/>
  <c r="BE137" i="13" s="1"/>
  <c r="BG137" i="13"/>
  <c r="BH137" i="13" s="1"/>
  <c r="BJ137" i="13"/>
  <c r="BK137" i="13" s="1"/>
  <c r="BD139" i="13"/>
  <c r="BE139" i="13" s="1"/>
  <c r="BG139" i="13"/>
  <c r="BH139" i="13" s="1"/>
  <c r="BJ139" i="13"/>
  <c r="BK139" i="13" s="1"/>
  <c r="BD140" i="13"/>
  <c r="BE140" i="13" s="1"/>
  <c r="BG140" i="13"/>
  <c r="BH140" i="13" s="1"/>
  <c r="BJ140" i="13"/>
  <c r="BK140" i="13" s="1"/>
  <c r="BD141" i="13"/>
  <c r="BE141" i="13" s="1"/>
  <c r="BG141" i="13"/>
  <c r="BH141" i="13" s="1"/>
  <c r="BJ141" i="13"/>
  <c r="BK141" i="13" s="1"/>
  <c r="BD146" i="13"/>
  <c r="BE146" i="13" s="1"/>
  <c r="BG146" i="13"/>
  <c r="BH146" i="13" s="1"/>
  <c r="BJ146" i="13"/>
  <c r="BK146" i="13" s="1"/>
  <c r="BD147" i="13"/>
  <c r="BE147" i="13" s="1"/>
  <c r="BG147" i="13"/>
  <c r="BH147" i="13" s="1"/>
  <c r="BJ147" i="13"/>
  <c r="BK147" i="13" s="1"/>
  <c r="BD127" i="13"/>
  <c r="BE127" i="13" s="1"/>
  <c r="BG127" i="13"/>
  <c r="BH127" i="13" s="1"/>
  <c r="BJ127" i="13"/>
  <c r="BK127" i="13" s="1"/>
  <c r="BD129" i="13"/>
  <c r="BE129" i="13" s="1"/>
  <c r="BG129" i="13"/>
  <c r="BH129" i="13" s="1"/>
  <c r="BJ129" i="13"/>
  <c r="BK129" i="13" s="1"/>
  <c r="BD116" i="13"/>
  <c r="BE116" i="13" s="1"/>
  <c r="BG116" i="13"/>
  <c r="BH116" i="13" s="1"/>
  <c r="BJ116" i="13"/>
  <c r="BK116" i="13" s="1"/>
  <c r="BD118" i="13"/>
  <c r="BE118" i="13" s="1"/>
  <c r="BG118" i="13"/>
  <c r="BH118" i="13" s="1"/>
  <c r="BJ118" i="13"/>
  <c r="BK118" i="13" s="1"/>
  <c r="BD119" i="13"/>
  <c r="BE119" i="13" s="1"/>
  <c r="BG119" i="13"/>
  <c r="BH119" i="13" s="1"/>
  <c r="BJ119" i="13"/>
  <c r="BK119" i="13" s="1"/>
  <c r="BD120" i="13"/>
  <c r="BE120" i="13" s="1"/>
  <c r="BG120" i="13"/>
  <c r="BH120" i="13" s="1"/>
  <c r="BJ120" i="13"/>
  <c r="BK120" i="13" s="1"/>
  <c r="BD101" i="13"/>
  <c r="BE101" i="13" s="1"/>
  <c r="BG101" i="13"/>
  <c r="BH101" i="13" s="1"/>
  <c r="BJ101" i="13"/>
  <c r="BK101" i="13" s="1"/>
  <c r="BD104" i="13"/>
  <c r="BE104" i="13" s="1"/>
  <c r="BG104" i="13"/>
  <c r="BH104" i="13" s="1"/>
  <c r="BJ104" i="13"/>
  <c r="BK104" i="13" s="1"/>
  <c r="BD105" i="13"/>
  <c r="BE105" i="13" s="1"/>
  <c r="BG105" i="13"/>
  <c r="BH105" i="13" s="1"/>
  <c r="BJ105" i="13"/>
  <c r="BK105" i="13" s="1"/>
  <c r="BD76" i="13"/>
  <c r="BE76" i="13" s="1"/>
  <c r="BG76" i="13"/>
  <c r="BH76" i="13" s="1"/>
  <c r="BJ76" i="13"/>
  <c r="BK76" i="13" s="1"/>
  <c r="BD77" i="13"/>
  <c r="BE77" i="13" s="1"/>
  <c r="BG77" i="13"/>
  <c r="BH77" i="13" s="1"/>
  <c r="BJ77" i="13"/>
  <c r="BK77" i="13" s="1"/>
  <c r="BD78" i="13"/>
  <c r="BE78" i="13" s="1"/>
  <c r="BG78" i="13"/>
  <c r="BH78" i="13" s="1"/>
  <c r="BJ78" i="13"/>
  <c r="BK78" i="13" s="1"/>
  <c r="BD80" i="13"/>
  <c r="BE80" i="13" s="1"/>
  <c r="BG80" i="13"/>
  <c r="BH80" i="13" s="1"/>
  <c r="BJ80" i="13"/>
  <c r="BK80" i="13" s="1"/>
  <c r="BD81" i="13"/>
  <c r="BE81" i="13" s="1"/>
  <c r="BG81" i="13"/>
  <c r="BH81" i="13" s="1"/>
  <c r="BJ81" i="13"/>
  <c r="BK81" i="13" s="1"/>
  <c r="BD84" i="13"/>
  <c r="BE84" i="13" s="1"/>
  <c r="BG84" i="13"/>
  <c r="BH84" i="13" s="1"/>
  <c r="BJ84" i="13"/>
  <c r="BK84" i="13" s="1"/>
  <c r="BD85" i="13"/>
  <c r="BE85" i="13" s="1"/>
  <c r="BG85" i="13"/>
  <c r="BH85" i="13" s="1"/>
  <c r="BJ85" i="13"/>
  <c r="BK85" i="13" s="1"/>
  <c r="BD87" i="13"/>
  <c r="BE87" i="13" s="1"/>
  <c r="BG87" i="13"/>
  <c r="BH87" i="13" s="1"/>
  <c r="BJ87" i="13"/>
  <c r="BK87" i="13" s="1"/>
  <c r="BD89" i="13"/>
  <c r="BE89" i="13" s="1"/>
  <c r="BG89" i="13"/>
  <c r="BH89" i="13" s="1"/>
  <c r="BJ89" i="13"/>
  <c r="BK89" i="13" s="1"/>
  <c r="BD92" i="13"/>
  <c r="BE92" i="13" s="1"/>
  <c r="BG92" i="13"/>
  <c r="BH92" i="13" s="1"/>
  <c r="BJ92" i="13"/>
  <c r="BK92" i="13" s="1"/>
  <c r="BD94" i="13"/>
  <c r="BE94" i="13" s="1"/>
  <c r="BG94" i="13"/>
  <c r="BH94" i="13" s="1"/>
  <c r="BJ94" i="13"/>
  <c r="BK94" i="13" s="1"/>
  <c r="BD70" i="13"/>
  <c r="BE70" i="13" s="1"/>
  <c r="BG70" i="13"/>
  <c r="BH70" i="13" s="1"/>
  <c r="BJ70" i="13"/>
  <c r="BK70" i="13" s="1"/>
  <c r="BD71" i="13"/>
  <c r="BE71" i="13" s="1"/>
  <c r="BG71" i="13"/>
  <c r="BH71" i="13" s="1"/>
  <c r="BJ71" i="13"/>
  <c r="BK71" i="13" s="1"/>
  <c r="BD74" i="13"/>
  <c r="BE74" i="13" s="1"/>
  <c r="BG74" i="13"/>
  <c r="BH74" i="13" s="1"/>
  <c r="BJ74" i="13"/>
  <c r="BK74" i="13" s="1"/>
  <c r="BD47" i="13"/>
  <c r="BE47" i="13" s="1"/>
  <c r="BG47" i="13"/>
  <c r="BH47" i="13" s="1"/>
  <c r="BJ47" i="13"/>
  <c r="BK47" i="13" s="1"/>
  <c r="BD48" i="13"/>
  <c r="BE48" i="13" s="1"/>
  <c r="BG48" i="13"/>
  <c r="BH48" i="13" s="1"/>
  <c r="BJ48" i="13"/>
  <c r="BK48" i="13" s="1"/>
  <c r="BD50" i="13"/>
  <c r="BE50" i="13" s="1"/>
  <c r="BG50" i="13"/>
  <c r="BH50" i="13" s="1"/>
  <c r="BJ50" i="13"/>
  <c r="BK50" i="13" s="1"/>
  <c r="BD52" i="13"/>
  <c r="BE52" i="13" s="1"/>
  <c r="BG52" i="13"/>
  <c r="BH52" i="13" s="1"/>
  <c r="BJ52" i="13"/>
  <c r="BK52" i="13" s="1"/>
  <c r="BD53" i="13"/>
  <c r="BE53" i="13" s="1"/>
  <c r="BG53" i="13"/>
  <c r="BH53" i="13" s="1"/>
  <c r="BJ53" i="13"/>
  <c r="BK53" i="13" s="1"/>
  <c r="BD54" i="13"/>
  <c r="BE54" i="13" s="1"/>
  <c r="BG54" i="13"/>
  <c r="BH54" i="13" s="1"/>
  <c r="BJ54" i="13"/>
  <c r="BK54" i="13" s="1"/>
  <c r="BD57" i="13"/>
  <c r="BE57" i="13" s="1"/>
  <c r="BG57" i="13"/>
  <c r="BH57" i="13" s="1"/>
  <c r="BJ57" i="13"/>
  <c r="BK57" i="13" s="1"/>
  <c r="BD58" i="13"/>
  <c r="BE58" i="13" s="1"/>
  <c r="BG58" i="13"/>
  <c r="BH58" i="13" s="1"/>
  <c r="BJ58" i="13"/>
  <c r="BK58" i="13" s="1"/>
  <c r="BD60" i="13"/>
  <c r="BE60" i="13" s="1"/>
  <c r="BG60" i="13"/>
  <c r="BH60" i="13" s="1"/>
  <c r="BJ60" i="13"/>
  <c r="BK60" i="13" s="1"/>
  <c r="BD61" i="13"/>
  <c r="BE61" i="13" s="1"/>
  <c r="BG61" i="13"/>
  <c r="BH61" i="13" s="1"/>
  <c r="BJ61" i="13"/>
  <c r="BK61" i="13" s="1"/>
  <c r="BD64" i="13"/>
  <c r="BE64" i="13" s="1"/>
  <c r="BG64" i="13"/>
  <c r="BH64" i="13" s="1"/>
  <c r="BJ64" i="13"/>
  <c r="BK64" i="13" s="1"/>
  <c r="BD41" i="13"/>
  <c r="BE41" i="13" s="1"/>
  <c r="BG41" i="13"/>
  <c r="BH41" i="13" s="1"/>
  <c r="BJ41" i="13"/>
  <c r="BK41" i="13" s="1"/>
  <c r="BD42" i="13"/>
  <c r="BE42" i="13" s="1"/>
  <c r="BG42" i="13"/>
  <c r="BH42" i="13" s="1"/>
  <c r="BJ42" i="13"/>
  <c r="BK42" i="13" s="1"/>
  <c r="BD43" i="13"/>
  <c r="BE43" i="13" s="1"/>
  <c r="BG43" i="13"/>
  <c r="BH43" i="13" s="1"/>
  <c r="BJ43" i="13"/>
  <c r="BK43" i="13" s="1"/>
  <c r="BD44" i="13"/>
  <c r="BE44" i="13" s="1"/>
  <c r="BG44" i="13"/>
  <c r="BH44" i="13" s="1"/>
  <c r="BJ44" i="13"/>
  <c r="BK44" i="13" s="1"/>
  <c r="BD45" i="13"/>
  <c r="BE45" i="13" s="1"/>
  <c r="BG45" i="13"/>
  <c r="BH45" i="13" s="1"/>
  <c r="BJ45" i="13"/>
  <c r="BK45" i="13" s="1"/>
  <c r="BD17" i="13"/>
  <c r="BE17" i="13" s="1"/>
  <c r="BG17" i="13"/>
  <c r="BH17" i="13" s="1"/>
  <c r="BJ17" i="13"/>
  <c r="BK17" i="13" s="1"/>
  <c r="BD18" i="13"/>
  <c r="BE18" i="13" s="1"/>
  <c r="BG18" i="13"/>
  <c r="BH18" i="13" s="1"/>
  <c r="BJ18" i="13"/>
  <c r="BK18" i="13" s="1"/>
  <c r="BD20" i="13"/>
  <c r="BE20" i="13" s="1"/>
  <c r="BG20" i="13"/>
  <c r="BH20" i="13" s="1"/>
  <c r="BJ20" i="13"/>
  <c r="BK20" i="13" s="1"/>
  <c r="BD21" i="13"/>
  <c r="BE21" i="13" s="1"/>
  <c r="BG21" i="13"/>
  <c r="BH21" i="13" s="1"/>
  <c r="BJ21" i="13"/>
  <c r="BK21" i="13" s="1"/>
  <c r="BD26" i="13"/>
  <c r="BE26" i="13" s="1"/>
  <c r="BG26" i="13"/>
  <c r="BH26" i="13" s="1"/>
  <c r="BJ26" i="13"/>
  <c r="BK26" i="13" s="1"/>
  <c r="BD28" i="13"/>
  <c r="BE28" i="13" s="1"/>
  <c r="BG28" i="13"/>
  <c r="BH28" i="13" s="1"/>
  <c r="BJ28" i="13"/>
  <c r="BK28" i="13" s="1"/>
  <c r="BD31" i="13"/>
  <c r="BE31" i="13" s="1"/>
  <c r="BG31" i="13"/>
  <c r="BH31" i="13" s="1"/>
  <c r="BJ31" i="13"/>
  <c r="BK31" i="13" s="1"/>
  <c r="BD33" i="13"/>
  <c r="BE33" i="13" s="1"/>
  <c r="BG33" i="13"/>
  <c r="BH33" i="13" s="1"/>
  <c r="BJ33" i="13"/>
  <c r="BK33" i="13" s="1"/>
  <c r="BD13" i="13"/>
  <c r="BE13" i="13" s="1"/>
  <c r="BG13" i="13"/>
  <c r="BH13" i="13" s="1"/>
  <c r="BJ13" i="13"/>
  <c r="BK13" i="13" s="1"/>
  <c r="BD14" i="13"/>
  <c r="BE14" i="13" s="1"/>
  <c r="BG14" i="13"/>
  <c r="BH14" i="13" s="1"/>
  <c r="BJ14" i="13"/>
  <c r="BK14" i="13" s="1"/>
  <c r="H199" i="16" l="1"/>
  <c r="H78" i="16"/>
  <c r="AG95" i="13"/>
  <c r="AG96" i="13"/>
  <c r="G231" i="13"/>
  <c r="H231" i="13"/>
  <c r="I231" i="13"/>
  <c r="J231" i="13"/>
  <c r="K231" i="13"/>
  <c r="L231" i="13"/>
  <c r="M231" i="13"/>
  <c r="N231" i="13"/>
  <c r="O231" i="13"/>
  <c r="P231" i="13"/>
  <c r="R231" i="13"/>
  <c r="F231" i="13"/>
  <c r="G214" i="13"/>
  <c r="H214" i="13"/>
  <c r="I214" i="13"/>
  <c r="J214" i="13"/>
  <c r="K214" i="13"/>
  <c r="L214" i="13"/>
  <c r="M214" i="13"/>
  <c r="N214" i="13"/>
  <c r="O214" i="13"/>
  <c r="P214" i="13"/>
  <c r="R214" i="13"/>
  <c r="R169" i="13"/>
  <c r="P169" i="13"/>
  <c r="O169" i="13"/>
  <c r="N169" i="13"/>
  <c r="M169" i="13"/>
  <c r="L169" i="13"/>
  <c r="K169" i="13"/>
  <c r="J169" i="13"/>
  <c r="I169" i="13"/>
  <c r="H169" i="13"/>
  <c r="G169" i="13"/>
  <c r="R192" i="13"/>
  <c r="P192" i="13"/>
  <c r="O192" i="13"/>
  <c r="N192" i="13"/>
  <c r="M192" i="13"/>
  <c r="L192" i="13"/>
  <c r="K192" i="13"/>
  <c r="J192" i="13"/>
  <c r="I192" i="13"/>
  <c r="H192" i="13"/>
  <c r="G192" i="13"/>
  <c r="R189" i="13"/>
  <c r="P189" i="13"/>
  <c r="O189" i="13"/>
  <c r="N189" i="13"/>
  <c r="M189" i="13"/>
  <c r="L189" i="13"/>
  <c r="K189" i="13"/>
  <c r="J189" i="13"/>
  <c r="I189" i="13"/>
  <c r="H189" i="13"/>
  <c r="G189" i="13"/>
  <c r="R187" i="13"/>
  <c r="P187" i="13"/>
  <c r="O187" i="13"/>
  <c r="N187" i="13"/>
  <c r="M187" i="13"/>
  <c r="K187" i="13"/>
  <c r="J187" i="13"/>
  <c r="I187" i="13"/>
  <c r="H187" i="13"/>
  <c r="G187" i="13"/>
  <c r="R183" i="13"/>
  <c r="P183" i="13"/>
  <c r="O183" i="13"/>
  <c r="N183" i="13"/>
  <c r="M183" i="13"/>
  <c r="L183" i="13"/>
  <c r="K183" i="13"/>
  <c r="J183" i="13"/>
  <c r="I183" i="13"/>
  <c r="H183" i="13"/>
  <c r="G183" i="13"/>
  <c r="R179" i="13"/>
  <c r="P179" i="13"/>
  <c r="O179" i="13"/>
  <c r="N179" i="13"/>
  <c r="M179" i="13"/>
  <c r="L179" i="13"/>
  <c r="K179" i="13"/>
  <c r="J179" i="13"/>
  <c r="I179" i="13"/>
  <c r="H179" i="13"/>
  <c r="G179" i="13"/>
  <c r="R175" i="13"/>
  <c r="P175" i="13"/>
  <c r="O175" i="13"/>
  <c r="N175" i="13"/>
  <c r="M175" i="13"/>
  <c r="L175" i="13"/>
  <c r="K175" i="13"/>
  <c r="J175" i="13"/>
  <c r="I175" i="13"/>
  <c r="H175" i="13"/>
  <c r="G175" i="13"/>
  <c r="R171" i="13"/>
  <c r="P171" i="13"/>
  <c r="O171" i="13"/>
  <c r="N171" i="13"/>
  <c r="M171" i="13"/>
  <c r="L171" i="13"/>
  <c r="K171" i="13"/>
  <c r="J171" i="13"/>
  <c r="I171" i="13"/>
  <c r="H171" i="13"/>
  <c r="G171" i="13"/>
  <c r="R164" i="13"/>
  <c r="P164" i="13"/>
  <c r="O164" i="13"/>
  <c r="N164" i="13"/>
  <c r="M164" i="13"/>
  <c r="L164" i="13"/>
  <c r="K164" i="13"/>
  <c r="J164" i="13"/>
  <c r="I164" i="13"/>
  <c r="H164" i="13"/>
  <c r="G164" i="13"/>
  <c r="R162" i="13"/>
  <c r="P162" i="13"/>
  <c r="O162" i="13"/>
  <c r="N162" i="13"/>
  <c r="M162" i="13"/>
  <c r="L162" i="13"/>
  <c r="K162" i="13"/>
  <c r="J162" i="13"/>
  <c r="I162" i="13"/>
  <c r="H162" i="13"/>
  <c r="G162" i="13"/>
  <c r="R160" i="13"/>
  <c r="P160" i="13"/>
  <c r="O160" i="13"/>
  <c r="N160" i="13"/>
  <c r="M160" i="13"/>
  <c r="L160" i="13"/>
  <c r="K160" i="13"/>
  <c r="J160" i="13"/>
  <c r="I160" i="13"/>
  <c r="H160" i="13"/>
  <c r="G160" i="13"/>
  <c r="R155" i="13"/>
  <c r="P155" i="13"/>
  <c r="O155" i="13"/>
  <c r="N155" i="13"/>
  <c r="M155" i="13"/>
  <c r="L155" i="13"/>
  <c r="K155" i="13"/>
  <c r="J155" i="13"/>
  <c r="I155" i="13"/>
  <c r="H155" i="13"/>
  <c r="G155" i="13"/>
  <c r="R148" i="13"/>
  <c r="P148" i="13"/>
  <c r="O148" i="13"/>
  <c r="N148" i="13"/>
  <c r="M148" i="13"/>
  <c r="L148" i="13"/>
  <c r="K148" i="13"/>
  <c r="J148" i="13"/>
  <c r="I148" i="13"/>
  <c r="H148" i="13"/>
  <c r="G148" i="13"/>
  <c r="R144" i="13"/>
  <c r="P144" i="13"/>
  <c r="O144" i="13"/>
  <c r="N144" i="13"/>
  <c r="M144" i="13"/>
  <c r="L144" i="13"/>
  <c r="K144" i="13"/>
  <c r="J144" i="13"/>
  <c r="I144" i="13"/>
  <c r="H144" i="13"/>
  <c r="G144" i="13"/>
  <c r="R134" i="13"/>
  <c r="P134" i="13"/>
  <c r="O134" i="13"/>
  <c r="N134" i="13"/>
  <c r="M134" i="13"/>
  <c r="L134" i="13"/>
  <c r="K134" i="13"/>
  <c r="J134" i="13"/>
  <c r="I134" i="13"/>
  <c r="H134" i="13"/>
  <c r="G134" i="13"/>
  <c r="R130" i="13"/>
  <c r="P130" i="13"/>
  <c r="O130" i="13"/>
  <c r="N130" i="13"/>
  <c r="M130" i="13"/>
  <c r="L130" i="13"/>
  <c r="K130" i="13"/>
  <c r="J130" i="13"/>
  <c r="I130" i="13"/>
  <c r="H130" i="13"/>
  <c r="G130" i="13"/>
  <c r="R126" i="13"/>
  <c r="P126" i="13"/>
  <c r="O126" i="13"/>
  <c r="N126" i="13"/>
  <c r="M126" i="13"/>
  <c r="L126" i="13"/>
  <c r="K126" i="13"/>
  <c r="J126" i="13"/>
  <c r="I126" i="13"/>
  <c r="H126" i="13"/>
  <c r="G126" i="13"/>
  <c r="R121" i="13"/>
  <c r="P121" i="13"/>
  <c r="O121" i="13"/>
  <c r="N121" i="13"/>
  <c r="M121" i="13"/>
  <c r="L121" i="13"/>
  <c r="K121" i="13"/>
  <c r="J121" i="13"/>
  <c r="I121" i="13"/>
  <c r="H121" i="13"/>
  <c r="G121" i="13"/>
  <c r="R117" i="13"/>
  <c r="P117" i="13"/>
  <c r="O117" i="13"/>
  <c r="N117" i="13"/>
  <c r="M117" i="13"/>
  <c r="L117" i="13"/>
  <c r="K117" i="13"/>
  <c r="J117" i="13"/>
  <c r="I117" i="13"/>
  <c r="H117" i="13"/>
  <c r="G117" i="13"/>
  <c r="R115" i="13"/>
  <c r="P115" i="13"/>
  <c r="O115" i="13"/>
  <c r="N115" i="13"/>
  <c r="M115" i="13"/>
  <c r="L115" i="13"/>
  <c r="K115" i="13"/>
  <c r="J115" i="13"/>
  <c r="I115" i="13"/>
  <c r="H115" i="13"/>
  <c r="G115" i="13"/>
  <c r="R113" i="13"/>
  <c r="P113" i="13"/>
  <c r="O113" i="13"/>
  <c r="N113" i="13"/>
  <c r="M113" i="13"/>
  <c r="L113" i="13"/>
  <c r="K113" i="13"/>
  <c r="J113" i="13"/>
  <c r="I113" i="13"/>
  <c r="H113" i="13"/>
  <c r="G113" i="13"/>
  <c r="R103" i="13"/>
  <c r="P103" i="13"/>
  <c r="O103" i="13"/>
  <c r="N103" i="13"/>
  <c r="M103" i="13"/>
  <c r="L103" i="13"/>
  <c r="K103" i="13"/>
  <c r="J103" i="13"/>
  <c r="I103" i="13"/>
  <c r="H103" i="13"/>
  <c r="G103" i="13"/>
  <c r="R100" i="13"/>
  <c r="P100" i="13"/>
  <c r="O100" i="13"/>
  <c r="N100" i="13"/>
  <c r="M100" i="13"/>
  <c r="L100" i="13"/>
  <c r="K100" i="13"/>
  <c r="J100" i="13"/>
  <c r="I100" i="13"/>
  <c r="H100" i="13"/>
  <c r="G100" i="13"/>
  <c r="R93" i="13"/>
  <c r="P93" i="13"/>
  <c r="O93" i="13"/>
  <c r="N93" i="13"/>
  <c r="M93" i="13"/>
  <c r="L93" i="13"/>
  <c r="K93" i="13"/>
  <c r="J93" i="13"/>
  <c r="I93" i="13"/>
  <c r="H93" i="13"/>
  <c r="G93" i="13"/>
  <c r="H83" i="13"/>
  <c r="P90" i="13"/>
  <c r="O90" i="13"/>
  <c r="N90" i="13"/>
  <c r="M90" i="13"/>
  <c r="L90" i="13"/>
  <c r="K90" i="13"/>
  <c r="J90" i="13"/>
  <c r="I90" i="13"/>
  <c r="H90" i="13"/>
  <c r="G90" i="13"/>
  <c r="R90" i="13"/>
  <c r="H86" i="13"/>
  <c r="R86" i="13"/>
  <c r="R83" i="13"/>
  <c r="P86" i="13"/>
  <c r="P83" i="13"/>
  <c r="O86" i="13"/>
  <c r="O83" i="13"/>
  <c r="N86" i="13"/>
  <c r="N83" i="13"/>
  <c r="M86" i="13"/>
  <c r="M83" i="13"/>
  <c r="L86" i="13"/>
  <c r="L83" i="13"/>
  <c r="K86" i="13"/>
  <c r="K83" i="13"/>
  <c r="J86" i="13"/>
  <c r="J83" i="13"/>
  <c r="I86" i="13"/>
  <c r="I83" i="13"/>
  <c r="G86" i="13"/>
  <c r="G83" i="13"/>
  <c r="R75" i="13"/>
  <c r="R69" i="13"/>
  <c r="P75" i="13"/>
  <c r="P69" i="13"/>
  <c r="O75" i="13"/>
  <c r="O69" i="13"/>
  <c r="N75" i="13"/>
  <c r="N69" i="13"/>
  <c r="M75" i="13"/>
  <c r="M69" i="13"/>
  <c r="L75" i="13"/>
  <c r="L69" i="13"/>
  <c r="K75" i="13"/>
  <c r="K69" i="13"/>
  <c r="J75" i="13"/>
  <c r="J69" i="13"/>
  <c r="I75" i="13"/>
  <c r="I69" i="13"/>
  <c r="H69" i="13"/>
  <c r="G75" i="13"/>
  <c r="G69" i="13"/>
  <c r="H63" i="13"/>
  <c r="R63" i="13"/>
  <c r="P63" i="13"/>
  <c r="O63" i="13"/>
  <c r="N63" i="13"/>
  <c r="M63" i="13"/>
  <c r="L63" i="13"/>
  <c r="K63" i="13"/>
  <c r="J63" i="13"/>
  <c r="I63" i="13"/>
  <c r="G63" i="13"/>
  <c r="R59" i="13"/>
  <c r="R56" i="13"/>
  <c r="P59" i="13"/>
  <c r="P56" i="13"/>
  <c r="O59" i="13"/>
  <c r="O56" i="13"/>
  <c r="L59" i="13"/>
  <c r="L56" i="13"/>
  <c r="K59" i="13"/>
  <c r="K56" i="13"/>
  <c r="J59" i="13"/>
  <c r="J56" i="13"/>
  <c r="I59" i="13"/>
  <c r="I56" i="13"/>
  <c r="G59" i="13"/>
  <c r="G56" i="13"/>
  <c r="K51" i="13"/>
  <c r="K46" i="13"/>
  <c r="R51" i="13"/>
  <c r="R46" i="13"/>
  <c r="R39" i="13"/>
  <c r="P51" i="13"/>
  <c r="P46" i="13"/>
  <c r="P39" i="13"/>
  <c r="O51" i="13"/>
  <c r="O46" i="13"/>
  <c r="O39" i="13"/>
  <c r="N51" i="13"/>
  <c r="N46" i="13"/>
  <c r="N39" i="13"/>
  <c r="M51" i="13"/>
  <c r="M46" i="13"/>
  <c r="M39" i="13"/>
  <c r="L51" i="13"/>
  <c r="L46" i="13"/>
  <c r="L39" i="13"/>
  <c r="J51" i="13"/>
  <c r="J46" i="13"/>
  <c r="J39" i="13"/>
  <c r="I51" i="13"/>
  <c r="I46" i="13"/>
  <c r="I39" i="13"/>
  <c r="H51" i="13"/>
  <c r="H46" i="13"/>
  <c r="H39" i="13"/>
  <c r="G51" i="13"/>
  <c r="G46" i="13"/>
  <c r="G39" i="13"/>
  <c r="B202" i="13"/>
  <c r="Z202" i="13" s="1"/>
  <c r="B203" i="13"/>
  <c r="Z203" i="13" s="1"/>
  <c r="J123" i="13" l="1"/>
  <c r="M66" i="13"/>
  <c r="K110" i="13"/>
  <c r="J152" i="13"/>
  <c r="J110" i="13"/>
  <c r="H123" i="13"/>
  <c r="N166" i="13"/>
  <c r="J66" i="13"/>
  <c r="O66" i="13"/>
  <c r="M97" i="13"/>
  <c r="M110" i="13"/>
  <c r="O110" i="13"/>
  <c r="R110" i="13"/>
  <c r="N66" i="13"/>
  <c r="I123" i="13"/>
  <c r="H66" i="13"/>
  <c r="R97" i="13"/>
  <c r="L110" i="13"/>
  <c r="I166" i="13"/>
  <c r="G66" i="13"/>
  <c r="P66" i="13"/>
  <c r="N110" i="13"/>
  <c r="J166" i="13"/>
  <c r="O123" i="13"/>
  <c r="P110" i="13"/>
  <c r="R66" i="13"/>
  <c r="G110" i="13"/>
  <c r="J97" i="13"/>
  <c r="I66" i="13"/>
  <c r="R166" i="13"/>
  <c r="G97" i="13"/>
  <c r="I97" i="13"/>
  <c r="O97" i="13"/>
  <c r="M197" i="13"/>
  <c r="P97" i="13"/>
  <c r="P123" i="13"/>
  <c r="K66" i="13"/>
  <c r="H110" i="13"/>
  <c r="R123" i="13"/>
  <c r="H152" i="13"/>
  <c r="M166" i="13"/>
  <c r="K97" i="13"/>
  <c r="I110" i="13"/>
  <c r="L97" i="13"/>
  <c r="K152" i="13"/>
  <c r="L152" i="13"/>
  <c r="O166" i="13"/>
  <c r="M123" i="13"/>
  <c r="P166" i="13"/>
  <c r="L66" i="13"/>
  <c r="H166" i="13"/>
  <c r="H97" i="13"/>
  <c r="N97" i="13"/>
  <c r="I152" i="13"/>
  <c r="G123" i="13"/>
  <c r="G166" i="13"/>
  <c r="L197" i="13"/>
  <c r="I197" i="13"/>
  <c r="K123" i="13"/>
  <c r="K166" i="13"/>
  <c r="N197" i="13"/>
  <c r="J197" i="13"/>
  <c r="L123" i="13"/>
  <c r="N123" i="13"/>
  <c r="L166" i="13"/>
  <c r="O197" i="13"/>
  <c r="K197" i="13"/>
  <c r="R197" i="13"/>
  <c r="P197" i="13"/>
  <c r="M152" i="13"/>
  <c r="N152" i="13"/>
  <c r="O152" i="13"/>
  <c r="P152" i="13"/>
  <c r="R152" i="13"/>
  <c r="G152" i="13"/>
  <c r="AE95" i="13"/>
  <c r="AF95" i="13"/>
  <c r="AE96" i="13"/>
  <c r="AF96" i="13"/>
  <c r="H197" i="13"/>
  <c r="G197" i="13"/>
  <c r="F214" i="13" l="1"/>
  <c r="F189" i="13"/>
  <c r="F187" i="13"/>
  <c r="F192" i="13"/>
  <c r="F183" i="13"/>
  <c r="F179" i="13"/>
  <c r="F175" i="13"/>
  <c r="F169" i="13"/>
  <c r="F171" i="13"/>
  <c r="F164" i="13"/>
  <c r="F162" i="13"/>
  <c r="F160" i="13"/>
  <c r="F155" i="13"/>
  <c r="F148" i="13"/>
  <c r="F144" i="13"/>
  <c r="F134" i="13"/>
  <c r="F130" i="13"/>
  <c r="F126" i="13"/>
  <c r="F121" i="13"/>
  <c r="F117" i="13"/>
  <c r="F115" i="13"/>
  <c r="F113" i="13"/>
  <c r="F103" i="13"/>
  <c r="F100" i="13"/>
  <c r="F93" i="13"/>
  <c r="F90" i="13"/>
  <c r="F86" i="13"/>
  <c r="F83" i="13"/>
  <c r="F75" i="13"/>
  <c r="F69" i="13"/>
  <c r="F63" i="13"/>
  <c r="F59" i="13"/>
  <c r="F56" i="13"/>
  <c r="F51" i="13"/>
  <c r="F46" i="13"/>
  <c r="F39" i="13"/>
  <c r="AF226" i="5"/>
  <c r="AE226" i="5"/>
  <c r="AD226" i="5"/>
  <c r="AF225" i="5"/>
  <c r="AE225" i="5"/>
  <c r="AD225" i="5"/>
  <c r="AF224" i="5"/>
  <c r="AE224" i="5"/>
  <c r="AD224" i="5"/>
  <c r="AF223" i="5"/>
  <c r="AE223" i="5"/>
  <c r="AD223" i="5"/>
  <c r="AF222" i="5"/>
  <c r="AE222" i="5"/>
  <c r="AD222" i="5"/>
  <c r="AF221" i="5"/>
  <c r="AE221" i="5"/>
  <c r="AD221" i="5"/>
  <c r="AF220" i="5"/>
  <c r="AE220" i="5"/>
  <c r="AD220" i="5"/>
  <c r="AF219" i="5"/>
  <c r="AE219" i="5"/>
  <c r="AD219" i="5"/>
  <c r="AF218" i="5"/>
  <c r="AE218" i="5"/>
  <c r="AD218" i="5"/>
  <c r="AF217" i="5"/>
  <c r="AE217" i="5"/>
  <c r="AD217" i="5"/>
  <c r="AF216" i="5"/>
  <c r="AE216" i="5"/>
  <c r="AD216" i="5"/>
  <c r="AF215" i="5"/>
  <c r="AE215" i="5"/>
  <c r="AD215" i="5"/>
  <c r="AF214" i="5"/>
  <c r="AE214" i="5"/>
  <c r="AD214" i="5"/>
  <c r="AF213" i="5"/>
  <c r="AE213" i="5"/>
  <c r="AD213" i="5"/>
  <c r="AF209" i="5"/>
  <c r="AE209" i="5"/>
  <c r="AD209" i="5"/>
  <c r="AF208" i="5"/>
  <c r="AE208" i="5"/>
  <c r="AD208" i="5"/>
  <c r="AF207" i="5"/>
  <c r="AE207" i="5"/>
  <c r="AD207" i="5"/>
  <c r="AF206" i="5"/>
  <c r="AE206" i="5"/>
  <c r="AD206" i="5"/>
  <c r="AF205" i="5"/>
  <c r="AE205" i="5"/>
  <c r="AD205" i="5"/>
  <c r="AF204" i="5"/>
  <c r="AE204" i="5"/>
  <c r="AD204" i="5"/>
  <c r="AF203" i="5"/>
  <c r="AE203" i="5"/>
  <c r="AD203" i="5"/>
  <c r="AF202" i="5"/>
  <c r="AE202" i="5"/>
  <c r="AD202" i="5"/>
  <c r="AF201" i="5"/>
  <c r="AE201" i="5"/>
  <c r="AD201" i="5"/>
  <c r="AF197" i="5"/>
  <c r="AE197" i="5"/>
  <c r="AD197" i="5"/>
  <c r="AF196" i="5"/>
  <c r="AE196" i="5"/>
  <c r="AD196" i="5"/>
  <c r="AF192" i="5"/>
  <c r="AE192" i="5"/>
  <c r="AD192" i="5"/>
  <c r="AF190" i="5"/>
  <c r="AE190" i="5"/>
  <c r="AD190" i="5"/>
  <c r="AF189" i="5"/>
  <c r="AE189" i="5"/>
  <c r="AD189" i="5"/>
  <c r="AF188" i="5"/>
  <c r="AE188" i="5"/>
  <c r="AD188" i="5"/>
  <c r="AF187" i="5"/>
  <c r="AE187" i="5"/>
  <c r="AD187" i="5"/>
  <c r="AF186" i="5"/>
  <c r="AE186" i="5"/>
  <c r="AD186" i="5"/>
  <c r="AF185" i="5"/>
  <c r="AE185" i="5"/>
  <c r="AD185" i="5"/>
  <c r="AF184" i="5"/>
  <c r="AE184" i="5"/>
  <c r="AD184" i="5"/>
  <c r="AF183" i="5"/>
  <c r="AE183" i="5"/>
  <c r="AD183" i="5"/>
  <c r="AF182" i="5"/>
  <c r="AE182" i="5"/>
  <c r="AD182" i="5"/>
  <c r="AF181" i="5"/>
  <c r="AE181" i="5"/>
  <c r="AD181" i="5"/>
  <c r="AF180" i="5"/>
  <c r="AE180" i="5"/>
  <c r="AD180" i="5"/>
  <c r="AF179" i="5"/>
  <c r="AE179" i="5"/>
  <c r="AD179" i="5"/>
  <c r="AF178" i="5"/>
  <c r="AE178" i="5"/>
  <c r="AD178" i="5"/>
  <c r="AF177" i="5"/>
  <c r="AE177" i="5"/>
  <c r="AD177" i="5"/>
  <c r="AF176" i="5"/>
  <c r="AE176" i="5"/>
  <c r="AD176" i="5"/>
  <c r="AF175" i="5"/>
  <c r="AE175" i="5"/>
  <c r="AD175" i="5"/>
  <c r="AF174" i="5"/>
  <c r="AE174" i="5"/>
  <c r="AD174" i="5"/>
  <c r="AF173" i="5"/>
  <c r="AE173" i="5"/>
  <c r="AD173" i="5"/>
  <c r="AF171" i="5"/>
  <c r="AE171" i="5"/>
  <c r="AD171" i="5"/>
  <c r="AF170" i="5"/>
  <c r="AE170" i="5"/>
  <c r="AD170" i="5"/>
  <c r="AF169" i="5"/>
  <c r="AE169" i="5"/>
  <c r="AD169" i="5"/>
  <c r="AF168" i="5"/>
  <c r="AE168" i="5"/>
  <c r="AD168" i="5"/>
  <c r="AF167" i="5"/>
  <c r="AE167" i="5"/>
  <c r="AD167" i="5"/>
  <c r="AF165" i="5"/>
  <c r="AE165" i="5"/>
  <c r="AD165" i="5"/>
  <c r="AF164" i="5"/>
  <c r="AE164" i="5"/>
  <c r="AD164" i="5"/>
  <c r="AF160" i="5"/>
  <c r="AE160" i="5"/>
  <c r="AD160" i="5"/>
  <c r="AF159" i="5"/>
  <c r="AE159" i="5"/>
  <c r="AD159" i="5"/>
  <c r="AF158" i="5"/>
  <c r="AE158" i="5"/>
  <c r="AD158" i="5"/>
  <c r="AF157" i="5"/>
  <c r="AE157" i="5"/>
  <c r="AD157" i="5"/>
  <c r="AF156" i="5"/>
  <c r="AE156" i="5"/>
  <c r="AD156" i="5"/>
  <c r="AF155" i="5"/>
  <c r="AE155" i="5"/>
  <c r="AD155" i="5"/>
  <c r="AF153" i="5"/>
  <c r="AE153" i="5"/>
  <c r="AD153" i="5"/>
  <c r="AF152" i="5"/>
  <c r="AE152" i="5"/>
  <c r="AD152" i="5"/>
  <c r="AF151" i="5"/>
  <c r="AE151" i="5"/>
  <c r="AD151" i="5"/>
  <c r="AF149" i="5"/>
  <c r="AE149" i="5"/>
  <c r="AD149" i="5"/>
  <c r="AF145" i="5"/>
  <c r="AE145" i="5"/>
  <c r="AD145" i="5"/>
  <c r="AF144" i="5"/>
  <c r="AE144" i="5"/>
  <c r="AD144" i="5"/>
  <c r="AF143" i="5"/>
  <c r="AE143" i="5"/>
  <c r="AD143" i="5"/>
  <c r="AF142" i="5"/>
  <c r="AE142" i="5"/>
  <c r="AD142" i="5"/>
  <c r="AF141" i="5"/>
  <c r="AE141" i="5"/>
  <c r="AD141" i="5"/>
  <c r="AF140" i="5"/>
  <c r="AE140" i="5"/>
  <c r="AD140" i="5"/>
  <c r="AF139" i="5"/>
  <c r="AE139" i="5"/>
  <c r="AD139" i="5"/>
  <c r="AF137" i="5"/>
  <c r="AE137" i="5"/>
  <c r="AD137" i="5"/>
  <c r="AF135" i="5"/>
  <c r="AE135" i="5"/>
  <c r="AD135" i="5"/>
  <c r="AF134" i="5"/>
  <c r="AE134" i="5"/>
  <c r="AD134" i="5"/>
  <c r="AF133" i="5"/>
  <c r="AE133" i="5"/>
  <c r="AD133" i="5"/>
  <c r="AF132" i="5"/>
  <c r="AE132" i="5"/>
  <c r="AD132" i="5"/>
  <c r="AF131" i="5"/>
  <c r="AE131" i="5"/>
  <c r="AD131" i="5"/>
  <c r="AF130" i="5"/>
  <c r="AE130" i="5"/>
  <c r="AD130" i="5"/>
  <c r="AF129" i="5"/>
  <c r="AE129" i="5"/>
  <c r="AD129" i="5"/>
  <c r="AF128" i="5"/>
  <c r="AE128" i="5"/>
  <c r="AD128" i="5"/>
  <c r="AF127" i="5"/>
  <c r="AE127" i="5"/>
  <c r="AD127" i="5"/>
  <c r="AF126" i="5"/>
  <c r="AE126" i="5"/>
  <c r="AD126" i="5"/>
  <c r="AF125" i="5"/>
  <c r="AE125" i="5"/>
  <c r="AD125" i="5"/>
  <c r="AF124" i="5"/>
  <c r="AE124" i="5"/>
  <c r="AD124" i="5"/>
  <c r="AF123" i="5"/>
  <c r="AE123" i="5"/>
  <c r="AD123" i="5"/>
  <c r="AF122" i="5"/>
  <c r="AE122" i="5"/>
  <c r="AD122" i="5"/>
  <c r="AF121" i="5"/>
  <c r="AE121" i="5"/>
  <c r="AD121" i="5"/>
  <c r="AF120" i="5"/>
  <c r="AE120" i="5"/>
  <c r="AD120" i="5"/>
  <c r="AF119" i="5"/>
  <c r="AE119" i="5"/>
  <c r="AD119" i="5"/>
  <c r="AF115" i="5"/>
  <c r="AE115" i="5"/>
  <c r="AD115" i="5"/>
  <c r="AF114" i="5"/>
  <c r="AE114" i="5"/>
  <c r="AD114" i="5"/>
  <c r="AF113" i="5"/>
  <c r="AE113" i="5"/>
  <c r="AD113" i="5"/>
  <c r="AF112" i="5"/>
  <c r="AE112" i="5"/>
  <c r="AD112" i="5"/>
  <c r="AF111" i="5"/>
  <c r="AE111" i="5"/>
  <c r="AD111" i="5"/>
  <c r="AF110" i="5"/>
  <c r="AE110" i="5"/>
  <c r="AD110" i="5"/>
  <c r="AF109" i="5"/>
  <c r="AE109" i="5"/>
  <c r="AD109" i="5"/>
  <c r="AF108" i="5"/>
  <c r="AE108" i="5"/>
  <c r="AD108" i="5"/>
  <c r="AF107" i="5"/>
  <c r="AE107" i="5"/>
  <c r="AD107" i="5"/>
  <c r="AF105" i="5"/>
  <c r="AE105" i="5"/>
  <c r="AD105" i="5"/>
  <c r="AF101" i="5"/>
  <c r="AE101" i="5"/>
  <c r="AD101" i="5"/>
  <c r="AF99" i="5"/>
  <c r="AE99" i="5"/>
  <c r="AD99" i="5"/>
  <c r="AF98" i="5"/>
  <c r="AE98" i="5"/>
  <c r="AD98" i="5"/>
  <c r="AF97" i="5"/>
  <c r="AE97" i="5"/>
  <c r="AD97" i="5"/>
  <c r="AF96" i="5"/>
  <c r="AE96" i="5"/>
  <c r="AD96" i="5"/>
  <c r="AF92" i="5"/>
  <c r="AE92" i="5"/>
  <c r="AD92" i="5"/>
  <c r="AF91" i="5"/>
  <c r="AE91" i="5"/>
  <c r="AD91" i="5"/>
  <c r="AF90" i="5"/>
  <c r="AE90" i="5"/>
  <c r="AD90" i="5"/>
  <c r="AF89" i="5"/>
  <c r="AE89" i="5"/>
  <c r="AD89" i="5"/>
  <c r="AF88" i="5"/>
  <c r="AE88" i="5"/>
  <c r="AD88" i="5"/>
  <c r="AF87" i="5"/>
  <c r="AE87" i="5"/>
  <c r="AD87" i="5"/>
  <c r="AF85" i="5"/>
  <c r="AE85" i="5"/>
  <c r="AD85" i="5"/>
  <c r="AF84" i="5"/>
  <c r="AE84" i="5"/>
  <c r="AD84" i="5"/>
  <c r="AF83" i="5"/>
  <c r="AE83" i="5"/>
  <c r="AD83" i="5"/>
  <c r="AF82" i="5"/>
  <c r="AE82" i="5"/>
  <c r="AD82" i="5"/>
  <c r="AF81" i="5"/>
  <c r="AE81" i="5"/>
  <c r="AD81" i="5"/>
  <c r="AF80" i="5"/>
  <c r="AE80" i="5"/>
  <c r="AD80" i="5"/>
  <c r="AF79" i="5"/>
  <c r="AE79" i="5"/>
  <c r="AD79" i="5"/>
  <c r="AF78" i="5"/>
  <c r="AE78" i="5"/>
  <c r="AD78" i="5"/>
  <c r="AF77" i="5"/>
  <c r="AE77" i="5"/>
  <c r="AD77" i="5"/>
  <c r="AF76" i="5"/>
  <c r="AE76" i="5"/>
  <c r="AD76" i="5"/>
  <c r="AF75" i="5"/>
  <c r="AE75" i="5"/>
  <c r="AD75" i="5"/>
  <c r="AF74" i="5"/>
  <c r="AE74" i="5"/>
  <c r="AD74" i="5"/>
  <c r="AF73" i="5"/>
  <c r="AE73" i="5"/>
  <c r="AD73" i="5"/>
  <c r="AF71" i="5"/>
  <c r="AE71" i="5"/>
  <c r="AD71" i="5"/>
  <c r="AF69" i="5"/>
  <c r="AE69" i="5"/>
  <c r="AD69" i="5"/>
  <c r="AF68" i="5"/>
  <c r="AE68" i="5"/>
  <c r="AD68" i="5"/>
  <c r="AF67" i="5"/>
  <c r="AE67" i="5"/>
  <c r="AD67" i="5"/>
  <c r="AF66" i="5"/>
  <c r="AE66" i="5"/>
  <c r="AD66" i="5"/>
  <c r="AF62" i="5"/>
  <c r="AE62" i="5"/>
  <c r="AD62" i="5"/>
  <c r="AF61" i="5"/>
  <c r="AE61" i="5"/>
  <c r="AD61" i="5"/>
  <c r="AF60" i="5"/>
  <c r="AE60" i="5"/>
  <c r="AD60" i="5"/>
  <c r="AF59" i="5"/>
  <c r="AE59" i="5"/>
  <c r="AD59" i="5"/>
  <c r="AF58" i="5"/>
  <c r="AE58" i="5"/>
  <c r="AD58" i="5"/>
  <c r="AF57" i="5"/>
  <c r="AE57" i="5"/>
  <c r="AD57" i="5"/>
  <c r="AF56" i="5"/>
  <c r="AE56" i="5"/>
  <c r="AD56" i="5"/>
  <c r="AF55" i="5"/>
  <c r="AE55" i="5"/>
  <c r="AD55" i="5"/>
  <c r="AF54" i="5"/>
  <c r="AE54" i="5"/>
  <c r="AD54" i="5"/>
  <c r="AF53" i="5"/>
  <c r="AE53" i="5"/>
  <c r="AD53" i="5"/>
  <c r="AF52" i="5"/>
  <c r="AE52" i="5"/>
  <c r="AD52" i="5"/>
  <c r="AF51" i="5"/>
  <c r="AE51" i="5"/>
  <c r="AD51" i="5"/>
  <c r="AF50" i="5"/>
  <c r="AE50" i="5"/>
  <c r="AD50" i="5"/>
  <c r="AF49" i="5"/>
  <c r="AE49" i="5"/>
  <c r="AD49" i="5"/>
  <c r="AF48" i="5"/>
  <c r="AE48" i="5"/>
  <c r="AD48" i="5"/>
  <c r="AF47" i="5"/>
  <c r="AE47" i="5"/>
  <c r="AD47" i="5"/>
  <c r="AF46" i="5"/>
  <c r="AE46" i="5"/>
  <c r="AD46" i="5"/>
  <c r="AF45" i="5"/>
  <c r="AE45" i="5"/>
  <c r="AD45" i="5"/>
  <c r="AF44" i="5"/>
  <c r="AE44" i="5"/>
  <c r="AD44" i="5"/>
  <c r="AF43" i="5"/>
  <c r="AE43" i="5"/>
  <c r="AD43" i="5"/>
  <c r="AF42" i="5"/>
  <c r="AE42" i="5"/>
  <c r="AD42" i="5"/>
  <c r="AF41" i="5"/>
  <c r="AE41" i="5"/>
  <c r="AD41" i="5"/>
  <c r="AF38" i="5"/>
  <c r="AE38" i="5"/>
  <c r="AD38" i="5"/>
  <c r="F97" i="13" l="1"/>
  <c r="F197" i="13"/>
  <c r="F166" i="13"/>
  <c r="F152" i="13"/>
  <c r="F123" i="13"/>
  <c r="F110" i="13"/>
  <c r="F66" i="13"/>
  <c r="G16" i="13"/>
  <c r="H16" i="13"/>
  <c r="I16" i="13"/>
  <c r="J16" i="13"/>
  <c r="K16" i="13"/>
  <c r="L16" i="13"/>
  <c r="M16" i="13"/>
  <c r="N16" i="13"/>
  <c r="O16" i="13"/>
  <c r="P16" i="13"/>
  <c r="R16" i="13"/>
  <c r="G19" i="13"/>
  <c r="H19" i="13"/>
  <c r="I19" i="13"/>
  <c r="J19" i="13"/>
  <c r="K19" i="13"/>
  <c r="L19" i="13"/>
  <c r="M19" i="13"/>
  <c r="N19" i="13"/>
  <c r="O19" i="13"/>
  <c r="P19" i="13"/>
  <c r="R19" i="13"/>
  <c r="G26" i="13"/>
  <c r="H26" i="13"/>
  <c r="I26" i="13"/>
  <c r="J26" i="13"/>
  <c r="K26" i="13"/>
  <c r="L26" i="13"/>
  <c r="M26" i="13"/>
  <c r="N26" i="13"/>
  <c r="O26" i="13"/>
  <c r="P26" i="13"/>
  <c r="R26" i="13"/>
  <c r="G30" i="13"/>
  <c r="H30" i="13"/>
  <c r="I30" i="13"/>
  <c r="J30" i="13"/>
  <c r="K30" i="13"/>
  <c r="L30" i="13"/>
  <c r="M30" i="13"/>
  <c r="N30" i="13"/>
  <c r="O30" i="13"/>
  <c r="P30" i="13"/>
  <c r="R30" i="13"/>
  <c r="G10" i="13"/>
  <c r="H10" i="13"/>
  <c r="I10" i="13"/>
  <c r="J10" i="13"/>
  <c r="K10" i="13"/>
  <c r="L10" i="13"/>
  <c r="M10" i="13"/>
  <c r="N10" i="13"/>
  <c r="O10" i="13"/>
  <c r="P10" i="13"/>
  <c r="R10" i="13"/>
  <c r="F30" i="13"/>
  <c r="F26" i="13"/>
  <c r="F19" i="13"/>
  <c r="F16" i="13"/>
  <c r="F10" i="13"/>
  <c r="F36" i="13" s="1"/>
  <c r="N36" i="13" l="1"/>
  <c r="J36" i="13"/>
  <c r="R36" i="13"/>
  <c r="G36" i="13"/>
  <c r="M36" i="13"/>
  <c r="H36" i="13"/>
  <c r="L36" i="13"/>
  <c r="I36" i="13"/>
  <c r="P36" i="13"/>
  <c r="O36" i="13"/>
  <c r="K36" i="13"/>
  <c r="AD12" i="5"/>
  <c r="AE12" i="5"/>
  <c r="AF12" i="5"/>
  <c r="AD13" i="5"/>
  <c r="AE13" i="5"/>
  <c r="AF13" i="5"/>
  <c r="AD14" i="5"/>
  <c r="AE14" i="5"/>
  <c r="AF14" i="5"/>
  <c r="AD16" i="5"/>
  <c r="AE16" i="5"/>
  <c r="AF16" i="5"/>
  <c r="AD17" i="5"/>
  <c r="AE17" i="5"/>
  <c r="AF17" i="5"/>
  <c r="AD18" i="5"/>
  <c r="AE18" i="5"/>
  <c r="AF18" i="5"/>
  <c r="AD19" i="5"/>
  <c r="AE19" i="5"/>
  <c r="AF19" i="5"/>
  <c r="AD20" i="5"/>
  <c r="AE20" i="5"/>
  <c r="AF20" i="5"/>
  <c r="AD21" i="5"/>
  <c r="AE21" i="5"/>
  <c r="AF21" i="5"/>
  <c r="AD22" i="5"/>
  <c r="AE22" i="5"/>
  <c r="AF22" i="5"/>
  <c r="AD23" i="5"/>
  <c r="AE23" i="5"/>
  <c r="AF23" i="5"/>
  <c r="AD24" i="5"/>
  <c r="AE24" i="5"/>
  <c r="AF24" i="5"/>
  <c r="AD27" i="5"/>
  <c r="AE27" i="5"/>
  <c r="AF27" i="5"/>
  <c r="AD28" i="5"/>
  <c r="AE28" i="5"/>
  <c r="AF28" i="5"/>
  <c r="AD29" i="5"/>
  <c r="AE29" i="5"/>
  <c r="AF29" i="5"/>
  <c r="AD30" i="5"/>
  <c r="AE30" i="5"/>
  <c r="AF30" i="5"/>
  <c r="AD31" i="5"/>
  <c r="AE31" i="5"/>
  <c r="AF31" i="5"/>
  <c r="AD32" i="5"/>
  <c r="AE32" i="5"/>
  <c r="AF32" i="5"/>
  <c r="AD33" i="5"/>
  <c r="AE33" i="5"/>
  <c r="AF33" i="5"/>
  <c r="AD34" i="5"/>
  <c r="AE34" i="5"/>
  <c r="AF34" i="5"/>
  <c r="AC36" i="5"/>
  <c r="AC37" i="5"/>
  <c r="C197" i="5"/>
  <c r="D197" i="21" s="1"/>
  <c r="C165" i="5"/>
  <c r="D165" i="21" s="1"/>
  <c r="C152" i="5"/>
  <c r="C120" i="5"/>
  <c r="C115" i="5"/>
  <c r="D115" i="21" s="1"/>
  <c r="C111" i="5"/>
  <c r="C109" i="5"/>
  <c r="D109" i="21" s="1"/>
  <c r="C97" i="5"/>
  <c r="C67" i="5"/>
  <c r="C42" i="5"/>
  <c r="B218" i="13"/>
  <c r="Z218" i="13" s="1"/>
  <c r="B219" i="13"/>
  <c r="Z219" i="13" s="1"/>
  <c r="B220" i="13"/>
  <c r="Z220" i="13" s="1"/>
  <c r="B221" i="13"/>
  <c r="Z221" i="13" s="1"/>
  <c r="B222" i="13"/>
  <c r="Z222" i="13" s="1"/>
  <c r="B223" i="13"/>
  <c r="Z223" i="13" s="1"/>
  <c r="B224" i="13"/>
  <c r="Z224" i="13" s="1"/>
  <c r="B225" i="13"/>
  <c r="Z225" i="13" s="1"/>
  <c r="B226" i="13"/>
  <c r="Z226" i="13" s="1"/>
  <c r="B227" i="13"/>
  <c r="Z227" i="13" s="1"/>
  <c r="B228" i="13"/>
  <c r="Z228" i="13" s="1"/>
  <c r="B229" i="13"/>
  <c r="Z229" i="13" s="1"/>
  <c r="B230" i="13"/>
  <c r="Z230" i="13" s="1"/>
  <c r="B217" i="13"/>
  <c r="Z217" i="13" s="1"/>
  <c r="E227" i="13"/>
  <c r="E228" i="13"/>
  <c r="E229" i="13"/>
  <c r="E230" i="13"/>
  <c r="B211" i="13"/>
  <c r="C211" i="13" s="1"/>
  <c r="B208" i="13"/>
  <c r="C208" i="13" s="1"/>
  <c r="B204" i="13"/>
  <c r="C204" i="13" s="1"/>
  <c r="B200" i="13"/>
  <c r="C200" i="13" s="1"/>
  <c r="B192" i="13"/>
  <c r="C192" i="13" s="1"/>
  <c r="B189" i="13"/>
  <c r="C189" i="13" s="1"/>
  <c r="B187" i="13"/>
  <c r="C187" i="13" s="1"/>
  <c r="B183" i="13"/>
  <c r="C183" i="13" s="1"/>
  <c r="B179" i="13"/>
  <c r="C179" i="13" s="1"/>
  <c r="B175" i="13"/>
  <c r="C175" i="13" s="1"/>
  <c r="B171" i="13"/>
  <c r="C171" i="13" s="1"/>
  <c r="B169" i="13"/>
  <c r="C169" i="13" s="1"/>
  <c r="B164" i="13"/>
  <c r="C164" i="13" s="1"/>
  <c r="B162" i="13"/>
  <c r="C162" i="13" s="1"/>
  <c r="B160" i="13"/>
  <c r="C160" i="13" s="1"/>
  <c r="B155" i="13"/>
  <c r="C155" i="13" s="1"/>
  <c r="B148" i="13"/>
  <c r="C148" i="13" s="1"/>
  <c r="B144" i="13"/>
  <c r="C144" i="13" s="1"/>
  <c r="B138" i="13"/>
  <c r="C138" i="13" s="1"/>
  <c r="B134" i="13"/>
  <c r="C134" i="13" s="1"/>
  <c r="B130" i="13"/>
  <c r="C130" i="13" s="1"/>
  <c r="B126" i="13"/>
  <c r="C126" i="13" s="1"/>
  <c r="B121" i="13"/>
  <c r="C121" i="13" s="1"/>
  <c r="B117" i="13"/>
  <c r="C117" i="13" s="1"/>
  <c r="B115" i="13"/>
  <c r="C115" i="13" s="1"/>
  <c r="B113" i="13"/>
  <c r="C113" i="13" s="1"/>
  <c r="B103" i="13"/>
  <c r="C103" i="13" s="1"/>
  <c r="B100" i="13"/>
  <c r="C100" i="13" s="1"/>
  <c r="B93" i="13"/>
  <c r="C93" i="13" s="1"/>
  <c r="B90" i="13"/>
  <c r="C90" i="13" s="1"/>
  <c r="B86" i="13"/>
  <c r="C86" i="13" s="1"/>
  <c r="B83" i="13"/>
  <c r="C83" i="13" s="1"/>
  <c r="B79" i="13"/>
  <c r="C79" i="13" s="1"/>
  <c r="B75" i="13"/>
  <c r="C75" i="13" s="1"/>
  <c r="B69" i="13"/>
  <c r="C69" i="13" s="1"/>
  <c r="B63" i="13"/>
  <c r="C63" i="13" s="1"/>
  <c r="B59" i="13"/>
  <c r="C59" i="13" s="1"/>
  <c r="B56" i="13"/>
  <c r="C56" i="13" s="1"/>
  <c r="B51" i="13"/>
  <c r="C51" i="13" s="1"/>
  <c r="B46" i="13"/>
  <c r="C46" i="13" s="1"/>
  <c r="B39" i="13"/>
  <c r="C39" i="13" s="1"/>
  <c r="B30" i="13"/>
  <c r="C30" i="13" s="1"/>
  <c r="B26" i="13"/>
  <c r="C26" i="13" s="1"/>
  <c r="B19" i="13"/>
  <c r="C19" i="13" s="1"/>
  <c r="B16" i="13"/>
  <c r="C16" i="13" s="1"/>
  <c r="C17" i="13" s="1"/>
  <c r="C18" i="13" s="1"/>
  <c r="B10" i="13"/>
  <c r="B212" i="13"/>
  <c r="Z212" i="13" s="1"/>
  <c r="B213" i="13"/>
  <c r="Z213" i="13" s="1"/>
  <c r="B209" i="13"/>
  <c r="Z209" i="13" s="1"/>
  <c r="W209" i="13" s="1"/>
  <c r="B210" i="13"/>
  <c r="Z210" i="13" s="1"/>
  <c r="B205" i="13"/>
  <c r="Z205" i="13" s="1"/>
  <c r="W205" i="13" s="1"/>
  <c r="B206" i="13"/>
  <c r="Z206" i="13" s="1"/>
  <c r="W206" i="13" s="1"/>
  <c r="B201" i="13"/>
  <c r="Z201" i="13" s="1"/>
  <c r="B194" i="13"/>
  <c r="Z194" i="13" s="1"/>
  <c r="B196" i="13"/>
  <c r="Z196" i="13" s="1"/>
  <c r="B191" i="13"/>
  <c r="Z191" i="13" s="1"/>
  <c r="Z189" i="13" s="1"/>
  <c r="B188" i="13"/>
  <c r="Z188" i="13" s="1"/>
  <c r="Z187" i="13" s="1"/>
  <c r="B185" i="13"/>
  <c r="Z185" i="13" s="1"/>
  <c r="B186" i="13"/>
  <c r="Z186" i="13" s="1"/>
  <c r="B181" i="13"/>
  <c r="Z181" i="13" s="1"/>
  <c r="B182" i="13"/>
  <c r="Z182" i="13" s="1"/>
  <c r="B177" i="13"/>
  <c r="Z177" i="13" s="1"/>
  <c r="B178" i="13"/>
  <c r="Z178" i="13" s="1"/>
  <c r="B173" i="13"/>
  <c r="Z173" i="13" s="1"/>
  <c r="B174" i="13"/>
  <c r="Z174" i="13" s="1"/>
  <c r="B170" i="13"/>
  <c r="Z170" i="13" s="1"/>
  <c r="Z169" i="13" s="1"/>
  <c r="B165" i="13"/>
  <c r="Z165" i="13" s="1"/>
  <c r="Z164" i="13" s="1"/>
  <c r="B163" i="13"/>
  <c r="Z163" i="13" s="1"/>
  <c r="Z162" i="13" s="1"/>
  <c r="B161" i="13"/>
  <c r="Z161" i="13" s="1"/>
  <c r="Z160" i="13" s="1"/>
  <c r="B156" i="13"/>
  <c r="Z156" i="13" s="1"/>
  <c r="B157" i="13"/>
  <c r="Z157" i="13" s="1"/>
  <c r="B158" i="13"/>
  <c r="Z158" i="13" s="1"/>
  <c r="B149" i="13"/>
  <c r="Z149" i="13" s="1"/>
  <c r="B150" i="13"/>
  <c r="Z150" i="13" s="1"/>
  <c r="B151" i="13"/>
  <c r="Z151" i="13" s="1"/>
  <c r="B145" i="13"/>
  <c r="Z145" i="13" s="1"/>
  <c r="B146" i="13"/>
  <c r="Z146" i="13" s="1"/>
  <c r="B147" i="13"/>
  <c r="Z147" i="13" s="1"/>
  <c r="B140" i="13"/>
  <c r="Z140" i="13" s="1"/>
  <c r="B141" i="13"/>
  <c r="Z141" i="13" s="1"/>
  <c r="B142" i="13"/>
  <c r="Z142" i="13" s="1"/>
  <c r="B136" i="13"/>
  <c r="Z136" i="13" s="1"/>
  <c r="B137" i="13"/>
  <c r="Z137" i="13" s="1"/>
  <c r="B132" i="13"/>
  <c r="Z132" i="13" s="1"/>
  <c r="B133" i="13"/>
  <c r="Z133" i="13" s="1"/>
  <c r="B128" i="13"/>
  <c r="Z128" i="13" s="1"/>
  <c r="B129" i="13"/>
  <c r="Z129" i="13" s="1"/>
  <c r="B122" i="13"/>
  <c r="Z122" i="13" s="1"/>
  <c r="Z121" i="13" s="1"/>
  <c r="B118" i="13"/>
  <c r="Z118" i="13" s="1"/>
  <c r="B119" i="13"/>
  <c r="Z119" i="13" s="1"/>
  <c r="B120" i="13"/>
  <c r="Z120" i="13" s="1"/>
  <c r="B116" i="13"/>
  <c r="Z116" i="13" s="1"/>
  <c r="Z115" i="13" s="1"/>
  <c r="B114" i="13"/>
  <c r="Z114" i="13" s="1"/>
  <c r="Z113" i="13" s="1"/>
  <c r="B105" i="13"/>
  <c r="Z105" i="13" s="1"/>
  <c r="B101" i="13"/>
  <c r="Z101" i="13" s="1"/>
  <c r="B102" i="13"/>
  <c r="Z102" i="13" s="1"/>
  <c r="B94" i="13"/>
  <c r="Z94" i="13" s="1"/>
  <c r="Z93" i="13" s="1"/>
  <c r="B91" i="13"/>
  <c r="Z91" i="13" s="1"/>
  <c r="B92" i="13"/>
  <c r="Z92" i="13" s="1"/>
  <c r="B87" i="13"/>
  <c r="Z87" i="13" s="1"/>
  <c r="B89" i="13"/>
  <c r="Z89" i="13" s="1"/>
  <c r="B84" i="13"/>
  <c r="Z84" i="13" s="1"/>
  <c r="B85" i="13"/>
  <c r="Z85" i="13" s="1"/>
  <c r="B80" i="13"/>
  <c r="Z80" i="13" s="1"/>
  <c r="W80" i="13" s="1"/>
  <c r="W81" i="13" s="1"/>
  <c r="B81" i="13"/>
  <c r="Z81" i="13" s="1"/>
  <c r="B76" i="13"/>
  <c r="Z76" i="13" s="1"/>
  <c r="B77" i="13"/>
  <c r="Z77" i="13" s="1"/>
  <c r="B78" i="13"/>
  <c r="Z78" i="13" s="1"/>
  <c r="B70" i="13"/>
  <c r="Z70" i="13" s="1"/>
  <c r="B71" i="13"/>
  <c r="Z71" i="13" s="1"/>
  <c r="B72" i="13"/>
  <c r="Z72" i="13" s="1"/>
  <c r="B73" i="13"/>
  <c r="Z73" i="13" s="1"/>
  <c r="B74" i="13"/>
  <c r="Z74" i="13" s="1"/>
  <c r="B64" i="13"/>
  <c r="Z64" i="13" s="1"/>
  <c r="Z63" i="13" s="1"/>
  <c r="B60" i="13"/>
  <c r="Z60" i="13" s="1"/>
  <c r="B61" i="13"/>
  <c r="Z61" i="13" s="1"/>
  <c r="B58" i="13"/>
  <c r="Z58" i="13" s="1"/>
  <c r="Z56" i="13" s="1"/>
  <c r="B52" i="13"/>
  <c r="Z52" i="13" s="1"/>
  <c r="B53" i="13"/>
  <c r="Z53" i="13" s="1"/>
  <c r="B54" i="13"/>
  <c r="Z54" i="13" s="1"/>
  <c r="B48" i="13"/>
  <c r="Z48" i="13" s="1"/>
  <c r="B49" i="13"/>
  <c r="Z49" i="13" s="1"/>
  <c r="B50" i="13"/>
  <c r="Z50" i="13" s="1"/>
  <c r="B41" i="13"/>
  <c r="Z41" i="13" s="1"/>
  <c r="B42" i="13"/>
  <c r="Z42" i="13" s="1"/>
  <c r="B43" i="13"/>
  <c r="Z43" i="13" s="1"/>
  <c r="B44" i="13"/>
  <c r="Z44" i="13" s="1"/>
  <c r="B45" i="13"/>
  <c r="Z45" i="13" s="1"/>
  <c r="B31" i="13"/>
  <c r="Z31" i="13" s="1"/>
  <c r="B32" i="13"/>
  <c r="Z32" i="13" s="1"/>
  <c r="B33" i="13"/>
  <c r="Z33" i="13" s="1"/>
  <c r="B27" i="13"/>
  <c r="Z27" i="13" s="1"/>
  <c r="B28" i="13"/>
  <c r="Z28" i="13" s="1"/>
  <c r="B29" i="13"/>
  <c r="Z29" i="13" s="1"/>
  <c r="B20" i="13"/>
  <c r="Z20" i="13" s="1"/>
  <c r="B21" i="13"/>
  <c r="Z21" i="13" s="1"/>
  <c r="B22" i="13"/>
  <c r="Z22" i="13" s="1"/>
  <c r="B25" i="13"/>
  <c r="Z25" i="13" s="1"/>
  <c r="B17" i="13"/>
  <c r="Z17" i="13" s="1"/>
  <c r="B18" i="13"/>
  <c r="Z18" i="13" s="1"/>
  <c r="B11" i="13"/>
  <c r="B12" i="13"/>
  <c r="Z12" i="13" s="1"/>
  <c r="B13" i="13"/>
  <c r="B14" i="13"/>
  <c r="Z14" i="13" s="1"/>
  <c r="B15" i="13"/>
  <c r="Z15" i="13" s="1"/>
  <c r="E72" i="5" l="1"/>
  <c r="E72" i="21" s="1"/>
  <c r="E70" i="5"/>
  <c r="E172" i="5"/>
  <c r="H176" i="5"/>
  <c r="T55" i="11"/>
  <c r="T67" i="11"/>
  <c r="T79" i="11"/>
  <c r="J72" i="11"/>
  <c r="W107" i="5"/>
  <c r="H151" i="5"/>
  <c r="J69" i="11"/>
  <c r="I107" i="5"/>
  <c r="T73" i="11"/>
  <c r="W151" i="5"/>
  <c r="T64" i="11"/>
  <c r="T56" i="11"/>
  <c r="T68" i="11"/>
  <c r="T80" i="11"/>
  <c r="J71" i="11"/>
  <c r="V107" i="5"/>
  <c r="E151" i="5"/>
  <c r="O107" i="5"/>
  <c r="T72" i="11"/>
  <c r="J62" i="11"/>
  <c r="J55" i="11"/>
  <c r="J79" i="11"/>
  <c r="J76" i="11"/>
  <c r="E123" i="5"/>
  <c r="T57" i="11"/>
  <c r="T69" i="11"/>
  <c r="T81" i="11"/>
  <c r="P107" i="5"/>
  <c r="T54" i="11"/>
  <c r="T74" i="11"/>
  <c r="V151" i="5"/>
  <c r="T77" i="11"/>
  <c r="I151" i="5"/>
  <c r="T58" i="11"/>
  <c r="T70" i="11"/>
  <c r="T82" i="11"/>
  <c r="H107" i="5"/>
  <c r="J81" i="11"/>
  <c r="T76" i="11"/>
  <c r="O151" i="5"/>
  <c r="T59" i="11"/>
  <c r="T71" i="11"/>
  <c r="T83" i="11"/>
  <c r="J63" i="11"/>
  <c r="E107" i="5"/>
  <c r="T63" i="11"/>
  <c r="J56" i="11"/>
  <c r="T78" i="11"/>
  <c r="T60" i="11"/>
  <c r="T65" i="11"/>
  <c r="T61" i="11"/>
  <c r="J54" i="11"/>
  <c r="T75" i="11"/>
  <c r="P151" i="5"/>
  <c r="J75" i="11"/>
  <c r="T62" i="11"/>
  <c r="J80" i="11"/>
  <c r="T66" i="11"/>
  <c r="V40" i="5"/>
  <c r="V40" i="21" s="1"/>
  <c r="H40" i="5"/>
  <c r="H40" i="21" s="1"/>
  <c r="E40" i="5"/>
  <c r="E40" i="21" s="1"/>
  <c r="O40" i="5"/>
  <c r="O40" i="21" s="1"/>
  <c r="E13" i="5"/>
  <c r="E13" i="21" s="1"/>
  <c r="B79" i="11"/>
  <c r="B76" i="11"/>
  <c r="B62" i="11"/>
  <c r="C10" i="13"/>
  <c r="C11" i="13" s="1"/>
  <c r="C12" i="13" s="1"/>
  <c r="C13" i="13" s="1"/>
  <c r="C14" i="13" s="1"/>
  <c r="C15" i="13" s="1"/>
  <c r="B66" i="11"/>
  <c r="B69" i="11"/>
  <c r="B75" i="11"/>
  <c r="C20" i="13"/>
  <c r="C21" i="13" s="1"/>
  <c r="C22" i="13" s="1"/>
  <c r="C23" i="13" s="1"/>
  <c r="C24" i="13" s="1"/>
  <c r="C25" i="13" s="1"/>
  <c r="C27" i="13" s="1"/>
  <c r="C28" i="13" s="1"/>
  <c r="C29" i="13" s="1"/>
  <c r="C31" i="13" s="1"/>
  <c r="C32" i="13" s="1"/>
  <c r="C33" i="13" s="1"/>
  <c r="C40" i="13" s="1"/>
  <c r="C41" i="13" s="1"/>
  <c r="C42" i="13" s="1"/>
  <c r="C43" i="13" s="1"/>
  <c r="C44" i="13" s="1"/>
  <c r="C45" i="13" s="1"/>
  <c r="C47" i="13" s="1"/>
  <c r="C48" i="13" s="1"/>
  <c r="C49" i="13" s="1"/>
  <c r="C50" i="13" s="1"/>
  <c r="C52" i="13" s="1"/>
  <c r="C53" i="13" s="1"/>
  <c r="C54" i="13" s="1"/>
  <c r="C57" i="13" s="1"/>
  <c r="C58" i="13" s="1"/>
  <c r="C60" i="13" s="1"/>
  <c r="C61" i="13" s="1"/>
  <c r="C64" i="13" s="1"/>
  <c r="C70" i="13" s="1"/>
  <c r="C71" i="13" s="1"/>
  <c r="C72" i="13" s="1"/>
  <c r="C73" i="13" s="1"/>
  <c r="C74" i="13" s="1"/>
  <c r="C76" i="13" s="1"/>
  <c r="C77" i="13" s="1"/>
  <c r="C78" i="13" s="1"/>
  <c r="C80" i="13" s="1"/>
  <c r="C81" i="13" s="1"/>
  <c r="C84" i="13" s="1"/>
  <c r="C85" i="13" s="1"/>
  <c r="C87" i="13" s="1"/>
  <c r="C88" i="13" s="1"/>
  <c r="C89" i="13" s="1"/>
  <c r="C91" i="13" s="1"/>
  <c r="C92" i="13" s="1"/>
  <c r="C94" i="13" s="1"/>
  <c r="C101" i="13" s="1"/>
  <c r="C102" i="13" s="1"/>
  <c r="C104" i="13" s="1"/>
  <c r="C105" i="13" s="1"/>
  <c r="C114" i="13" s="1"/>
  <c r="C116" i="13" s="1"/>
  <c r="C118" i="13" s="1"/>
  <c r="C119" i="13" s="1"/>
  <c r="C120" i="13" s="1"/>
  <c r="C122" i="13" s="1"/>
  <c r="C127" i="13" s="1"/>
  <c r="C128" i="13" s="1"/>
  <c r="C129" i="13" s="1"/>
  <c r="C131" i="13" s="1"/>
  <c r="C132" i="13" s="1"/>
  <c r="C133" i="13" s="1"/>
  <c r="C135" i="13" s="1"/>
  <c r="C136" i="13" s="1"/>
  <c r="C137" i="13" s="1"/>
  <c r="C139" i="13" s="1"/>
  <c r="C140" i="13" s="1"/>
  <c r="C141" i="13" s="1"/>
  <c r="C142" i="13" s="1"/>
  <c r="C143" i="13" s="1"/>
  <c r="C145" i="13" s="1"/>
  <c r="C146" i="13" s="1"/>
  <c r="C147" i="13" s="1"/>
  <c r="C149" i="13" s="1"/>
  <c r="C150" i="13" s="1"/>
  <c r="C151" i="13" s="1"/>
  <c r="C156" i="13" s="1"/>
  <c r="C157" i="13" s="1"/>
  <c r="C158" i="13" s="1"/>
  <c r="C161" i="13" s="1"/>
  <c r="C163" i="13" s="1"/>
  <c r="C165" i="13" s="1"/>
  <c r="C170" i="13" s="1"/>
  <c r="C172" i="13" s="1"/>
  <c r="C173" i="13" s="1"/>
  <c r="C174" i="13" s="1"/>
  <c r="C176" i="13" s="1"/>
  <c r="C177" i="13" s="1"/>
  <c r="C178" i="13" s="1"/>
  <c r="C180" i="13" s="1"/>
  <c r="C181" i="13" s="1"/>
  <c r="C182" i="13" s="1"/>
  <c r="C184" i="13" s="1"/>
  <c r="C185" i="13" s="1"/>
  <c r="C186" i="13" s="1"/>
  <c r="C188" i="13" s="1"/>
  <c r="C190" i="13" s="1"/>
  <c r="C191" i="13" s="1"/>
  <c r="C193" i="13" s="1"/>
  <c r="C194" i="13" s="1"/>
  <c r="C195" i="13" s="1"/>
  <c r="C196" i="13" s="1"/>
  <c r="C201" i="13" s="1"/>
  <c r="C202" i="13" s="1"/>
  <c r="C203" i="13" s="1"/>
  <c r="C205" i="13" s="1"/>
  <c r="C206" i="13" s="1"/>
  <c r="C209" i="13" s="1"/>
  <c r="C210" i="13" s="1"/>
  <c r="C212" i="13" s="1"/>
  <c r="C213" i="13" s="1"/>
  <c r="C43" i="5"/>
  <c r="D42" i="21"/>
  <c r="C68" i="5"/>
  <c r="D68" i="21" s="1"/>
  <c r="D67" i="21"/>
  <c r="C98" i="5"/>
  <c r="D97" i="21"/>
  <c r="C112" i="5"/>
  <c r="D111" i="21"/>
  <c r="C121" i="5"/>
  <c r="D120" i="21"/>
  <c r="C153" i="5"/>
  <c r="D153" i="21" s="1"/>
  <c r="D152" i="21"/>
  <c r="V138" i="5"/>
  <c r="O138" i="5"/>
  <c r="H138" i="5"/>
  <c r="E138" i="5"/>
  <c r="V70" i="5"/>
  <c r="E106" i="5"/>
  <c r="W70" i="5"/>
  <c r="E150" i="5"/>
  <c r="P70" i="5"/>
  <c r="H70" i="5"/>
  <c r="I70" i="5"/>
  <c r="O70" i="5"/>
  <c r="E26" i="5"/>
  <c r="E26" i="21" s="1"/>
  <c r="C168" i="5"/>
  <c r="C166" i="5"/>
  <c r="D166" i="21" s="1"/>
  <c r="Z19" i="13"/>
  <c r="O166" i="5"/>
  <c r="H166" i="5"/>
  <c r="E166" i="5"/>
  <c r="V166" i="5"/>
  <c r="C156" i="5"/>
  <c r="V154" i="5"/>
  <c r="O154" i="5"/>
  <c r="E154" i="5"/>
  <c r="H154" i="5"/>
  <c r="W191" i="5"/>
  <c r="P191" i="5"/>
  <c r="I191" i="5"/>
  <c r="E191" i="5"/>
  <c r="E39" i="5"/>
  <c r="V39" i="5"/>
  <c r="V39" i="21" s="1"/>
  <c r="H39" i="5"/>
  <c r="H39" i="21" s="1"/>
  <c r="O39" i="5"/>
  <c r="O39" i="21" s="1"/>
  <c r="E164" i="5"/>
  <c r="E14" i="5"/>
  <c r="E14" i="21" s="1"/>
  <c r="P174" i="5"/>
  <c r="P173" i="5"/>
  <c r="P173" i="21" s="1"/>
  <c r="W174" i="5"/>
  <c r="W173" i="5"/>
  <c r="W173" i="21" s="1"/>
  <c r="P86" i="5"/>
  <c r="W86" i="5"/>
  <c r="P136" i="5"/>
  <c r="W136" i="5"/>
  <c r="W192" i="5"/>
  <c r="W113" i="5"/>
  <c r="P143" i="5"/>
  <c r="W42" i="5"/>
  <c r="P197" i="5"/>
  <c r="W57" i="5"/>
  <c r="P29" i="5"/>
  <c r="P29" i="21" s="1"/>
  <c r="P181" i="5"/>
  <c r="P43" i="5"/>
  <c r="W82" i="5"/>
  <c r="P59" i="5"/>
  <c r="P109" i="5"/>
  <c r="W130" i="5"/>
  <c r="P200" i="5"/>
  <c r="W90" i="5"/>
  <c r="W15" i="5"/>
  <c r="W15" i="21" s="1"/>
  <c r="W122" i="5"/>
  <c r="P208" i="5"/>
  <c r="W59" i="5"/>
  <c r="W197" i="5"/>
  <c r="P202" i="5"/>
  <c r="W52" i="5"/>
  <c r="P75" i="5"/>
  <c r="P206" i="5"/>
  <c r="P80" i="5"/>
  <c r="W76" i="5"/>
  <c r="P34" i="5"/>
  <c r="P34" i="21" s="1"/>
  <c r="P140" i="5"/>
  <c r="W32" i="5"/>
  <c r="W32" i="21" s="1"/>
  <c r="W29" i="5"/>
  <c r="W29" i="21" s="1"/>
  <c r="W134" i="5"/>
  <c r="W143" i="5"/>
  <c r="W53" i="5"/>
  <c r="W202" i="5"/>
  <c r="P209" i="5"/>
  <c r="W73" i="5"/>
  <c r="P27" i="5"/>
  <c r="P27" i="21" s="1"/>
  <c r="P190" i="5"/>
  <c r="P18" i="5"/>
  <c r="P18" i="21" s="1"/>
  <c r="W97" i="5"/>
  <c r="P32" i="5"/>
  <c r="P32" i="21" s="1"/>
  <c r="P130" i="5"/>
  <c r="P62" i="5"/>
  <c r="P87" i="5"/>
  <c r="W19" i="5"/>
  <c r="W19" i="21" s="1"/>
  <c r="W129" i="5"/>
  <c r="W208" i="5"/>
  <c r="W67" i="5"/>
  <c r="P48" i="5"/>
  <c r="W92" i="5"/>
  <c r="P67" i="5"/>
  <c r="P19" i="5"/>
  <c r="P19" i="21" s="1"/>
  <c r="P85" i="5"/>
  <c r="W109" i="5"/>
  <c r="P21" i="5"/>
  <c r="P21" i="21" s="1"/>
  <c r="P125" i="5"/>
  <c r="P52" i="5"/>
  <c r="W43" i="5"/>
  <c r="W178" i="5"/>
  <c r="W85" i="5"/>
  <c r="P14" i="5"/>
  <c r="P14" i="21" s="1"/>
  <c r="W209" i="5"/>
  <c r="W83" i="5"/>
  <c r="P41" i="5"/>
  <c r="P113" i="5"/>
  <c r="P45" i="5"/>
  <c r="W140" i="5"/>
  <c r="P44" i="5"/>
  <c r="P44" i="21" s="1"/>
  <c r="P187" i="5"/>
  <c r="P42" i="5"/>
  <c r="W60" i="5"/>
  <c r="W170" i="5"/>
  <c r="P68" i="5"/>
  <c r="W79" i="5"/>
  <c r="P101" i="5"/>
  <c r="P54" i="5"/>
  <c r="W77" i="5"/>
  <c r="W54" i="5"/>
  <c r="W199" i="5"/>
  <c r="P134" i="5"/>
  <c r="W101" i="5"/>
  <c r="P112" i="5"/>
  <c r="P129" i="5"/>
  <c r="W111" i="5"/>
  <c r="P92" i="5"/>
  <c r="P79" i="5"/>
  <c r="W21" i="5"/>
  <c r="W21" i="21" s="1"/>
  <c r="W125" i="5"/>
  <c r="P50" i="5"/>
  <c r="P205" i="5"/>
  <c r="P97" i="5"/>
  <c r="W48" i="5"/>
  <c r="W203" i="5"/>
  <c r="P178" i="5"/>
  <c r="W112" i="5"/>
  <c r="P133" i="5"/>
  <c r="P53" i="5"/>
  <c r="W141" i="5"/>
  <c r="P83" i="5"/>
  <c r="P22" i="5"/>
  <c r="P22" i="21" s="1"/>
  <c r="W44" i="5"/>
  <c r="W187" i="5"/>
  <c r="P192" i="5"/>
  <c r="W68" i="5"/>
  <c r="P60" i="5"/>
  <c r="P199" i="5"/>
  <c r="W133" i="5"/>
  <c r="P157" i="5"/>
  <c r="W34" i="5"/>
  <c r="W34" i="21" s="1"/>
  <c r="W126" i="5"/>
  <c r="P111" i="5"/>
  <c r="P57" i="5"/>
  <c r="W62" i="5"/>
  <c r="W200" i="5"/>
  <c r="P90" i="5"/>
  <c r="W87" i="5"/>
  <c r="P122" i="5"/>
  <c r="W14" i="5"/>
  <c r="W14" i="21" s="1"/>
  <c r="W157" i="5"/>
  <c r="P182" i="5"/>
  <c r="W22" i="5"/>
  <c r="W22" i="21" s="1"/>
  <c r="W165" i="5"/>
  <c r="P141" i="5"/>
  <c r="P73" i="5"/>
  <c r="W50" i="5"/>
  <c r="W205" i="5"/>
  <c r="P82" i="5"/>
  <c r="W80" i="5"/>
  <c r="P170" i="5"/>
  <c r="W27" i="5"/>
  <c r="W27" i="21" s="1"/>
  <c r="W182" i="5"/>
  <c r="W45" i="5"/>
  <c r="W181" i="5"/>
  <c r="P126" i="5"/>
  <c r="P77" i="5"/>
  <c r="P15" i="5"/>
  <c r="P15" i="21" s="1"/>
  <c r="P76" i="5"/>
  <c r="W75" i="5"/>
  <c r="P203" i="5"/>
  <c r="W18" i="5"/>
  <c r="W18" i="21" s="1"/>
  <c r="W41" i="5"/>
  <c r="W206" i="5"/>
  <c r="P165" i="5"/>
  <c r="W190" i="5"/>
  <c r="W212" i="13"/>
  <c r="W201" i="13"/>
  <c r="E11" i="5"/>
  <c r="V100" i="5"/>
  <c r="O100" i="5"/>
  <c r="H100" i="5"/>
  <c r="E86" i="5"/>
  <c r="I86" i="5"/>
  <c r="E25" i="5"/>
  <c r="E25" i="21" s="1"/>
  <c r="E199" i="5"/>
  <c r="O198" i="5"/>
  <c r="H198" i="5"/>
  <c r="I199" i="5"/>
  <c r="C140" i="5"/>
  <c r="Z83" i="13"/>
  <c r="Z86" i="13"/>
  <c r="Z192" i="13"/>
  <c r="Z144" i="13"/>
  <c r="Z171" i="13"/>
  <c r="Z148" i="13"/>
  <c r="Z175" i="13"/>
  <c r="Z179" i="13"/>
  <c r="Z155" i="13"/>
  <c r="Z183" i="13"/>
  <c r="E136" i="5"/>
  <c r="I136" i="5"/>
  <c r="Z138" i="13"/>
  <c r="Z51" i="13"/>
  <c r="Z75" i="13"/>
  <c r="Z100" i="13"/>
  <c r="Z26" i="13"/>
  <c r="Z117" i="13"/>
  <c r="E198" i="5"/>
  <c r="Z11" i="13"/>
  <c r="E200" i="5"/>
  <c r="I200" i="5"/>
  <c r="Z39" i="13"/>
  <c r="Z46" i="13"/>
  <c r="Z69" i="13"/>
  <c r="Z126" i="13"/>
  <c r="E225" i="5"/>
  <c r="Z13" i="13"/>
  <c r="Z130" i="13"/>
  <c r="Z30" i="13"/>
  <c r="Z103" i="13"/>
  <c r="Z134" i="13"/>
  <c r="Z79" i="13"/>
  <c r="Z16" i="13"/>
  <c r="Z59" i="13"/>
  <c r="C202" i="5"/>
  <c r="C198" i="5"/>
  <c r="D198" i="21" s="1"/>
  <c r="I18" i="5"/>
  <c r="I18" i="21" s="1"/>
  <c r="E17" i="5"/>
  <c r="E17" i="21" s="1"/>
  <c r="E30" i="5"/>
  <c r="E30" i="21" s="1"/>
  <c r="E16" i="5"/>
  <c r="E16" i="21" s="1"/>
  <c r="E226" i="5"/>
  <c r="I21" i="5"/>
  <c r="I21" i="21" s="1"/>
  <c r="E29" i="5"/>
  <c r="E29" i="21" s="1"/>
  <c r="I19" i="5"/>
  <c r="I19" i="21" s="1"/>
  <c r="I22" i="5"/>
  <c r="I22" i="21" s="1"/>
  <c r="E28" i="5"/>
  <c r="E28" i="21" s="1"/>
  <c r="H189" i="5"/>
  <c r="H186" i="5"/>
  <c r="H180" i="5"/>
  <c r="H132" i="5"/>
  <c r="H124" i="5"/>
  <c r="H47" i="5"/>
  <c r="E188" i="5"/>
  <c r="E91" i="5"/>
  <c r="E110" i="5"/>
  <c r="I182" i="5"/>
  <c r="I129" i="5"/>
  <c r="I92" i="5"/>
  <c r="I60" i="5"/>
  <c r="E185" i="5"/>
  <c r="E157" i="5"/>
  <c r="E88" i="5"/>
  <c r="E149" i="5"/>
  <c r="V47" i="5"/>
  <c r="E51" i="5"/>
  <c r="I202" i="5"/>
  <c r="I134" i="5"/>
  <c r="I109" i="5"/>
  <c r="I42" i="5"/>
  <c r="E208" i="5"/>
  <c r="E205" i="5"/>
  <c r="E202" i="5"/>
  <c r="E192" i="5"/>
  <c r="E189" i="5"/>
  <c r="E186" i="5"/>
  <c r="E182" i="5"/>
  <c r="E180" i="5"/>
  <c r="E177" i="5"/>
  <c r="E174" i="5"/>
  <c r="E169" i="5"/>
  <c r="E165" i="5"/>
  <c r="E158" i="5"/>
  <c r="E153" i="5"/>
  <c r="E144" i="5"/>
  <c r="E141" i="5"/>
  <c r="E139" i="5"/>
  <c r="E134" i="5"/>
  <c r="E132" i="5"/>
  <c r="E129" i="5"/>
  <c r="E126" i="5"/>
  <c r="E124" i="5"/>
  <c r="E121" i="5"/>
  <c r="E115" i="5"/>
  <c r="E112" i="5"/>
  <c r="E109" i="5"/>
  <c r="E101" i="5"/>
  <c r="E98" i="5"/>
  <c r="E92" i="5"/>
  <c r="E89" i="5"/>
  <c r="E85" i="5"/>
  <c r="E82" i="5"/>
  <c r="E79" i="5"/>
  <c r="E76" i="5"/>
  <c r="E73" i="5"/>
  <c r="E69" i="5"/>
  <c r="E67" i="5"/>
  <c r="E60" i="5"/>
  <c r="E57" i="5"/>
  <c r="E54" i="5"/>
  <c r="E52" i="5"/>
  <c r="E49" i="5"/>
  <c r="E47" i="5"/>
  <c r="E44" i="5"/>
  <c r="E42" i="5"/>
  <c r="E183" i="5"/>
  <c r="E155" i="5"/>
  <c r="E84" i="5"/>
  <c r="E119" i="5"/>
  <c r="I112" i="5"/>
  <c r="I73" i="5"/>
  <c r="V176" i="5"/>
  <c r="V168" i="5"/>
  <c r="V128" i="5"/>
  <c r="V120" i="5"/>
  <c r="V56" i="5"/>
  <c r="E179" i="5"/>
  <c r="E142" i="5"/>
  <c r="E81" i="5"/>
  <c r="E105" i="5"/>
  <c r="E105" i="21" s="1"/>
  <c r="E108" i="5"/>
  <c r="I192" i="5"/>
  <c r="I126" i="5"/>
  <c r="I57" i="5"/>
  <c r="E99" i="5"/>
  <c r="O176" i="5"/>
  <c r="O168" i="5"/>
  <c r="O128" i="5"/>
  <c r="O120" i="5"/>
  <c r="O56" i="5"/>
  <c r="E175" i="5"/>
  <c r="E137" i="5"/>
  <c r="E78" i="5"/>
  <c r="E96" i="5"/>
  <c r="E96" i="21" s="1"/>
  <c r="V124" i="5"/>
  <c r="I82" i="5"/>
  <c r="I54" i="5"/>
  <c r="I209" i="5"/>
  <c r="I206" i="5"/>
  <c r="I203" i="5"/>
  <c r="I197" i="5"/>
  <c r="I190" i="5"/>
  <c r="I187" i="5"/>
  <c r="I181" i="5"/>
  <c r="I178" i="5"/>
  <c r="I170" i="5"/>
  <c r="I143" i="5"/>
  <c r="I140" i="5"/>
  <c r="I133" i="5"/>
  <c r="I130" i="5"/>
  <c r="I125" i="5"/>
  <c r="I122" i="5"/>
  <c r="I113" i="5"/>
  <c r="I111" i="5"/>
  <c r="I97" i="5"/>
  <c r="I90" i="5"/>
  <c r="I87" i="5"/>
  <c r="I83" i="5"/>
  <c r="I80" i="5"/>
  <c r="I77" i="5"/>
  <c r="I75" i="5"/>
  <c r="I68" i="5"/>
  <c r="I62" i="5"/>
  <c r="I59" i="5"/>
  <c r="I53" i="5"/>
  <c r="I50" i="5"/>
  <c r="I48" i="5"/>
  <c r="I45" i="5"/>
  <c r="I43" i="5"/>
  <c r="I41" i="5"/>
  <c r="E171" i="5"/>
  <c r="E131" i="5"/>
  <c r="E74" i="5"/>
  <c r="E66" i="5"/>
  <c r="E66" i="21" s="1"/>
  <c r="E46" i="5"/>
  <c r="I165" i="5"/>
  <c r="I67" i="5"/>
  <c r="E201" i="5"/>
  <c r="H168" i="5"/>
  <c r="H128" i="5"/>
  <c r="H120" i="5"/>
  <c r="H56" i="5"/>
  <c r="E167" i="5"/>
  <c r="E127" i="5"/>
  <c r="E61" i="5"/>
  <c r="E61" i="21" s="1"/>
  <c r="E38" i="5"/>
  <c r="E38" i="21" s="1"/>
  <c r="I101" i="5"/>
  <c r="E159" i="5"/>
  <c r="E159" i="21" s="1"/>
  <c r="E58" i="5"/>
  <c r="E58" i="21" s="1"/>
  <c r="E207" i="5"/>
  <c r="I208" i="5"/>
  <c r="I76" i="5"/>
  <c r="I44" i="5"/>
  <c r="E209" i="5"/>
  <c r="E206" i="5"/>
  <c r="E206" i="21" s="1"/>
  <c r="E203" i="5"/>
  <c r="E197" i="5"/>
  <c r="E190" i="5"/>
  <c r="E187" i="5"/>
  <c r="E184" i="5"/>
  <c r="E181" i="5"/>
  <c r="E178" i="5"/>
  <c r="E176" i="5"/>
  <c r="E173" i="5"/>
  <c r="E173" i="21" s="1"/>
  <c r="E170" i="5"/>
  <c r="E168" i="5"/>
  <c r="E160" i="5"/>
  <c r="E156" i="5"/>
  <c r="E152" i="5"/>
  <c r="E145" i="5"/>
  <c r="E143" i="5"/>
  <c r="E140" i="5"/>
  <c r="E135" i="5"/>
  <c r="E133" i="5"/>
  <c r="E130" i="5"/>
  <c r="E128" i="5"/>
  <c r="E125" i="5"/>
  <c r="E122" i="5"/>
  <c r="E120" i="5"/>
  <c r="E113" i="5"/>
  <c r="E111" i="5"/>
  <c r="E100" i="5"/>
  <c r="E97" i="5"/>
  <c r="E90" i="5"/>
  <c r="E87" i="5"/>
  <c r="E83" i="5"/>
  <c r="E80" i="5"/>
  <c r="E77" i="5"/>
  <c r="E75" i="5"/>
  <c r="E71" i="5"/>
  <c r="E71" i="21" s="1"/>
  <c r="E68" i="5"/>
  <c r="E68" i="21" s="1"/>
  <c r="E62" i="5"/>
  <c r="E59" i="5"/>
  <c r="E56" i="5"/>
  <c r="E53" i="5"/>
  <c r="E50" i="5"/>
  <c r="E48" i="5"/>
  <c r="E45" i="5"/>
  <c r="E43" i="5"/>
  <c r="E41" i="5"/>
  <c r="E41" i="21" s="1"/>
  <c r="E114" i="5"/>
  <c r="E55" i="5"/>
  <c r="E55" i="21" s="1"/>
  <c r="V132" i="5"/>
  <c r="I85" i="5"/>
  <c r="E196" i="5"/>
  <c r="V189" i="5"/>
  <c r="V186" i="5"/>
  <c r="V180" i="5"/>
  <c r="O189" i="5"/>
  <c r="O186" i="5"/>
  <c r="O180" i="5"/>
  <c r="O132" i="5"/>
  <c r="O124" i="5"/>
  <c r="O47" i="5"/>
  <c r="E204" i="5"/>
  <c r="I157" i="5"/>
  <c r="I205" i="5"/>
  <c r="I141" i="5"/>
  <c r="I79" i="5"/>
  <c r="I52" i="5"/>
  <c r="E27" i="5"/>
  <c r="E27" i="21" s="1"/>
  <c r="I34" i="5"/>
  <c r="I34" i="21" s="1"/>
  <c r="E224" i="5"/>
  <c r="E15" i="5"/>
  <c r="E15" i="21" s="1"/>
  <c r="E24" i="5"/>
  <c r="E24" i="21" s="1"/>
  <c r="I15" i="5"/>
  <c r="I15" i="21" s="1"/>
  <c r="E23" i="5"/>
  <c r="E23" i="21" s="1"/>
  <c r="I32" i="5"/>
  <c r="I32" i="21" s="1"/>
  <c r="I14" i="5"/>
  <c r="I14" i="21" s="1"/>
  <c r="E32" i="5"/>
  <c r="E32" i="21" s="1"/>
  <c r="E22" i="5"/>
  <c r="E22" i="21" s="1"/>
  <c r="E18" i="5"/>
  <c r="E18" i="21" s="1"/>
  <c r="E12" i="5"/>
  <c r="E12" i="21" s="1"/>
  <c r="E21" i="5"/>
  <c r="E21" i="21" s="1"/>
  <c r="I29" i="5"/>
  <c r="I29" i="21" s="1"/>
  <c r="E31" i="5"/>
  <c r="E31" i="21" s="1"/>
  <c r="E34" i="5"/>
  <c r="E34" i="21" s="1"/>
  <c r="E20" i="5"/>
  <c r="E20" i="21" s="1"/>
  <c r="E33" i="5"/>
  <c r="E33" i="21" s="1"/>
  <c r="E19" i="5"/>
  <c r="E19" i="21" s="1"/>
  <c r="E223" i="5"/>
  <c r="AD248" i="5"/>
  <c r="AE248" i="5"/>
  <c r="AF248" i="5"/>
  <c r="E248" i="5"/>
  <c r="E252" i="5"/>
  <c r="B81" i="11" l="1"/>
  <c r="E119" i="21"/>
  <c r="C69" i="5"/>
  <c r="B71" i="11"/>
  <c r="B72" i="11"/>
  <c r="B80" i="11"/>
  <c r="B59" i="11"/>
  <c r="B70" i="11"/>
  <c r="B55" i="11"/>
  <c r="C70" i="5"/>
  <c r="D70" i="21" s="1"/>
  <c r="I192" i="21"/>
  <c r="E164" i="21"/>
  <c r="E138" i="21"/>
  <c r="E11" i="21"/>
  <c r="P192" i="21"/>
  <c r="P60" i="21"/>
  <c r="E43" i="21"/>
  <c r="E158" i="21"/>
  <c r="E186" i="21"/>
  <c r="E97" i="21"/>
  <c r="W43" i="21"/>
  <c r="E39" i="21"/>
  <c r="E156" i="21"/>
  <c r="W209" i="21"/>
  <c r="E155" i="21"/>
  <c r="W45" i="21"/>
  <c r="E53" i="21"/>
  <c r="E187" i="21"/>
  <c r="E45" i="21"/>
  <c r="P68" i="21"/>
  <c r="W192" i="21"/>
  <c r="E87" i="21"/>
  <c r="W60" i="21"/>
  <c r="E50" i="21"/>
  <c r="E90" i="21"/>
  <c r="E59" i="21"/>
  <c r="I44" i="21"/>
  <c r="E207" i="21"/>
  <c r="I45" i="21"/>
  <c r="P209" i="21"/>
  <c r="E56" i="21"/>
  <c r="E190" i="21"/>
  <c r="E46" i="21"/>
  <c r="W53" i="21"/>
  <c r="I209" i="21"/>
  <c r="P54" i="21"/>
  <c r="I43" i="21"/>
  <c r="P42" i="21"/>
  <c r="W68" i="21"/>
  <c r="E60" i="21"/>
  <c r="E185" i="21"/>
  <c r="W42" i="21"/>
  <c r="I206" i="21"/>
  <c r="E224" i="21"/>
  <c r="E67" i="21"/>
  <c r="E153" i="21"/>
  <c r="I60" i="21"/>
  <c r="E69" i="21"/>
  <c r="E115" i="21"/>
  <c r="E116" i="21"/>
  <c r="E208" i="21"/>
  <c r="E48" i="21"/>
  <c r="I42" i="21"/>
  <c r="P53" i="21"/>
  <c r="B54" i="11"/>
  <c r="P206" i="21"/>
  <c r="I53" i="21"/>
  <c r="E42" i="21"/>
  <c r="E106" i="21"/>
  <c r="E145" i="21"/>
  <c r="E146" i="21"/>
  <c r="E44" i="21"/>
  <c r="E191" i="21"/>
  <c r="E47" i="21"/>
  <c r="E51" i="21"/>
  <c r="E188" i="21"/>
  <c r="E226" i="21"/>
  <c r="E227" i="21"/>
  <c r="P43" i="21"/>
  <c r="I191" i="21"/>
  <c r="E62" i="21"/>
  <c r="E63" i="21"/>
  <c r="I68" i="21"/>
  <c r="E49" i="21"/>
  <c r="P191" i="21"/>
  <c r="E160" i="21"/>
  <c r="E161" i="21"/>
  <c r="I54" i="21"/>
  <c r="E52" i="21"/>
  <c r="W191" i="21"/>
  <c r="B56" i="11"/>
  <c r="E209" i="21"/>
  <c r="E210" i="21"/>
  <c r="E54" i="21"/>
  <c r="E189" i="21"/>
  <c r="E225" i="21"/>
  <c r="W54" i="21"/>
  <c r="P45" i="21"/>
  <c r="E57" i="21"/>
  <c r="E144" i="21"/>
  <c r="E192" i="21"/>
  <c r="E193" i="21"/>
  <c r="E157" i="21"/>
  <c r="W44" i="21"/>
  <c r="E154" i="21"/>
  <c r="C122" i="5"/>
  <c r="D121" i="21"/>
  <c r="C113" i="5"/>
  <c r="D113" i="21" s="1"/>
  <c r="D112" i="21"/>
  <c r="C203" i="5"/>
  <c r="D202" i="21"/>
  <c r="C169" i="5"/>
  <c r="D168" i="21"/>
  <c r="C71" i="5"/>
  <c r="D69" i="21"/>
  <c r="C141" i="5"/>
  <c r="D140" i="21"/>
  <c r="C100" i="5"/>
  <c r="D98" i="21"/>
  <c r="C154" i="5"/>
  <c r="D154" i="21" s="1"/>
  <c r="C158" i="5"/>
  <c r="D156" i="21"/>
  <c r="C44" i="5"/>
  <c r="D43" i="21"/>
  <c r="E110" i="21"/>
  <c r="E130" i="21"/>
  <c r="E139" i="21"/>
  <c r="E149" i="21"/>
  <c r="E152" i="21"/>
  <c r="E70" i="21"/>
  <c r="W203" i="21"/>
  <c r="W206" i="21"/>
  <c r="E75" i="21"/>
  <c r="E107" i="21"/>
  <c r="E100" i="21"/>
  <c r="P87" i="21"/>
  <c r="E121" i="21"/>
  <c r="E198" i="21"/>
  <c r="E180" i="21"/>
  <c r="E166" i="21"/>
  <c r="E141" i="21"/>
  <c r="E174" i="21"/>
  <c r="E143" i="21"/>
  <c r="E203" i="21"/>
  <c r="E127" i="21"/>
  <c r="E80" i="21"/>
  <c r="E150" i="21"/>
  <c r="E134" i="21"/>
  <c r="E178" i="21"/>
  <c r="E85" i="21"/>
  <c r="E99" i="21"/>
  <c r="E137" i="21"/>
  <c r="E167" i="21"/>
  <c r="E205" i="21"/>
  <c r="E120" i="21"/>
  <c r="E79" i="21"/>
  <c r="E125" i="21"/>
  <c r="E201" i="21"/>
  <c r="E200" i="21"/>
  <c r="E77" i="21"/>
  <c r="E169" i="21"/>
  <c r="E124" i="21"/>
  <c r="E171" i="21"/>
  <c r="E81" i="21"/>
  <c r="E73" i="21"/>
  <c r="W87" i="21"/>
  <c r="W83" i="21"/>
  <c r="I77" i="21"/>
  <c r="I87" i="21"/>
  <c r="I112" i="21"/>
  <c r="P76" i="21"/>
  <c r="W76" i="21"/>
  <c r="W112" i="21"/>
  <c r="P77" i="21"/>
  <c r="E181" i="21"/>
  <c r="E122" i="21"/>
  <c r="E140" i="21"/>
  <c r="E76" i="21"/>
  <c r="E123" i="21"/>
  <c r="E197" i="21"/>
  <c r="P80" i="21"/>
  <c r="E184" i="21"/>
  <c r="E176" i="21"/>
  <c r="E170" i="21"/>
  <c r="E109" i="21"/>
  <c r="P203" i="21"/>
  <c r="I200" i="21"/>
  <c r="E82" i="21"/>
  <c r="E128" i="21"/>
  <c r="E91" i="21"/>
  <c r="E196" i="21"/>
  <c r="I203" i="21"/>
  <c r="E131" i="21"/>
  <c r="E177" i="21"/>
  <c r="W86" i="21"/>
  <c r="E112" i="21"/>
  <c r="E89" i="21"/>
  <c r="E133" i="21"/>
  <c r="E179" i="21"/>
  <c r="W200" i="21"/>
  <c r="P86" i="21"/>
  <c r="E126" i="21"/>
  <c r="E74" i="21"/>
  <c r="E92" i="21"/>
  <c r="E93" i="21"/>
  <c r="E183" i="21"/>
  <c r="I86" i="21"/>
  <c r="W80" i="21"/>
  <c r="W141" i="21"/>
  <c r="E165" i="21"/>
  <c r="E98" i="21"/>
  <c r="E88" i="21"/>
  <c r="E86" i="21"/>
  <c r="P200" i="21"/>
  <c r="E168" i="21"/>
  <c r="I141" i="21"/>
  <c r="E101" i="21"/>
  <c r="E102" i="21"/>
  <c r="E142" i="21"/>
  <c r="E113" i="21"/>
  <c r="I76" i="21"/>
  <c r="I83" i="21"/>
  <c r="E108" i="21"/>
  <c r="E199" i="21"/>
  <c r="E182" i="21"/>
  <c r="W77" i="21"/>
  <c r="P112" i="21"/>
  <c r="E83" i="21"/>
  <c r="E129" i="21"/>
  <c r="E172" i="21"/>
  <c r="E78" i="21"/>
  <c r="E111" i="21"/>
  <c r="E202" i="21"/>
  <c r="I80" i="21"/>
  <c r="E132" i="21"/>
  <c r="E175" i="21"/>
  <c r="E204" i="21"/>
  <c r="E136" i="21"/>
  <c r="E84" i="21"/>
  <c r="E114" i="21"/>
  <c r="E135" i="21"/>
  <c r="P83" i="21"/>
  <c r="P141" i="21"/>
  <c r="E151" i="21"/>
  <c r="W210" i="13"/>
  <c r="W213" i="13"/>
  <c r="W202" i="13"/>
  <c r="W203" i="13"/>
  <c r="C199" i="5"/>
  <c r="D199" i="21" s="1"/>
  <c r="C200" i="5"/>
  <c r="D200" i="21" s="1"/>
  <c r="Z10" i="13"/>
  <c r="AF259" i="5"/>
  <c r="AE259" i="5"/>
  <c r="AD259" i="5"/>
  <c r="E259" i="5"/>
  <c r="E258" i="5"/>
  <c r="AF258" i="5"/>
  <c r="AE258" i="5"/>
  <c r="AD258" i="5"/>
  <c r="AF255" i="5"/>
  <c r="AE255" i="5"/>
  <c r="AD255" i="5"/>
  <c r="E255" i="5"/>
  <c r="AF260" i="5"/>
  <c r="AE260" i="5"/>
  <c r="AD260" i="5"/>
  <c r="E260" i="5"/>
  <c r="AF253" i="5"/>
  <c r="AE253" i="5"/>
  <c r="AD253" i="5"/>
  <c r="E253" i="5"/>
  <c r="AF249" i="5"/>
  <c r="AE249" i="5"/>
  <c r="AD249" i="5"/>
  <c r="E249" i="5"/>
  <c r="E247" i="5"/>
  <c r="AF247" i="5"/>
  <c r="AE247" i="5"/>
  <c r="AD247" i="5"/>
  <c r="AF252" i="5"/>
  <c r="AE252" i="5"/>
  <c r="AD252" i="5"/>
  <c r="AF246" i="5"/>
  <c r="AE246" i="5"/>
  <c r="AD246" i="5"/>
  <c r="E246" i="5"/>
  <c r="AF237" i="5"/>
  <c r="AE237" i="5"/>
  <c r="AD237" i="5"/>
  <c r="E237" i="5"/>
  <c r="AF256" i="5"/>
  <c r="AE256" i="5"/>
  <c r="AD256" i="5"/>
  <c r="E256" i="5"/>
  <c r="C143" i="5" l="1"/>
  <c r="D141" i="21"/>
  <c r="C73" i="5"/>
  <c r="D71" i="21"/>
  <c r="C170" i="5"/>
  <c r="D169" i="21"/>
  <c r="C45" i="5"/>
  <c r="D44" i="21"/>
  <c r="C205" i="5"/>
  <c r="D203" i="21"/>
  <c r="C160" i="5"/>
  <c r="D160" i="21" s="1"/>
  <c r="D158" i="21"/>
  <c r="C101" i="5"/>
  <c r="D101" i="21" s="1"/>
  <c r="D100" i="21"/>
  <c r="C124" i="5"/>
  <c r="D122" i="21"/>
  <c r="L11" i="3"/>
  <c r="K9" i="13" s="1"/>
  <c r="L12" i="3"/>
  <c r="L9" i="13" s="1"/>
  <c r="L13" i="3"/>
  <c r="M9" i="13" s="1"/>
  <c r="L14" i="3"/>
  <c r="N9" i="13" s="1"/>
  <c r="L15" i="3"/>
  <c r="O9" i="13" s="1"/>
  <c r="L16" i="3"/>
  <c r="P9" i="13" s="1"/>
  <c r="L10" i="3"/>
  <c r="L8" i="3"/>
  <c r="L9" i="3"/>
  <c r="L7" i="3"/>
  <c r="L6" i="3"/>
  <c r="L5" i="3"/>
  <c r="C206" i="5" l="1"/>
  <c r="D205" i="21"/>
  <c r="C176" i="5"/>
  <c r="D170" i="21"/>
  <c r="C125" i="5"/>
  <c r="D124" i="21"/>
  <c r="C75" i="5"/>
  <c r="D73" i="21"/>
  <c r="C47" i="5"/>
  <c r="D45" i="21"/>
  <c r="C144" i="5"/>
  <c r="D143" i="21"/>
  <c r="J9" i="13"/>
  <c r="V91" i="13"/>
  <c r="V92" i="13"/>
  <c r="U101" i="13"/>
  <c r="Q9" i="13"/>
  <c r="Q13" i="3"/>
  <c r="Y6" i="13" s="1"/>
  <c r="Q12" i="3"/>
  <c r="O38" i="13"/>
  <c r="O233" i="13"/>
  <c r="O199" i="13"/>
  <c r="O216" i="13"/>
  <c r="O154" i="13"/>
  <c r="O168" i="13"/>
  <c r="O125" i="13"/>
  <c r="O112" i="13"/>
  <c r="O99" i="13"/>
  <c r="O68" i="13"/>
  <c r="M38" i="13"/>
  <c r="M168" i="13"/>
  <c r="M99" i="13"/>
  <c r="M199" i="13"/>
  <c r="M154" i="13"/>
  <c r="M112" i="13"/>
  <c r="M216" i="13"/>
  <c r="M125" i="13"/>
  <c r="M68" i="13"/>
  <c r="M233" i="13"/>
  <c r="J168" i="13"/>
  <c r="J199" i="13"/>
  <c r="J112" i="13"/>
  <c r="J233" i="13"/>
  <c r="J99" i="13"/>
  <c r="J38" i="13"/>
  <c r="J125" i="13"/>
  <c r="J216" i="13"/>
  <c r="J154" i="13"/>
  <c r="J68" i="13"/>
  <c r="P38" i="13"/>
  <c r="P233" i="13"/>
  <c r="P199" i="13"/>
  <c r="P216" i="13"/>
  <c r="P154" i="13"/>
  <c r="P168" i="13"/>
  <c r="P125" i="13"/>
  <c r="P112" i="13"/>
  <c r="P99" i="13"/>
  <c r="P68" i="13"/>
  <c r="N154" i="13"/>
  <c r="N168" i="13"/>
  <c r="N112" i="13"/>
  <c r="N216" i="13"/>
  <c r="N99" i="13"/>
  <c r="N38" i="13"/>
  <c r="N199" i="13"/>
  <c r="N125" i="13"/>
  <c r="N68" i="13"/>
  <c r="N233" i="13"/>
  <c r="L233" i="13"/>
  <c r="L216" i="13"/>
  <c r="L112" i="13"/>
  <c r="L38" i="13"/>
  <c r="L168" i="13"/>
  <c r="L125" i="13"/>
  <c r="L68" i="13"/>
  <c r="L199" i="13"/>
  <c r="L99" i="13"/>
  <c r="L154" i="13"/>
  <c r="K233" i="13"/>
  <c r="K112" i="13"/>
  <c r="K154" i="13"/>
  <c r="K99" i="13"/>
  <c r="K199" i="13"/>
  <c r="K168" i="13"/>
  <c r="K38" i="13"/>
  <c r="K125" i="13"/>
  <c r="K216" i="13"/>
  <c r="K68" i="13"/>
  <c r="P258" i="13"/>
  <c r="O258" i="13"/>
  <c r="M258" i="13"/>
  <c r="L258" i="13"/>
  <c r="N258" i="13"/>
  <c r="K258" i="13"/>
  <c r="J258" i="13"/>
  <c r="Y49" i="13" l="1"/>
  <c r="C126" i="5"/>
  <c r="D125" i="21"/>
  <c r="C145" i="5"/>
  <c r="D145" i="21" s="1"/>
  <c r="D144" i="21"/>
  <c r="C48" i="5"/>
  <c r="D47" i="21"/>
  <c r="C76" i="5"/>
  <c r="D75" i="21"/>
  <c r="C177" i="5"/>
  <c r="D176" i="21"/>
  <c r="C208" i="5"/>
  <c r="D206" i="21"/>
  <c r="V90" i="13"/>
  <c r="Q68" i="13"/>
  <c r="Q38" i="13"/>
  <c r="Q125" i="13"/>
  <c r="Q233" i="13"/>
  <c r="Q216" i="13"/>
  <c r="Q199" i="13"/>
  <c r="Q168" i="13"/>
  <c r="Q154" i="13"/>
  <c r="Q112" i="13"/>
  <c r="Q99" i="13"/>
  <c r="Y5" i="13"/>
  <c r="BS344" i="13"/>
  <c r="J37" i="11" s="1"/>
  <c r="BS347" i="13"/>
  <c r="J40" i="11" s="1"/>
  <c r="BS343" i="13"/>
  <c r="J36" i="11" s="1"/>
  <c r="BS353" i="13"/>
  <c r="BS349" i="13"/>
  <c r="J42" i="11" s="1"/>
  <c r="BS350" i="13"/>
  <c r="J43" i="11" s="1"/>
  <c r="BS346" i="13"/>
  <c r="J39" i="11" s="1"/>
  <c r="BS351" i="13"/>
  <c r="J44" i="11" s="1"/>
  <c r="BS352" i="13"/>
  <c r="BS345" i="13"/>
  <c r="J38" i="11" s="1"/>
  <c r="BS348" i="13"/>
  <c r="J41" i="11" s="1"/>
  <c r="X225" i="13"/>
  <c r="X226" i="13"/>
  <c r="X227" i="13"/>
  <c r="X228" i="13"/>
  <c r="X229" i="13"/>
  <c r="X189" i="13"/>
  <c r="X192" i="13"/>
  <c r="X175" i="13"/>
  <c r="X138" i="13"/>
  <c r="X144" i="13"/>
  <c r="X148" i="13"/>
  <c r="X130" i="13"/>
  <c r="BW192" i="13"/>
  <c r="BW189" i="13"/>
  <c r="BW148" i="13"/>
  <c r="E219" i="13"/>
  <c r="E220" i="13"/>
  <c r="E221" i="13"/>
  <c r="E217" i="5" s="1"/>
  <c r="E222" i="13"/>
  <c r="E223" i="13"/>
  <c r="E224" i="13"/>
  <c r="E225" i="13"/>
  <c r="E226" i="13"/>
  <c r="C178" i="5" l="1"/>
  <c r="D177" i="21"/>
  <c r="C77" i="5"/>
  <c r="D76" i="21"/>
  <c r="C209" i="5"/>
  <c r="D209" i="21" s="1"/>
  <c r="D208" i="21"/>
  <c r="C49" i="5"/>
  <c r="D48" i="21"/>
  <c r="C128" i="5"/>
  <c r="D126" i="21"/>
  <c r="E219" i="5"/>
  <c r="E221" i="5"/>
  <c r="E220" i="5"/>
  <c r="E222" i="5"/>
  <c r="E223" i="21" s="1"/>
  <c r="E216" i="5"/>
  <c r="E218" i="5"/>
  <c r="E215" i="5"/>
  <c r="J46" i="11"/>
  <c r="O5" i="3"/>
  <c r="AB12" i="21"/>
  <c r="AB14" i="21"/>
  <c r="AB15" i="21"/>
  <c r="AB38" i="21"/>
  <c r="AB41" i="21"/>
  <c r="AB42" i="21"/>
  <c r="AB63" i="21"/>
  <c r="AB66" i="21"/>
  <c r="AB68" i="21"/>
  <c r="AB93" i="21"/>
  <c r="AB102" i="21"/>
  <c r="AB106" i="21"/>
  <c r="AB115" i="21"/>
  <c r="AB144" i="21"/>
  <c r="AB145" i="21"/>
  <c r="AB158" i="21"/>
  <c r="AB160" i="21"/>
  <c r="AB190" i="21"/>
  <c r="AB191" i="21"/>
  <c r="AB192" i="21"/>
  <c r="CE79" i="13"/>
  <c r="C129" i="5" l="1"/>
  <c r="D128" i="21"/>
  <c r="C50" i="5"/>
  <c r="D49" i="21"/>
  <c r="C79" i="5"/>
  <c r="D77" i="21"/>
  <c r="C180" i="5"/>
  <c r="D178" i="21"/>
  <c r="E219" i="21"/>
  <c r="E222" i="21"/>
  <c r="E217" i="21"/>
  <c r="E220" i="21"/>
  <c r="E218" i="21"/>
  <c r="E221" i="21"/>
  <c r="E216" i="21"/>
  <c r="CE39" i="13"/>
  <c r="CE211" i="13"/>
  <c r="CE208" i="13"/>
  <c r="CE204" i="13"/>
  <c r="CE200" i="13"/>
  <c r="CE138" i="13"/>
  <c r="CE115" i="13"/>
  <c r="CE117" i="13"/>
  <c r="CE95" i="13"/>
  <c r="CE93" i="13"/>
  <c r="CE83" i="13"/>
  <c r="CE75" i="13"/>
  <c r="CE55" i="13"/>
  <c r="CE51" i="13"/>
  <c r="CE46" i="13"/>
  <c r="CB117" i="13"/>
  <c r="CB75" i="13"/>
  <c r="CB46" i="13"/>
  <c r="CB39" i="13"/>
  <c r="BW218" i="13"/>
  <c r="BW219" i="13"/>
  <c r="BW220" i="13"/>
  <c r="BW221" i="13"/>
  <c r="BW222" i="13"/>
  <c r="BW223" i="13"/>
  <c r="BW224" i="13"/>
  <c r="BW225" i="13"/>
  <c r="BW204" i="13"/>
  <c r="BW207" i="13"/>
  <c r="BW208" i="13"/>
  <c r="BW211" i="13"/>
  <c r="BW171" i="13"/>
  <c r="BW179" i="13"/>
  <c r="BW183" i="13"/>
  <c r="BW187" i="13"/>
  <c r="BW159" i="13"/>
  <c r="BW160" i="13"/>
  <c r="BW164" i="13"/>
  <c r="BW134" i="13"/>
  <c r="BW138" i="13"/>
  <c r="BW144" i="13"/>
  <c r="BW115" i="13"/>
  <c r="BW117" i="13"/>
  <c r="BW121" i="13"/>
  <c r="BW103" i="13"/>
  <c r="BW106" i="13"/>
  <c r="BW107" i="13"/>
  <c r="BW108" i="13"/>
  <c r="BW109" i="13"/>
  <c r="BW155" i="13"/>
  <c r="BW169" i="13"/>
  <c r="BW200" i="13"/>
  <c r="BW217" i="13"/>
  <c r="BW126" i="13"/>
  <c r="BW113" i="13"/>
  <c r="BW100" i="13"/>
  <c r="BW75" i="13"/>
  <c r="BW79" i="13"/>
  <c r="BW82" i="13"/>
  <c r="BW83" i="13"/>
  <c r="BW86" i="13"/>
  <c r="BW90" i="13"/>
  <c r="BW93" i="13"/>
  <c r="BW95" i="13"/>
  <c r="BW96" i="13"/>
  <c r="BW69" i="13"/>
  <c r="BW59" i="13"/>
  <c r="BW62" i="13"/>
  <c r="BW63" i="13"/>
  <c r="BW65" i="13"/>
  <c r="BW56" i="13"/>
  <c r="BW55" i="13"/>
  <c r="BW51" i="13"/>
  <c r="BW46" i="13"/>
  <c r="BW39" i="13"/>
  <c r="BW16" i="13"/>
  <c r="BW19" i="13"/>
  <c r="BW26" i="13"/>
  <c r="BW30" i="13"/>
  <c r="BW10" i="13"/>
  <c r="C181" i="5" l="1"/>
  <c r="D180" i="21"/>
  <c r="C80" i="5"/>
  <c r="D79" i="21"/>
  <c r="C52" i="5"/>
  <c r="D50" i="21"/>
  <c r="C130" i="5"/>
  <c r="D129" i="21"/>
  <c r="AI196" i="5"/>
  <c r="AI201" i="5"/>
  <c r="AI204" i="5"/>
  <c r="AI207" i="5"/>
  <c r="AI131" i="5"/>
  <c r="AI110" i="5"/>
  <c r="AI108" i="5"/>
  <c r="AI91" i="5"/>
  <c r="AI81" i="5"/>
  <c r="AI78" i="5"/>
  <c r="AI74" i="5"/>
  <c r="AI51" i="5"/>
  <c r="AI46" i="5"/>
  <c r="AI38" i="5"/>
  <c r="E325" i="13"/>
  <c r="BX233" i="13"/>
  <c r="BX216" i="13"/>
  <c r="BX199" i="13"/>
  <c r="BX168" i="13"/>
  <c r="BX154" i="13"/>
  <c r="BX125" i="13"/>
  <c r="BX112" i="13"/>
  <c r="BX99" i="13"/>
  <c r="BX68" i="13"/>
  <c r="BX38" i="13"/>
  <c r="BX9" i="13"/>
  <c r="E293" i="13"/>
  <c r="E294" i="13"/>
  <c r="E295" i="13"/>
  <c r="E296" i="13"/>
  <c r="E297" i="13"/>
  <c r="E298" i="13"/>
  <c r="E299" i="13"/>
  <c r="E300" i="13"/>
  <c r="E301" i="13"/>
  <c r="E302" i="13"/>
  <c r="E303" i="13"/>
  <c r="E304" i="13"/>
  <c r="E305" i="13"/>
  <c r="E306" i="13"/>
  <c r="E307" i="13"/>
  <c r="E308" i="13"/>
  <c r="E309" i="13"/>
  <c r="E310" i="13"/>
  <c r="E311" i="13"/>
  <c r="E312" i="13"/>
  <c r="C132" i="5" l="1"/>
  <c r="D130" i="21"/>
  <c r="C53" i="5"/>
  <c r="D52" i="21"/>
  <c r="C82" i="5"/>
  <c r="D80" i="21"/>
  <c r="C182" i="5"/>
  <c r="D181" i="21"/>
  <c r="CA38" i="13"/>
  <c r="CA68" i="13"/>
  <c r="CA199" i="13"/>
  <c r="BZ68" i="13"/>
  <c r="BZ199" i="13"/>
  <c r="CC236" i="13"/>
  <c r="CC154" i="13"/>
  <c r="CC99" i="13"/>
  <c r="CA252" i="13"/>
  <c r="CA236" i="13"/>
  <c r="CC216" i="13"/>
  <c r="CA154" i="13"/>
  <c r="CC112" i="13"/>
  <c r="CA99" i="13"/>
  <c r="CC252" i="13"/>
  <c r="BZ252" i="13"/>
  <c r="BZ236" i="13"/>
  <c r="CC168" i="13"/>
  <c r="BZ154" i="13"/>
  <c r="BZ99" i="13"/>
  <c r="CC38" i="13"/>
  <c r="BZ125" i="13"/>
  <c r="CC237" i="13"/>
  <c r="CC233" i="13"/>
  <c r="CA216" i="13"/>
  <c r="CA112" i="13"/>
  <c r="BZ216" i="13"/>
  <c r="CC125" i="13"/>
  <c r="CC68" i="13"/>
  <c r="CA237" i="13"/>
  <c r="CA233" i="13"/>
  <c r="CC199" i="13"/>
  <c r="BZ168" i="13"/>
  <c r="BZ38" i="13"/>
  <c r="CA168" i="13"/>
  <c r="BZ112" i="13"/>
  <c r="BZ237" i="13"/>
  <c r="BZ233" i="13"/>
  <c r="CA125" i="13"/>
  <c r="AB223" i="21"/>
  <c r="AB221" i="21"/>
  <c r="AB211" i="21"/>
  <c r="AB180" i="21"/>
  <c r="AB179" i="21"/>
  <c r="AB161" i="21"/>
  <c r="AB147" i="21"/>
  <c r="AB141" i="21"/>
  <c r="AB140" i="21"/>
  <c r="AB101" i="21"/>
  <c r="AB99" i="21"/>
  <c r="AB97" i="21"/>
  <c r="AB13" i="21"/>
  <c r="C184" i="5" l="1"/>
  <c r="D182" i="21"/>
  <c r="C83" i="5"/>
  <c r="D82" i="21"/>
  <c r="C54" i="5"/>
  <c r="D53" i="21"/>
  <c r="C133" i="5"/>
  <c r="D132" i="21"/>
  <c r="AK5" i="5"/>
  <c r="AK4" i="5"/>
  <c r="AK3" i="5"/>
  <c r="C134" i="5" l="1"/>
  <c r="D133" i="21"/>
  <c r="C56" i="5"/>
  <c r="D54" i="21"/>
  <c r="C85" i="5"/>
  <c r="D83" i="21"/>
  <c r="C186" i="5"/>
  <c r="D184" i="21"/>
  <c r="AJ4" i="5"/>
  <c r="AS11" i="5" s="1"/>
  <c r="Z1" i="5"/>
  <c r="P2" i="12"/>
  <c r="P2" i="8"/>
  <c r="Z1" i="21"/>
  <c r="N2" i="11"/>
  <c r="C187" i="5" l="1"/>
  <c r="D186" i="21"/>
  <c r="C87" i="5"/>
  <c r="D85" i="21"/>
  <c r="C57" i="5"/>
  <c r="D56" i="21"/>
  <c r="C135" i="5"/>
  <c r="D134" i="21"/>
  <c r="AU258" i="5"/>
  <c r="AT255" i="5"/>
  <c r="AS260" i="5"/>
  <c r="AU259" i="5"/>
  <c r="AT258" i="5"/>
  <c r="AS255" i="5"/>
  <c r="AU260" i="5"/>
  <c r="AT259" i="5"/>
  <c r="AS258" i="5"/>
  <c r="AS259" i="5"/>
  <c r="AU255" i="5"/>
  <c r="AT260" i="5"/>
  <c r="AU247" i="5"/>
  <c r="AT247" i="5"/>
  <c r="AS247" i="5"/>
  <c r="AU237" i="5"/>
  <c r="AS237" i="5"/>
  <c r="AT237" i="5"/>
  <c r="AB9" i="21"/>
  <c r="AU256" i="5"/>
  <c r="AT256" i="5"/>
  <c r="AS256" i="5"/>
  <c r="AB7" i="21"/>
  <c r="AB9" i="5"/>
  <c r="AS27" i="5"/>
  <c r="AB4" i="21"/>
  <c r="AB5" i="21"/>
  <c r="AU35" i="5"/>
  <c r="AU27" i="5"/>
  <c r="AU58" i="5"/>
  <c r="AU61" i="5"/>
  <c r="AS164" i="5"/>
  <c r="AT212" i="5"/>
  <c r="AU218" i="5"/>
  <c r="AS196" i="5"/>
  <c r="AU119" i="5"/>
  <c r="AS217" i="5"/>
  <c r="AT104" i="5"/>
  <c r="AS201" i="5"/>
  <c r="AT93" i="5"/>
  <c r="AT65" i="5"/>
  <c r="AT58" i="5"/>
  <c r="AT51" i="5"/>
  <c r="AT81" i="5"/>
  <c r="AT215" i="5"/>
  <c r="AU257" i="5"/>
  <c r="AS204" i="5"/>
  <c r="AU64" i="5"/>
  <c r="AU167" i="5"/>
  <c r="AT149" i="5"/>
  <c r="AU179" i="5"/>
  <c r="AS84" i="5"/>
  <c r="AT17" i="5"/>
  <c r="AU20" i="5"/>
  <c r="AS35" i="5"/>
  <c r="AU17" i="5"/>
  <c r="AS17" i="5"/>
  <c r="AU161" i="5"/>
  <c r="AS65" i="5"/>
  <c r="AS118" i="5"/>
  <c r="AS210" i="5"/>
  <c r="AT195" i="5"/>
  <c r="AU193" i="5"/>
  <c r="AS91" i="5"/>
  <c r="AS148" i="5"/>
  <c r="AS218" i="5"/>
  <c r="AT105" i="5"/>
  <c r="AT217" i="5"/>
  <c r="AS163" i="5"/>
  <c r="AU104" i="5"/>
  <c r="AT66" i="5"/>
  <c r="AS207" i="5"/>
  <c r="AU146" i="5"/>
  <c r="AT96" i="5"/>
  <c r="AT219" i="5"/>
  <c r="AS167" i="5"/>
  <c r="AU108" i="5"/>
  <c r="AT78" i="5"/>
  <c r="AT204" i="5"/>
  <c r="AS146" i="5"/>
  <c r="AU95" i="5"/>
  <c r="AV196" i="5"/>
  <c r="AT36" i="5"/>
  <c r="AU11" i="5"/>
  <c r="AU114" i="5"/>
  <c r="AU36" i="5"/>
  <c r="AS36" i="5"/>
  <c r="AU210" i="5"/>
  <c r="AS108" i="5"/>
  <c r="AT64" i="5"/>
  <c r="AU162" i="5"/>
  <c r="AS66" i="5"/>
  <c r="AU127" i="5"/>
  <c r="AT216" i="5"/>
  <c r="AU103" i="5"/>
  <c r="AT61" i="5"/>
  <c r="AS179" i="5"/>
  <c r="AT131" i="5"/>
  <c r="AT94" i="5"/>
  <c r="AT161" i="5"/>
  <c r="AU117" i="5"/>
  <c r="AT110" i="5"/>
  <c r="AU211" i="5"/>
  <c r="AS227" i="5"/>
  <c r="AT116" i="5"/>
  <c r="AS211" i="5"/>
  <c r="AU148" i="5"/>
  <c r="AT27" i="5"/>
  <c r="AT11" i="5"/>
  <c r="AT35" i="5"/>
  <c r="AU31" i="5"/>
  <c r="AS55" i="5"/>
  <c r="AT148" i="5"/>
  <c r="AT218" i="5"/>
  <c r="AU105" i="5"/>
  <c r="AU195" i="5"/>
  <c r="AU183" i="5"/>
  <c r="AT117" i="5"/>
  <c r="AS88" i="5"/>
  <c r="AT164" i="5"/>
  <c r="AU212" i="5"/>
  <c r="AU102" i="5"/>
  <c r="AU214" i="5"/>
  <c r="AT159" i="5"/>
  <c r="AS102" i="5"/>
  <c r="AU63" i="5"/>
  <c r="AT201" i="5"/>
  <c r="AS257" i="5"/>
  <c r="AU93" i="5"/>
  <c r="AU216" i="5"/>
  <c r="AT162" i="5"/>
  <c r="AS104" i="5"/>
  <c r="AU65" i="5"/>
  <c r="AU196" i="5"/>
  <c r="AT127" i="5"/>
  <c r="AS93" i="5"/>
  <c r="AV110" i="5"/>
  <c r="AS195" i="5"/>
  <c r="AS162" i="5"/>
  <c r="AT20" i="5"/>
  <c r="AT37" i="5"/>
  <c r="AT99" i="5"/>
  <c r="AT95" i="5"/>
  <c r="AS220" i="5"/>
  <c r="AU51" i="5"/>
  <c r="AS37" i="5"/>
  <c r="AU55" i="5"/>
  <c r="AS31" i="5"/>
  <c r="AS58" i="5"/>
  <c r="AT55" i="5"/>
  <c r="AS127" i="5"/>
  <c r="AS213" i="5"/>
  <c r="AT175" i="5"/>
  <c r="AT220" i="5"/>
  <c r="AS175" i="5"/>
  <c r="AU110" i="5"/>
  <c r="AS155" i="5"/>
  <c r="AS221" i="5"/>
  <c r="AT114" i="5"/>
  <c r="AS212" i="5"/>
  <c r="AU149" i="5"/>
  <c r="AT221" i="5"/>
  <c r="AU194" i="5"/>
  <c r="AT119" i="5"/>
  <c r="AS214" i="5"/>
  <c r="AU155" i="5"/>
  <c r="AS63" i="5"/>
  <c r="AS194" i="5"/>
  <c r="AU118" i="5"/>
  <c r="AT91" i="5"/>
  <c r="AW46" i="5"/>
  <c r="AT46" i="5"/>
  <c r="AS95" i="5"/>
  <c r="AS161" i="5"/>
  <c r="AU217" i="5"/>
  <c r="AT163" i="5"/>
  <c r="AS105" i="5"/>
  <c r="AU66" i="5"/>
  <c r="AU131" i="5"/>
  <c r="AU215" i="5"/>
  <c r="AS103" i="5"/>
  <c r="AS193" i="5"/>
  <c r="AU94" i="5"/>
  <c r="AT207" i="5"/>
  <c r="AS147" i="5"/>
  <c r="AU96" i="5"/>
  <c r="AT227" i="5"/>
  <c r="AS183" i="5"/>
  <c r="AU116" i="5"/>
  <c r="AT84" i="5"/>
  <c r="AT211" i="5"/>
  <c r="AS149" i="5"/>
  <c r="AU221" i="5"/>
  <c r="AT179" i="5"/>
  <c r="AS116" i="5"/>
  <c r="AU81" i="5"/>
  <c r="AV46" i="5"/>
  <c r="AS61" i="5"/>
  <c r="AS20" i="5"/>
  <c r="AU46" i="5"/>
  <c r="AS216" i="5"/>
  <c r="AT103" i="5"/>
  <c r="AT193" i="5"/>
  <c r="AU88" i="5"/>
  <c r="AU147" i="5"/>
  <c r="AS215" i="5"/>
  <c r="AU159" i="5"/>
  <c r="AT102" i="5"/>
  <c r="AS64" i="5"/>
  <c r="AT118" i="5"/>
  <c r="AT210" i="5"/>
  <c r="AU99" i="5"/>
  <c r="AU163" i="5"/>
  <c r="AT88" i="5"/>
  <c r="AU201" i="5"/>
  <c r="AT257" i="5"/>
  <c r="AS94" i="5"/>
  <c r="AU219" i="5"/>
  <c r="AT167" i="5"/>
  <c r="AS110" i="5"/>
  <c r="AU78" i="5"/>
  <c r="AU204" i="5"/>
  <c r="AT146" i="5"/>
  <c r="AS96" i="5"/>
  <c r="AS219" i="5"/>
  <c r="AU164" i="5"/>
  <c r="AT108" i="5"/>
  <c r="AS78" i="5"/>
  <c r="AS46" i="5"/>
  <c r="AS51" i="5"/>
  <c r="AU37" i="5"/>
  <c r="AT31" i="5"/>
  <c r="AT196" i="5"/>
  <c r="AU220" i="5"/>
  <c r="AS114" i="5"/>
  <c r="AU207" i="5"/>
  <c r="AT147" i="5"/>
  <c r="AS99" i="5"/>
  <c r="AT213" i="5"/>
  <c r="AU175" i="5"/>
  <c r="AS81" i="5"/>
  <c r="AS131" i="5"/>
  <c r="AU227" i="5"/>
  <c r="AT183" i="5"/>
  <c r="AS117" i="5"/>
  <c r="AU84" i="5"/>
  <c r="AT214" i="5"/>
  <c r="AS159" i="5"/>
  <c r="AT63" i="5"/>
  <c r="AT194" i="5"/>
  <c r="AS119" i="5"/>
  <c r="AU91" i="5"/>
  <c r="AU213" i="5"/>
  <c r="AT155" i="5"/>
  <c r="BX5" i="13"/>
  <c r="H9" i="13"/>
  <c r="G9" i="13"/>
  <c r="F9" i="13"/>
  <c r="AC5" i="13"/>
  <c r="I9" i="13"/>
  <c r="E6" i="13"/>
  <c r="E257" i="5"/>
  <c r="N6" i="11"/>
  <c r="E54" i="3"/>
  <c r="D3" i="12"/>
  <c r="O93" i="16"/>
  <c r="O94" i="16"/>
  <c r="O95" i="16"/>
  <c r="O96" i="16"/>
  <c r="O97" i="16"/>
  <c r="I27" i="16"/>
  <c r="I41" i="16"/>
  <c r="I57" i="16"/>
  <c r="I66" i="16"/>
  <c r="I73" i="16"/>
  <c r="I84" i="16"/>
  <c r="I92" i="16"/>
  <c r="I15" i="16"/>
  <c r="F2" i="3"/>
  <c r="B17" i="3"/>
  <c r="I16" i="16"/>
  <c r="I28" i="16"/>
  <c r="I42" i="16"/>
  <c r="I50" i="16"/>
  <c r="I51" i="16"/>
  <c r="I58" i="16"/>
  <c r="I67" i="16"/>
  <c r="I74" i="16"/>
  <c r="I85" i="16"/>
  <c r="I93"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60" i="16"/>
  <c r="O61" i="16"/>
  <c r="O63" i="16"/>
  <c r="O64" i="16"/>
  <c r="O65" i="16"/>
  <c r="O66" i="16"/>
  <c r="O67" i="16"/>
  <c r="O68" i="16"/>
  <c r="O69" i="16"/>
  <c r="O70" i="16"/>
  <c r="O71" i="16"/>
  <c r="O72" i="16"/>
  <c r="O73" i="16"/>
  <c r="O74" i="16"/>
  <c r="O75" i="16"/>
  <c r="O77" i="16"/>
  <c r="O78" i="16"/>
  <c r="O79" i="16"/>
  <c r="O82" i="16"/>
  <c r="O83" i="16"/>
  <c r="O84" i="16"/>
  <c r="O85" i="16"/>
  <c r="O86" i="16"/>
  <c r="O87" i="16"/>
  <c r="O88" i="16"/>
  <c r="O89" i="16"/>
  <c r="O90" i="16"/>
  <c r="O91" i="16"/>
  <c r="O92" i="16"/>
  <c r="O6" i="16"/>
  <c r="L11" i="21"/>
  <c r="K37" i="21"/>
  <c r="L37" i="21"/>
  <c r="N37" i="21"/>
  <c r="Q37" i="21"/>
  <c r="R37" i="21"/>
  <c r="S37" i="21"/>
  <c r="U37" i="21"/>
  <c r="X37" i="21"/>
  <c r="Y37" i="21"/>
  <c r="L65" i="21"/>
  <c r="N65" i="21"/>
  <c r="U65" i="21"/>
  <c r="O8" i="3"/>
  <c r="O9" i="3"/>
  <c r="O10" i="3"/>
  <c r="O11" i="3"/>
  <c r="O12" i="3"/>
  <c r="O13" i="3"/>
  <c r="O6" i="3"/>
  <c r="O7" i="3"/>
  <c r="U4" i="5"/>
  <c r="N4" i="5"/>
  <c r="B40" i="3"/>
  <c r="AX269" i="13"/>
  <c r="AC23" i="11"/>
  <c r="AC24" i="11"/>
  <c r="AC25" i="11"/>
  <c r="AC26" i="11"/>
  <c r="AC27" i="11"/>
  <c r="AC28" i="11"/>
  <c r="AC29" i="11"/>
  <c r="AC30" i="11"/>
  <c r="AC31" i="11"/>
  <c r="AC32" i="11"/>
  <c r="AF22" i="11"/>
  <c r="AE36" i="11" s="1"/>
  <c r="AE22" i="11"/>
  <c r="AD36" i="11" s="1"/>
  <c r="AD22" i="11"/>
  <c r="AC36" i="11" s="1"/>
  <c r="AB37" i="11"/>
  <c r="AB36" i="11"/>
  <c r="D6" i="11"/>
  <c r="C3" i="12"/>
  <c r="E6" i="5"/>
  <c r="E6" i="21" s="1"/>
  <c r="M6" i="11"/>
  <c r="AC64" i="5"/>
  <c r="AC65" i="5"/>
  <c r="AC94" i="5"/>
  <c r="AC95" i="5"/>
  <c r="AC103" i="5"/>
  <c r="AC104" i="5"/>
  <c r="AC117" i="5"/>
  <c r="AC118" i="5"/>
  <c r="AC147" i="5"/>
  <c r="AC148" i="5"/>
  <c r="AC162" i="5"/>
  <c r="AC163" i="5"/>
  <c r="AC194" i="5"/>
  <c r="AC195" i="5"/>
  <c r="AC211" i="5"/>
  <c r="AC212" i="5"/>
  <c r="AC10" i="5"/>
  <c r="AD257" i="5"/>
  <c r="AE257" i="5"/>
  <c r="AF257" i="5"/>
  <c r="AF11" i="5"/>
  <c r="AE11" i="5"/>
  <c r="AD11" i="5"/>
  <c r="X59" i="13"/>
  <c r="X63" i="13"/>
  <c r="X69" i="13"/>
  <c r="X75" i="13"/>
  <c r="X79" i="13"/>
  <c r="X83" i="13"/>
  <c r="X86" i="13"/>
  <c r="X93" i="13"/>
  <c r="X100" i="13"/>
  <c r="X103" i="13"/>
  <c r="X113" i="13"/>
  <c r="X115" i="13"/>
  <c r="X117" i="13"/>
  <c r="X121" i="13"/>
  <c r="X126" i="13"/>
  <c r="X134" i="13"/>
  <c r="X155" i="13"/>
  <c r="X160" i="13"/>
  <c r="X164" i="13"/>
  <c r="X169" i="13"/>
  <c r="X171" i="13"/>
  <c r="X179" i="13"/>
  <c r="X183" i="13"/>
  <c r="X187" i="13"/>
  <c r="X200" i="13"/>
  <c r="X204" i="13"/>
  <c r="X208" i="13"/>
  <c r="X211" i="13"/>
  <c r="X217" i="13"/>
  <c r="X218" i="13"/>
  <c r="X219" i="13"/>
  <c r="X220" i="13"/>
  <c r="X221" i="13"/>
  <c r="X222" i="13"/>
  <c r="X223" i="13"/>
  <c r="X224" i="13"/>
  <c r="X16" i="13"/>
  <c r="X19" i="13"/>
  <c r="X26" i="13"/>
  <c r="X30" i="13"/>
  <c r="X34" i="13"/>
  <c r="X35" i="13"/>
  <c r="X39" i="13"/>
  <c r="X46" i="13"/>
  <c r="X51" i="13"/>
  <c r="X56" i="13"/>
  <c r="X10" i="13"/>
  <c r="E214" i="5"/>
  <c r="E215" i="21" s="1"/>
  <c r="E217" i="13"/>
  <c r="V306" i="11"/>
  <c r="V303" i="11"/>
  <c r="V302" i="11"/>
  <c r="V301" i="11"/>
  <c r="V300" i="11"/>
  <c r="V299" i="11"/>
  <c r="V304" i="11"/>
  <c r="T306" i="11"/>
  <c r="T305" i="11"/>
  <c r="T304" i="11"/>
  <c r="T303" i="11"/>
  <c r="T302" i="11"/>
  <c r="T301" i="11"/>
  <c r="T300" i="11"/>
  <c r="T299" i="11"/>
  <c r="T298" i="11"/>
  <c r="T297" i="11"/>
  <c r="V297" i="11"/>
  <c r="V305" i="11"/>
  <c r="V298" i="11"/>
  <c r="C54" i="3"/>
  <c r="E5" i="5"/>
  <c r="E5" i="21" s="1"/>
  <c r="T166" i="13" l="1"/>
  <c r="T256" i="13"/>
  <c r="AB256" i="13" s="1"/>
  <c r="BA235" i="13"/>
  <c r="BC235" i="13"/>
  <c r="BB235" i="13"/>
  <c r="AY235" i="13"/>
  <c r="T235" i="13"/>
  <c r="AB235" i="13" s="1"/>
  <c r="AZ235" i="13"/>
  <c r="D135" i="21"/>
  <c r="C136" i="5"/>
  <c r="D136" i="21" s="1"/>
  <c r="C59" i="5"/>
  <c r="D57" i="21"/>
  <c r="C89" i="5"/>
  <c r="D87" i="21"/>
  <c r="C189" i="5"/>
  <c r="D187" i="21"/>
  <c r="BC250" i="13"/>
  <c r="AZ250" i="13"/>
  <c r="AY250" i="13"/>
  <c r="BB250" i="13"/>
  <c r="BA250" i="13"/>
  <c r="T250" i="13"/>
  <c r="T253" i="13"/>
  <c r="AB253" i="13" s="1"/>
  <c r="T254" i="13"/>
  <c r="T255" i="13"/>
  <c r="AB255" i="13" s="1"/>
  <c r="F151" i="5" s="1"/>
  <c r="BC72" i="13"/>
  <c r="BB72" i="13"/>
  <c r="E213" i="5"/>
  <c r="T251" i="13"/>
  <c r="AB251" i="13" s="1"/>
  <c r="BC252" i="13"/>
  <c r="BB252" i="13"/>
  <c r="BA252" i="13"/>
  <c r="AZ251" i="13"/>
  <c r="AZ252" i="13"/>
  <c r="AY252" i="13"/>
  <c r="BC251" i="13"/>
  <c r="BB251" i="13"/>
  <c r="BA251" i="13"/>
  <c r="AY251" i="13"/>
  <c r="T40" i="13"/>
  <c r="AA40" i="13" s="1"/>
  <c r="T195" i="13"/>
  <c r="AA195" i="13" s="1"/>
  <c r="BC234" i="13"/>
  <c r="BA234" i="13"/>
  <c r="BB234" i="13"/>
  <c r="AZ234" i="13"/>
  <c r="AY234" i="13"/>
  <c r="BB12" i="13"/>
  <c r="BC12" i="13"/>
  <c r="BB11" i="13"/>
  <c r="BC11" i="13"/>
  <c r="T88" i="13"/>
  <c r="AA88" i="13" s="1"/>
  <c r="BC246" i="13"/>
  <c r="BB246" i="13"/>
  <c r="BA246" i="13"/>
  <c r="AY246" i="13"/>
  <c r="T246" i="13"/>
  <c r="AB246" i="13" s="1"/>
  <c r="AZ246" i="13"/>
  <c r="BC23" i="13"/>
  <c r="BA23" i="13"/>
  <c r="BB23" i="13"/>
  <c r="T23" i="13"/>
  <c r="AA23" i="13" s="1"/>
  <c r="T24" i="13"/>
  <c r="AA24" i="13" s="1"/>
  <c r="BC249" i="13"/>
  <c r="BB249" i="13"/>
  <c r="BA249" i="13"/>
  <c r="AZ249" i="13"/>
  <c r="AY249" i="13"/>
  <c r="T249" i="13"/>
  <c r="AB249" i="13" s="1"/>
  <c r="T143" i="13"/>
  <c r="AA143" i="13" s="1"/>
  <c r="BC27" i="13"/>
  <c r="BB22" i="13"/>
  <c r="BC25" i="13"/>
  <c r="BB27" i="13"/>
  <c r="BB25" i="13"/>
  <c r="BC22" i="13"/>
  <c r="AY27" i="13"/>
  <c r="BA27" i="13"/>
  <c r="AZ27" i="13"/>
  <c r="BB73" i="13"/>
  <c r="BA29" i="13"/>
  <c r="BC29" i="13"/>
  <c r="BB29" i="13"/>
  <c r="BA22" i="13"/>
  <c r="AZ22" i="13"/>
  <c r="BC73" i="13"/>
  <c r="AY22" i="13"/>
  <c r="T158" i="13"/>
  <c r="AA158" i="13" s="1"/>
  <c r="T185" i="13"/>
  <c r="AA185" i="13" s="1"/>
  <c r="T173" i="13"/>
  <c r="AA173" i="13" s="1"/>
  <c r="T150" i="13"/>
  <c r="AA150" i="13" s="1"/>
  <c r="T137" i="13"/>
  <c r="AA137" i="13" s="1"/>
  <c r="T120" i="13"/>
  <c r="AA120" i="13" s="1"/>
  <c r="T92" i="13"/>
  <c r="Y92" i="13" s="1"/>
  <c r="T78" i="13"/>
  <c r="T60" i="13"/>
  <c r="U60" i="13" s="1"/>
  <c r="T47" i="13"/>
  <c r="AA47" i="13" s="1"/>
  <c r="T230" i="13"/>
  <c r="AA230" i="13" s="1"/>
  <c r="T77" i="13"/>
  <c r="T46" i="13"/>
  <c r="T213" i="13"/>
  <c r="V213" i="13" s="1"/>
  <c r="T212" i="13"/>
  <c r="V212" i="13" s="1"/>
  <c r="T196" i="13"/>
  <c r="AA196" i="13" s="1"/>
  <c r="T183" i="13"/>
  <c r="AA183" i="13" s="1"/>
  <c r="T148" i="13"/>
  <c r="AA148" i="13" s="1"/>
  <c r="T135" i="13"/>
  <c r="AA135" i="13" s="1"/>
  <c r="T118" i="13"/>
  <c r="AA118" i="13" s="1"/>
  <c r="T90" i="13"/>
  <c r="T76" i="13"/>
  <c r="T58" i="13"/>
  <c r="T45" i="13"/>
  <c r="AA45" i="13" s="1"/>
  <c r="T181" i="13"/>
  <c r="AA181" i="13" s="1"/>
  <c r="T146" i="13"/>
  <c r="AA146" i="13" s="1"/>
  <c r="T133" i="13"/>
  <c r="AA133" i="13" s="1"/>
  <c r="T87" i="13"/>
  <c r="AA87" i="13" s="1"/>
  <c r="T56" i="13"/>
  <c r="AA56" i="13" s="1"/>
  <c r="T211" i="13"/>
  <c r="U211" i="13" s="1"/>
  <c r="T194" i="13"/>
  <c r="AA194" i="13" s="1"/>
  <c r="T182" i="13"/>
  <c r="AA182" i="13" s="1"/>
  <c r="T165" i="13"/>
  <c r="Y165" i="13" s="1"/>
  <c r="T147" i="13"/>
  <c r="AA147" i="13" s="1"/>
  <c r="T134" i="13"/>
  <c r="AA134" i="13" s="1"/>
  <c r="T117" i="13"/>
  <c r="AA117" i="13" s="1"/>
  <c r="T89" i="13"/>
  <c r="T74" i="13"/>
  <c r="T57" i="13"/>
  <c r="AA57" i="13" s="1"/>
  <c r="T44" i="13"/>
  <c r="AA44" i="13" s="1"/>
  <c r="T193" i="13"/>
  <c r="AA193" i="13" s="1"/>
  <c r="T164" i="13"/>
  <c r="T116" i="13"/>
  <c r="AA116" i="13" s="1"/>
  <c r="T73" i="13"/>
  <c r="AA73" i="13" s="1"/>
  <c r="T43" i="13"/>
  <c r="AA43" i="13" s="1"/>
  <c r="T210" i="13"/>
  <c r="T209" i="13"/>
  <c r="U209" i="13" s="1"/>
  <c r="AA209" i="13" s="1"/>
  <c r="T192" i="13"/>
  <c r="AA192" i="13" s="1"/>
  <c r="T180" i="13"/>
  <c r="AA180" i="13" s="1"/>
  <c r="T163" i="13"/>
  <c r="AA163" i="13" s="1"/>
  <c r="T145" i="13"/>
  <c r="T132" i="13"/>
  <c r="AA132" i="13" s="1"/>
  <c r="T86" i="13"/>
  <c r="T72" i="13"/>
  <c r="AA72" i="13" s="1"/>
  <c r="T54" i="13"/>
  <c r="U54" i="13" s="1"/>
  <c r="T42" i="13"/>
  <c r="T91" i="13"/>
  <c r="T208" i="13"/>
  <c r="AA208" i="13" s="1"/>
  <c r="T191" i="13"/>
  <c r="AA191" i="13" s="1"/>
  <c r="T179" i="13"/>
  <c r="AA179" i="13" s="1"/>
  <c r="T162" i="13"/>
  <c r="AA162" i="13" s="1"/>
  <c r="T144" i="13"/>
  <c r="T131" i="13"/>
  <c r="AA131" i="13" s="1"/>
  <c r="T105" i="13"/>
  <c r="AA105" i="13" s="1"/>
  <c r="T85" i="13"/>
  <c r="T71" i="13"/>
  <c r="AA71" i="13" s="1"/>
  <c r="T53" i="13"/>
  <c r="U53" i="13" s="1"/>
  <c r="T136" i="13"/>
  <c r="AA136" i="13" s="1"/>
  <c r="T206" i="13"/>
  <c r="U206" i="13" s="1"/>
  <c r="T190" i="13"/>
  <c r="AA190" i="13" s="1"/>
  <c r="T178" i="13"/>
  <c r="AA178" i="13" s="1"/>
  <c r="T161" i="13"/>
  <c r="AA161" i="13" s="1"/>
  <c r="T142" i="13"/>
  <c r="AA142" i="13" s="1"/>
  <c r="T129" i="13"/>
  <c r="AA129" i="13" s="1"/>
  <c r="T104" i="13"/>
  <c r="AA104" i="13" s="1"/>
  <c r="T84" i="13"/>
  <c r="T52" i="13"/>
  <c r="U52" i="13" s="1"/>
  <c r="T119" i="13"/>
  <c r="T59" i="13"/>
  <c r="AA59" i="13" s="1"/>
  <c r="T205" i="13"/>
  <c r="U205" i="13" s="1"/>
  <c r="T189" i="13"/>
  <c r="AA189" i="13" s="1"/>
  <c r="T177" i="13"/>
  <c r="AA177" i="13" s="1"/>
  <c r="T160" i="13"/>
  <c r="AA160" i="13" s="1"/>
  <c r="T141" i="13"/>
  <c r="AA141" i="13" s="1"/>
  <c r="T128" i="13"/>
  <c r="AA128" i="13" s="1"/>
  <c r="T102" i="13"/>
  <c r="AA102" i="13" s="1"/>
  <c r="T83" i="13"/>
  <c r="AA83" i="13" s="1"/>
  <c r="T75" i="13"/>
  <c r="T51" i="13"/>
  <c r="T149" i="13"/>
  <c r="AA149" i="13" s="1"/>
  <c r="T203" i="13"/>
  <c r="T188" i="13"/>
  <c r="AA188" i="13" s="1"/>
  <c r="T176" i="13"/>
  <c r="AA176" i="13" s="1"/>
  <c r="T157" i="13"/>
  <c r="AA157" i="13" s="1"/>
  <c r="T140" i="13"/>
  <c r="AA140" i="13" s="1"/>
  <c r="T81" i="13"/>
  <c r="T64" i="13"/>
  <c r="AA64" i="13" s="1"/>
  <c r="T50" i="13"/>
  <c r="U50" i="13" s="1"/>
  <c r="T172" i="13"/>
  <c r="AA172" i="13" s="1"/>
  <c r="T202" i="13"/>
  <c r="T187" i="13"/>
  <c r="AA187" i="13" s="1"/>
  <c r="T175" i="13"/>
  <c r="AA175" i="13" s="1"/>
  <c r="T139" i="13"/>
  <c r="AA139" i="13" s="1"/>
  <c r="T122" i="13"/>
  <c r="AA122" i="13" s="1"/>
  <c r="T94" i="13"/>
  <c r="Y94" i="13" s="1"/>
  <c r="T80" i="13"/>
  <c r="T63" i="13"/>
  <c r="AA63" i="13" s="1"/>
  <c r="T49" i="13"/>
  <c r="U49" i="13" s="1"/>
  <c r="T184" i="13"/>
  <c r="AA184" i="13" s="1"/>
  <c r="T186" i="13"/>
  <c r="AA186" i="13" s="1"/>
  <c r="T174" i="13"/>
  <c r="AA174" i="13" s="1"/>
  <c r="T151" i="13"/>
  <c r="AA151" i="13" s="1"/>
  <c r="T138" i="13"/>
  <c r="AA138" i="13" s="1"/>
  <c r="T121" i="13"/>
  <c r="AA121" i="13" s="1"/>
  <c r="T93" i="13"/>
  <c r="AA93" i="13" s="1"/>
  <c r="T79" i="13"/>
  <c r="AA79" i="13" s="1"/>
  <c r="T61" i="13"/>
  <c r="T48" i="13"/>
  <c r="T204" i="13"/>
  <c r="BC230" i="13"/>
  <c r="T13" i="13"/>
  <c r="AA13" i="13" s="1"/>
  <c r="T27" i="13"/>
  <c r="AA27" i="13" s="1"/>
  <c r="T14" i="13"/>
  <c r="AA14" i="13" s="1"/>
  <c r="T28" i="13"/>
  <c r="T15" i="13"/>
  <c r="AA15" i="13" s="1"/>
  <c r="T29" i="13"/>
  <c r="AA29" i="13" s="1"/>
  <c r="T16" i="13"/>
  <c r="AA16" i="13" s="1"/>
  <c r="T30" i="13"/>
  <c r="AA30" i="13" s="1"/>
  <c r="T26" i="13"/>
  <c r="AA26" i="13" s="1"/>
  <c r="T17" i="13"/>
  <c r="AA17" i="13" s="1"/>
  <c r="T31" i="13"/>
  <c r="T18" i="13"/>
  <c r="AA18" i="13" s="1"/>
  <c r="T32" i="13"/>
  <c r="T22" i="13"/>
  <c r="AA22" i="13" s="1"/>
  <c r="T19" i="13"/>
  <c r="AA19" i="13" s="1"/>
  <c r="T33" i="13"/>
  <c r="T12" i="13"/>
  <c r="AA12" i="13" s="1"/>
  <c r="T20" i="13"/>
  <c r="AA20" i="13" s="1"/>
  <c r="T34" i="13"/>
  <c r="AA34" i="13" s="1"/>
  <c r="T21" i="13"/>
  <c r="AA21" i="13" s="1"/>
  <c r="T35" i="13"/>
  <c r="AA35" i="13" s="1"/>
  <c r="T11" i="13"/>
  <c r="AA11" i="13" s="1"/>
  <c r="T25" i="13"/>
  <c r="AA25" i="13" s="1"/>
  <c r="BQ298" i="13"/>
  <c r="AB40" i="11" s="1"/>
  <c r="BC241" i="13"/>
  <c r="BB241" i="13"/>
  <c r="BA241" i="13"/>
  <c r="AY241" i="13"/>
  <c r="AZ241" i="13"/>
  <c r="AY242" i="13"/>
  <c r="BC242" i="13"/>
  <c r="BB242" i="13"/>
  <c r="BA242" i="13"/>
  <c r="AZ242" i="13"/>
  <c r="T233" i="13"/>
  <c r="AZ248" i="13"/>
  <c r="AY248" i="13"/>
  <c r="BA248" i="13"/>
  <c r="BC247" i="13"/>
  <c r="T248" i="13"/>
  <c r="AB248" i="13" s="1"/>
  <c r="BB247" i="13"/>
  <c r="BC245" i="13"/>
  <c r="BB245" i="13"/>
  <c r="BA245" i="13"/>
  <c r="BB248" i="13"/>
  <c r="AZ245" i="13"/>
  <c r="BA247" i="13"/>
  <c r="AZ247" i="13"/>
  <c r="AY247" i="13"/>
  <c r="BC248" i="13"/>
  <c r="AY245" i="13"/>
  <c r="BB243" i="13"/>
  <c r="AZ240" i="13"/>
  <c r="BA243" i="13"/>
  <c r="AY240" i="13"/>
  <c r="AZ243" i="13"/>
  <c r="BC239" i="13"/>
  <c r="AY243" i="13"/>
  <c r="BB239" i="13"/>
  <c r="BA244" i="13"/>
  <c r="BA240" i="13"/>
  <c r="BA239" i="13"/>
  <c r="AZ239" i="13"/>
  <c r="BC244" i="13"/>
  <c r="AY239" i="13"/>
  <c r="BB244" i="13"/>
  <c r="BC243" i="13"/>
  <c r="AZ244" i="13"/>
  <c r="BC240" i="13"/>
  <c r="AY244" i="13"/>
  <c r="BB240" i="13"/>
  <c r="T216" i="13"/>
  <c r="AY238" i="13"/>
  <c r="BC238" i="13"/>
  <c r="T238" i="13"/>
  <c r="AB238" i="13" s="1"/>
  <c r="F120" i="5" s="1"/>
  <c r="BB238" i="13"/>
  <c r="BA238" i="13"/>
  <c r="AZ238" i="13"/>
  <c r="I233" i="13"/>
  <c r="I112" i="13"/>
  <c r="I125" i="13"/>
  <c r="I154" i="13"/>
  <c r="I199" i="13"/>
  <c r="I99" i="13"/>
  <c r="I216" i="13"/>
  <c r="I68" i="13"/>
  <c r="I168" i="13"/>
  <c r="F199" i="13"/>
  <c r="T226" i="13" s="1"/>
  <c r="AA226" i="13" s="1"/>
  <c r="F154" i="13"/>
  <c r="T156" i="13" s="1"/>
  <c r="AA156" i="13" s="1"/>
  <c r="F112" i="13"/>
  <c r="T114" i="13" s="1"/>
  <c r="F233" i="13"/>
  <c r="T234" i="13" s="1"/>
  <c r="AB234" i="13" s="1"/>
  <c r="F168" i="13"/>
  <c r="T247" i="13" s="1"/>
  <c r="AB247" i="13" s="1"/>
  <c r="F68" i="13"/>
  <c r="T70" i="13" s="1"/>
  <c r="AA70" i="13" s="1"/>
  <c r="F216" i="13"/>
  <c r="F99" i="13"/>
  <c r="T101" i="13" s="1"/>
  <c r="AA101" i="13" s="1"/>
  <c r="F125" i="13"/>
  <c r="T127" i="13" s="1"/>
  <c r="AA127" i="13" s="1"/>
  <c r="G154" i="13"/>
  <c r="G233" i="13"/>
  <c r="G168" i="13"/>
  <c r="G125" i="13"/>
  <c r="G216" i="13"/>
  <c r="G99" i="13"/>
  <c r="G112" i="13"/>
  <c r="G199" i="13"/>
  <c r="G68" i="13"/>
  <c r="R233" i="13"/>
  <c r="R199" i="13"/>
  <c r="R216" i="13"/>
  <c r="R154" i="13"/>
  <c r="R168" i="13"/>
  <c r="R125" i="13"/>
  <c r="R112" i="13"/>
  <c r="R99" i="13"/>
  <c r="R68" i="13"/>
  <c r="H68" i="13"/>
  <c r="H233" i="13"/>
  <c r="H199" i="13"/>
  <c r="H216" i="13"/>
  <c r="H154" i="13"/>
  <c r="H168" i="13"/>
  <c r="H125" i="13"/>
  <c r="T126" i="13" s="1"/>
  <c r="AA126" i="13" s="1"/>
  <c r="H112" i="13"/>
  <c r="H99" i="13"/>
  <c r="R258" i="13"/>
  <c r="I258" i="13"/>
  <c r="H258" i="13"/>
  <c r="G258" i="13"/>
  <c r="BA237" i="13"/>
  <c r="BC228" i="13"/>
  <c r="BC229" i="13"/>
  <c r="BC227" i="13"/>
  <c r="BC226" i="13"/>
  <c r="T228" i="13"/>
  <c r="AA228" i="13" s="1"/>
  <c r="T130" i="13"/>
  <c r="AA130" i="13" s="1"/>
  <c r="D79" i="16"/>
  <c r="AJ8" i="5"/>
  <c r="T9" i="13"/>
  <c r="T68" i="13"/>
  <c r="BA236" i="13"/>
  <c r="T125" i="13"/>
  <c r="AY8" i="13"/>
  <c r="AY236" i="13"/>
  <c r="T199" i="13"/>
  <c r="BC236" i="13"/>
  <c r="AZ236" i="13"/>
  <c r="T112" i="13"/>
  <c r="BC237" i="13"/>
  <c r="AZ237" i="13"/>
  <c r="AY237" i="13"/>
  <c r="T168" i="13"/>
  <c r="T99" i="13"/>
  <c r="BD126" i="13"/>
  <c r="BB236" i="13"/>
  <c r="BD39" i="13"/>
  <c r="T154" i="13"/>
  <c r="T38" i="13"/>
  <c r="BB237" i="13"/>
  <c r="BC225" i="13"/>
  <c r="BY103" i="13"/>
  <c r="BX187" i="13"/>
  <c r="BX103" i="13"/>
  <c r="T10" i="13"/>
  <c r="AA10" i="13" s="1"/>
  <c r="T110" i="13"/>
  <c r="D49" i="16" s="1"/>
  <c r="BC219" i="13"/>
  <c r="BC223" i="13"/>
  <c r="BC217" i="13"/>
  <c r="BC204" i="13"/>
  <c r="BD204" i="13" s="1"/>
  <c r="T220" i="13"/>
  <c r="Y220" i="13" s="1"/>
  <c r="AA220" i="13" s="1"/>
  <c r="BC222" i="13"/>
  <c r="BC211" i="13"/>
  <c r="BC200" i="13"/>
  <c r="BC221" i="13"/>
  <c r="BC220" i="13"/>
  <c r="BC208" i="13"/>
  <c r="BJ121" i="13"/>
  <c r="BK121" i="13" s="1"/>
  <c r="W114" i="5" s="1"/>
  <c r="W113" i="21" s="1"/>
  <c r="BC224" i="13"/>
  <c r="BC218" i="13"/>
  <c r="BC207" i="13"/>
  <c r="T214" i="13"/>
  <c r="D91" i="16" s="1"/>
  <c r="D88" i="16"/>
  <c r="BJ100" i="13"/>
  <c r="BK100" i="13" s="1"/>
  <c r="W96" i="5" s="1"/>
  <c r="D38" i="16"/>
  <c r="D32" i="16"/>
  <c r="D20" i="16"/>
  <c r="H38" i="13"/>
  <c r="T36" i="13"/>
  <c r="D14" i="16" s="1"/>
  <c r="T66" i="13"/>
  <c r="D26" i="16" s="1"/>
  <c r="T231" i="13"/>
  <c r="D107" i="16" s="1"/>
  <c r="T252" i="13"/>
  <c r="AB252" i="13" s="1"/>
  <c r="T218" i="13"/>
  <c r="AA218" i="13" s="1"/>
  <c r="G38" i="13"/>
  <c r="T224" i="13"/>
  <c r="AA224" i="13" s="1"/>
  <c r="T115" i="13"/>
  <c r="AA115" i="13" s="1"/>
  <c r="D47" i="16"/>
  <c r="T103" i="13"/>
  <c r="AA103" i="13" s="1"/>
  <c r="F38" i="13"/>
  <c r="T39" i="13" s="1"/>
  <c r="AA39" i="13" s="1"/>
  <c r="T197" i="13"/>
  <c r="D83" i="16" s="1"/>
  <c r="T69" i="13"/>
  <c r="AA69" i="13" s="1"/>
  <c r="T223" i="13"/>
  <c r="AA223" i="13" s="1"/>
  <c r="D25" i="16"/>
  <c r="T222" i="13"/>
  <c r="D45" i="16"/>
  <c r="T221" i="13"/>
  <c r="BX46" i="13"/>
  <c r="I38" i="13"/>
  <c r="BY121" i="13"/>
  <c r="D69" i="16"/>
  <c r="T171" i="13"/>
  <c r="AA171" i="13" s="1"/>
  <c r="R38" i="13"/>
  <c r="F72" i="5" l="1"/>
  <c r="F72" i="21" s="1"/>
  <c r="AK256" i="13"/>
  <c r="BT256" i="13" s="1"/>
  <c r="AJ256" i="13"/>
  <c r="BS256" i="13" s="1"/>
  <c r="AI256" i="13"/>
  <c r="BR256" i="13" s="1"/>
  <c r="Y91" i="13"/>
  <c r="F40" i="5"/>
  <c r="AJ235" i="13"/>
  <c r="BG235" i="13" s="1"/>
  <c r="BH235" i="13" s="1"/>
  <c r="P40" i="5" s="1"/>
  <c r="AI235" i="13"/>
  <c r="BD235" i="13" s="1"/>
  <c r="BE235" i="13" s="1"/>
  <c r="I40" i="5" s="1"/>
  <c r="AK235" i="13"/>
  <c r="BJ235" i="13" s="1"/>
  <c r="BK235" i="13" s="1"/>
  <c r="W40" i="5" s="1"/>
  <c r="D189" i="21"/>
  <c r="C190" i="5"/>
  <c r="C191" i="5"/>
  <c r="D191" i="21" s="1"/>
  <c r="C90" i="5"/>
  <c r="D89" i="21"/>
  <c r="C60" i="5"/>
  <c r="D59" i="21"/>
  <c r="E214" i="21"/>
  <c r="AJ104" i="13"/>
  <c r="AI104" i="13"/>
  <c r="AK104" i="13"/>
  <c r="U51" i="13"/>
  <c r="AA51" i="13" s="1"/>
  <c r="AI255" i="13"/>
  <c r="AJ255" i="13"/>
  <c r="AK255" i="13"/>
  <c r="F70" i="5"/>
  <c r="AC70" i="5" s="1"/>
  <c r="AK253" i="13"/>
  <c r="AI253" i="13"/>
  <c r="AJ253" i="13"/>
  <c r="E213" i="21"/>
  <c r="W96" i="21"/>
  <c r="W97" i="21"/>
  <c r="U145" i="13"/>
  <c r="AB210" i="21"/>
  <c r="AA49" i="13"/>
  <c r="AB49" i="13" s="1"/>
  <c r="U48" i="13"/>
  <c r="U212" i="13"/>
  <c r="U213" i="13" s="1"/>
  <c r="AA211" i="13"/>
  <c r="AJ234" i="13"/>
  <c r="AI234" i="13"/>
  <c r="AK234" i="13"/>
  <c r="BJ234" i="13" s="1"/>
  <c r="AJ248" i="13"/>
  <c r="AI248" i="13"/>
  <c r="AK248" i="13"/>
  <c r="AI249" i="13"/>
  <c r="AK249" i="13"/>
  <c r="AJ249" i="13"/>
  <c r="AI246" i="13"/>
  <c r="AK246" i="13"/>
  <c r="AJ246" i="13"/>
  <c r="AI238" i="13"/>
  <c r="AK238" i="13"/>
  <c r="AJ238" i="13"/>
  <c r="AK247" i="13"/>
  <c r="AJ247" i="13"/>
  <c r="AI247" i="13"/>
  <c r="AJ252" i="13"/>
  <c r="AI252" i="13"/>
  <c r="K79" i="11" s="1"/>
  <c r="AK252" i="13"/>
  <c r="AI251" i="13"/>
  <c r="AK251" i="13"/>
  <c r="BJ251" i="13" s="1"/>
  <c r="AJ251" i="13"/>
  <c r="U210" i="13"/>
  <c r="AA210" i="13" s="1"/>
  <c r="U80" i="13"/>
  <c r="U81" i="13" s="1"/>
  <c r="F154" i="5"/>
  <c r="Y77" i="13"/>
  <c r="D7" i="16"/>
  <c r="Y31" i="13"/>
  <c r="AA31" i="13" s="1"/>
  <c r="AB31" i="13" s="1"/>
  <c r="Y58" i="13"/>
  <c r="AA58" i="13" s="1"/>
  <c r="AB58" i="13" s="1"/>
  <c r="Y221" i="13"/>
  <c r="AA221" i="13" s="1"/>
  <c r="AB221" i="13" s="1"/>
  <c r="I28" i="3" s="1"/>
  <c r="Y76" i="13"/>
  <c r="AA76" i="13" s="1"/>
  <c r="AB76" i="13" s="1"/>
  <c r="Y61" i="13"/>
  <c r="AA61" i="13" s="1"/>
  <c r="AB61" i="13" s="1"/>
  <c r="Y206" i="13"/>
  <c r="AA206" i="13" s="1"/>
  <c r="U91" i="13"/>
  <c r="Y60" i="13"/>
  <c r="AA60" i="13" s="1"/>
  <c r="AB60" i="13" s="1"/>
  <c r="D101" i="16"/>
  <c r="AB224" i="13"/>
  <c r="AJ224" i="13" s="1"/>
  <c r="D97" i="16"/>
  <c r="Y114" i="13"/>
  <c r="Y205" i="13"/>
  <c r="Y42" i="13"/>
  <c r="AA42" i="13" s="1"/>
  <c r="AB42" i="13" s="1"/>
  <c r="Y78" i="13"/>
  <c r="AA78" i="13" s="1"/>
  <c r="AB78" i="13" s="1"/>
  <c r="Y203" i="13"/>
  <c r="Y53" i="13"/>
  <c r="AA53" i="13" s="1"/>
  <c r="AB53" i="13" s="1"/>
  <c r="Y54" i="13"/>
  <c r="AA54" i="13" s="1"/>
  <c r="AB54" i="13" s="1"/>
  <c r="U92" i="13"/>
  <c r="D95" i="16"/>
  <c r="Y33" i="13"/>
  <c r="AA33" i="13" s="1"/>
  <c r="AB33" i="13" s="1"/>
  <c r="Y28" i="13"/>
  <c r="AA28" i="13" s="1"/>
  <c r="AB28" i="13" s="1"/>
  <c r="Y119" i="13"/>
  <c r="AA119" i="13" s="1"/>
  <c r="AB119" i="13" s="1"/>
  <c r="D17" i="16"/>
  <c r="D100" i="16"/>
  <c r="Y52" i="13"/>
  <c r="AA52" i="13" s="1"/>
  <c r="AB52" i="13" s="1"/>
  <c r="Y85" i="13"/>
  <c r="AA85" i="13" s="1"/>
  <c r="AB85" i="13" s="1"/>
  <c r="D99" i="16"/>
  <c r="Y222" i="13"/>
  <c r="AA222" i="13" s="1"/>
  <c r="AB222" i="13" s="1"/>
  <c r="AK222" i="13" s="1"/>
  <c r="Y202" i="13"/>
  <c r="Y84" i="13"/>
  <c r="D59" i="16"/>
  <c r="Y32" i="13"/>
  <c r="AA32" i="13" s="1"/>
  <c r="AB32" i="13" s="1"/>
  <c r="Y212" i="13"/>
  <c r="D29" i="16"/>
  <c r="Y50" i="13"/>
  <c r="AA50" i="13" s="1"/>
  <c r="AB50" i="13" s="1"/>
  <c r="Y74" i="13"/>
  <c r="AA74" i="13" s="1"/>
  <c r="AB74" i="13" s="1"/>
  <c r="Y213" i="13"/>
  <c r="AB184" i="13"/>
  <c r="AB64" i="13"/>
  <c r="AB142" i="13"/>
  <c r="AB181" i="13"/>
  <c r="AB195" i="13"/>
  <c r="AB163" i="13"/>
  <c r="AB161" i="13"/>
  <c r="AB40" i="13"/>
  <c r="AB190" i="13"/>
  <c r="AB147" i="13"/>
  <c r="AB47" i="13"/>
  <c r="AB146" i="13"/>
  <c r="AB70" i="13"/>
  <c r="AB140" i="13"/>
  <c r="F133" i="5" s="1"/>
  <c r="AB23" i="13"/>
  <c r="AB102" i="13"/>
  <c r="AB191" i="13"/>
  <c r="AB122" i="13"/>
  <c r="AB188" i="13"/>
  <c r="AB136" i="13"/>
  <c r="AB73" i="13"/>
  <c r="AB182" i="13"/>
  <c r="AB118" i="13"/>
  <c r="AB156" i="13"/>
  <c r="F150" i="5" s="1"/>
  <c r="AC150" i="5" s="1"/>
  <c r="AB116" i="13"/>
  <c r="AB194" i="13"/>
  <c r="AB149" i="13"/>
  <c r="AB71" i="13"/>
  <c r="AI71" i="13" s="1"/>
  <c r="AB72" i="13"/>
  <c r="AB193" i="13"/>
  <c r="AB143" i="13"/>
  <c r="AB151" i="13"/>
  <c r="AB105" i="13"/>
  <c r="AB132" i="13"/>
  <c r="AB87" i="13"/>
  <c r="AB150" i="13"/>
  <c r="F144" i="5" s="1"/>
  <c r="AB174" i="13"/>
  <c r="AB131" i="13"/>
  <c r="AI131" i="13" s="1"/>
  <c r="AB57" i="13"/>
  <c r="AB133" i="13"/>
  <c r="F257" i="5"/>
  <c r="F166" i="5"/>
  <c r="U165" i="13"/>
  <c r="F39" i="5"/>
  <c r="T113" i="13"/>
  <c r="AA113" i="13" s="1"/>
  <c r="AB88" i="13"/>
  <c r="U89" i="13"/>
  <c r="AB209" i="13"/>
  <c r="D90" i="16"/>
  <c r="AB24" i="13"/>
  <c r="D21" i="16"/>
  <c r="D24" i="16"/>
  <c r="T170" i="13"/>
  <c r="AA170" i="13" s="1"/>
  <c r="T41" i="13"/>
  <c r="AA41" i="13" s="1"/>
  <c r="T201" i="13"/>
  <c r="U201" i="13" s="1"/>
  <c r="U203" i="13" s="1"/>
  <c r="F198" i="5"/>
  <c r="D89" i="16"/>
  <c r="T200" i="13"/>
  <c r="AA200" i="13" s="1"/>
  <c r="D9" i="16"/>
  <c r="D61" i="16"/>
  <c r="D22" i="16"/>
  <c r="AB15" i="13"/>
  <c r="BD83" i="13"/>
  <c r="BE83" i="13" s="1"/>
  <c r="I81" i="5" s="1"/>
  <c r="BG83" i="13"/>
  <c r="BH83" i="13" s="1"/>
  <c r="P81" i="5" s="1"/>
  <c r="BJ83" i="13"/>
  <c r="BK83" i="13" s="1"/>
  <c r="W81" i="5" s="1"/>
  <c r="BG86" i="13"/>
  <c r="BH86" i="13" s="1"/>
  <c r="P84" i="5" s="1"/>
  <c r="BJ86" i="13"/>
  <c r="BK86" i="13" s="1"/>
  <c r="W84" i="5" s="1"/>
  <c r="BD86" i="13"/>
  <c r="BE86" i="13" s="1"/>
  <c r="I84" i="5" s="1"/>
  <c r="D44" i="16"/>
  <c r="BG103" i="13"/>
  <c r="BH103" i="13" s="1"/>
  <c r="P99" i="5" s="1"/>
  <c r="BJ103" i="13"/>
  <c r="BK103" i="13" s="1"/>
  <c r="W99" i="5" s="1"/>
  <c r="BD103" i="13"/>
  <c r="BE103" i="13" s="1"/>
  <c r="I99" i="5" s="1"/>
  <c r="BG95" i="13"/>
  <c r="BH95" i="13" s="1"/>
  <c r="BJ95" i="13"/>
  <c r="BK95" i="13" s="1"/>
  <c r="BD95" i="13"/>
  <c r="BE95" i="13" s="1"/>
  <c r="BG55" i="13"/>
  <c r="BH55" i="13" s="1"/>
  <c r="BJ55" i="13"/>
  <c r="BK55" i="13" s="1"/>
  <c r="BD55" i="13"/>
  <c r="BE55" i="13" s="1"/>
  <c r="BG117" i="13"/>
  <c r="BH117" i="13" s="1"/>
  <c r="P110" i="5" s="1"/>
  <c r="P110" i="21" s="1"/>
  <c r="BJ117" i="13"/>
  <c r="BK117" i="13" s="1"/>
  <c r="W110" i="5" s="1"/>
  <c r="W110" i="21" s="1"/>
  <c r="BD117" i="13"/>
  <c r="BE117" i="13" s="1"/>
  <c r="I110" i="5" s="1"/>
  <c r="I110" i="21" s="1"/>
  <c r="BG138" i="13"/>
  <c r="BH138" i="13" s="1"/>
  <c r="P131" i="5" s="1"/>
  <c r="BD138" i="13"/>
  <c r="BE138" i="13" s="1"/>
  <c r="I131" i="5" s="1"/>
  <c r="BJ138" i="13"/>
  <c r="BK138" i="13" s="1"/>
  <c r="W131" i="5" s="1"/>
  <c r="AB25" i="13"/>
  <c r="AB177" i="13"/>
  <c r="AB44" i="13"/>
  <c r="BD82" i="13"/>
  <c r="BE82" i="13" s="1"/>
  <c r="BG82" i="13"/>
  <c r="BH82" i="13" s="1"/>
  <c r="BJ82" i="13"/>
  <c r="BK82" i="13" s="1"/>
  <c r="D76" i="16"/>
  <c r="D53" i="16"/>
  <c r="BJ160" i="13"/>
  <c r="BK160" i="13" s="1"/>
  <c r="W155" i="5" s="1"/>
  <c r="BG160" i="13"/>
  <c r="BH160" i="13" s="1"/>
  <c r="P155" i="5" s="1"/>
  <c r="BD160" i="13"/>
  <c r="BE160" i="13" s="1"/>
  <c r="BG179" i="13"/>
  <c r="BH179" i="13" s="1"/>
  <c r="P175" i="5" s="1"/>
  <c r="BJ179" i="13"/>
  <c r="BK179" i="13" s="1"/>
  <c r="W175" i="5" s="1"/>
  <c r="BD179" i="13"/>
  <c r="BE179" i="13" s="1"/>
  <c r="I175" i="5" s="1"/>
  <c r="AB11" i="13"/>
  <c r="AB17" i="13"/>
  <c r="BJ230" i="13"/>
  <c r="BK230" i="13" s="1"/>
  <c r="W226" i="5" s="1"/>
  <c r="BD230" i="13"/>
  <c r="BE230" i="13" s="1"/>
  <c r="I226" i="5" s="1"/>
  <c r="BG230" i="13"/>
  <c r="BH230" i="13" s="1"/>
  <c r="P226" i="5" s="1"/>
  <c r="AB157" i="13"/>
  <c r="D13" i="16"/>
  <c r="AB35" i="13"/>
  <c r="D10" i="16"/>
  <c r="AB172" i="13"/>
  <c r="AB120" i="13"/>
  <c r="AB128" i="13"/>
  <c r="AB180" i="13"/>
  <c r="F100" i="5"/>
  <c r="AB135" i="13"/>
  <c r="AB45" i="13"/>
  <c r="BG208" i="13"/>
  <c r="BH208" i="13" s="1"/>
  <c r="P204" i="5" s="1"/>
  <c r="P205" i="21" s="1"/>
  <c r="BD208" i="13"/>
  <c r="BE208" i="13" s="1"/>
  <c r="I204" i="5" s="1"/>
  <c r="I205" i="21" s="1"/>
  <c r="BJ208" i="13"/>
  <c r="BK208" i="13" s="1"/>
  <c r="W204" i="5" s="1"/>
  <c r="W205" i="21" s="1"/>
  <c r="AB21" i="13"/>
  <c r="AB186" i="13"/>
  <c r="AB176" i="13"/>
  <c r="BG183" i="13"/>
  <c r="BH183" i="13" s="1"/>
  <c r="P179" i="5" s="1"/>
  <c r="BJ183" i="13"/>
  <c r="BK183" i="13" s="1"/>
  <c r="W179" i="5" s="1"/>
  <c r="BD183" i="13"/>
  <c r="BE183" i="13" s="1"/>
  <c r="I179" i="5" s="1"/>
  <c r="AB230" i="13"/>
  <c r="AK230" i="13" s="1"/>
  <c r="AB137" i="13"/>
  <c r="AB43" i="13"/>
  <c r="AB158" i="13"/>
  <c r="AI158" i="13" s="1"/>
  <c r="BD207" i="13"/>
  <c r="BE207" i="13" s="1"/>
  <c r="BG207" i="13"/>
  <c r="BH207" i="13" s="1"/>
  <c r="BJ207" i="13"/>
  <c r="BK207" i="13" s="1"/>
  <c r="BJ16" i="13"/>
  <c r="BK16" i="13" s="1"/>
  <c r="W17" i="5" s="1"/>
  <c r="W17" i="21" s="1"/>
  <c r="BG16" i="13"/>
  <c r="BH16" i="13" s="1"/>
  <c r="P17" i="5" s="1"/>
  <c r="P17" i="21" s="1"/>
  <c r="BD16" i="13"/>
  <c r="BE16" i="13" s="1"/>
  <c r="I17" i="5" s="1"/>
  <c r="I17" i="21" s="1"/>
  <c r="BJ79" i="13"/>
  <c r="BK79" i="13" s="1"/>
  <c r="W78" i="5" s="1"/>
  <c r="W79" i="21" s="1"/>
  <c r="BD79" i="13"/>
  <c r="BE79" i="13" s="1"/>
  <c r="I78" i="5" s="1"/>
  <c r="BG79" i="13"/>
  <c r="BH79" i="13" s="1"/>
  <c r="P78" i="5" s="1"/>
  <c r="BG63" i="13"/>
  <c r="BH63" i="13" s="1"/>
  <c r="P61" i="5" s="1"/>
  <c r="BD63" i="13"/>
  <c r="BE63" i="13" s="1"/>
  <c r="BJ63" i="13"/>
  <c r="BK63" i="13" s="1"/>
  <c r="W61" i="5" s="1"/>
  <c r="BD19" i="13"/>
  <c r="BE19" i="13" s="1"/>
  <c r="BG19" i="13"/>
  <c r="BH19" i="13" s="1"/>
  <c r="P20" i="5" s="1"/>
  <c r="P20" i="21" s="1"/>
  <c r="BJ19" i="13"/>
  <c r="BK19" i="13" s="1"/>
  <c r="W20" i="5" s="1"/>
  <c r="BG134" i="13"/>
  <c r="BH134" i="13" s="1"/>
  <c r="P127" i="5" s="1"/>
  <c r="BJ134" i="13"/>
  <c r="BK134" i="13" s="1"/>
  <c r="W127" i="5" s="1"/>
  <c r="BD134" i="13"/>
  <c r="BE134" i="13" s="1"/>
  <c r="I127" i="5" s="1"/>
  <c r="AB14" i="13"/>
  <c r="BJ122" i="13"/>
  <c r="BK122" i="13" s="1"/>
  <c r="W115" i="5" s="1"/>
  <c r="BD122" i="13"/>
  <c r="BE122" i="13" s="1"/>
  <c r="I115" i="5" s="1"/>
  <c r="BG122" i="13"/>
  <c r="BH122" i="13" s="1"/>
  <c r="P115" i="5" s="1"/>
  <c r="AB173" i="13"/>
  <c r="AB185" i="13"/>
  <c r="AB141" i="13"/>
  <c r="D11" i="16"/>
  <c r="D12" i="16"/>
  <c r="AB12" i="13"/>
  <c r="BG30" i="13"/>
  <c r="BH30" i="13" s="1"/>
  <c r="P31" i="5" s="1"/>
  <c r="P31" i="21" s="1"/>
  <c r="BJ30" i="13"/>
  <c r="BK30" i="13" s="1"/>
  <c r="W31" i="5" s="1"/>
  <c r="W31" i="21" s="1"/>
  <c r="BD30" i="13"/>
  <c r="BE30" i="13" s="1"/>
  <c r="BG175" i="13"/>
  <c r="BH175" i="13" s="1"/>
  <c r="P171" i="5" s="1"/>
  <c r="BJ175" i="13"/>
  <c r="BK175" i="13" s="1"/>
  <c r="W171" i="5" s="1"/>
  <c r="BD175" i="13"/>
  <c r="BE175" i="13" s="1"/>
  <c r="I171" i="5" s="1"/>
  <c r="BG59" i="13"/>
  <c r="BH59" i="13" s="1"/>
  <c r="P58" i="5" s="1"/>
  <c r="BD59" i="13"/>
  <c r="BE59" i="13" s="1"/>
  <c r="BJ59" i="13"/>
  <c r="BK59" i="13" s="1"/>
  <c r="W58" i="5" s="1"/>
  <c r="BG90" i="13"/>
  <c r="BH90" i="13" s="1"/>
  <c r="P88" i="5" s="1"/>
  <c r="P88" i="21" s="1"/>
  <c r="BJ90" i="13"/>
  <c r="BK90" i="13" s="1"/>
  <c r="W88" i="5" s="1"/>
  <c r="W88" i="21" s="1"/>
  <c r="BD90" i="13"/>
  <c r="BE90" i="13" s="1"/>
  <c r="I88" i="5" s="1"/>
  <c r="I88" i="21" s="1"/>
  <c r="BD56" i="13"/>
  <c r="BE56" i="13" s="1"/>
  <c r="I55" i="5" s="1"/>
  <c r="I55" i="21" s="1"/>
  <c r="BG56" i="13"/>
  <c r="BH56" i="13" s="1"/>
  <c r="P55" i="5" s="1"/>
  <c r="P55" i="21" s="1"/>
  <c r="BJ56" i="13"/>
  <c r="BK56" i="13" s="1"/>
  <c r="W55" i="5" s="1"/>
  <c r="W55" i="21" s="1"/>
  <c r="BD35" i="13"/>
  <c r="BE35" i="13" s="1"/>
  <c r="BG35" i="13"/>
  <c r="BH35" i="13" s="1"/>
  <c r="BJ35" i="13"/>
  <c r="BK35" i="13" s="1"/>
  <c r="BJ189" i="13"/>
  <c r="BK189" i="13" s="1"/>
  <c r="W185" i="5" s="1"/>
  <c r="BD189" i="13"/>
  <c r="BE189" i="13" s="1"/>
  <c r="I185" i="5" s="1"/>
  <c r="BG189" i="13"/>
  <c r="BH189" i="13" s="1"/>
  <c r="P185" i="5" s="1"/>
  <c r="AB22" i="13"/>
  <c r="AB27" i="13"/>
  <c r="BJ148" i="13"/>
  <c r="BK148" i="13" s="1"/>
  <c r="W142" i="5" s="1"/>
  <c r="BG148" i="13"/>
  <c r="BH148" i="13" s="1"/>
  <c r="P142" i="5" s="1"/>
  <c r="BD148" i="13"/>
  <c r="BE148" i="13" s="1"/>
  <c r="AB101" i="13"/>
  <c r="BG62" i="13"/>
  <c r="BH62" i="13" s="1"/>
  <c r="BJ62" i="13"/>
  <c r="BK62" i="13" s="1"/>
  <c r="BD62" i="13"/>
  <c r="BE62" i="13" s="1"/>
  <c r="AB29" i="13"/>
  <c r="AB13" i="13"/>
  <c r="BJ165" i="13"/>
  <c r="BK165" i="13" s="1"/>
  <c r="W160" i="5" s="1"/>
  <c r="BD165" i="13"/>
  <c r="BE165" i="13" s="1"/>
  <c r="I160" i="5" s="1"/>
  <c r="BG165" i="13"/>
  <c r="BH165" i="13" s="1"/>
  <c r="P160" i="5" s="1"/>
  <c r="AB129" i="13"/>
  <c r="BG51" i="13"/>
  <c r="BH51" i="13" s="1"/>
  <c r="P51" i="5" s="1"/>
  <c r="BD51" i="13"/>
  <c r="BE51" i="13" s="1"/>
  <c r="BJ51" i="13"/>
  <c r="BK51" i="13" s="1"/>
  <c r="W51" i="5" s="1"/>
  <c r="BG144" i="13"/>
  <c r="BH144" i="13" s="1"/>
  <c r="P137" i="5" s="1"/>
  <c r="BJ144" i="13"/>
  <c r="BK144" i="13" s="1"/>
  <c r="W137" i="5" s="1"/>
  <c r="BD144" i="13"/>
  <c r="BE144" i="13" s="1"/>
  <c r="I137" i="5" s="1"/>
  <c r="BG34" i="13"/>
  <c r="BH34" i="13" s="1"/>
  <c r="BJ34" i="13"/>
  <c r="BK34" i="13" s="1"/>
  <c r="BD34" i="13"/>
  <c r="BE34" i="13" s="1"/>
  <c r="AB20" i="13"/>
  <c r="BD93" i="13"/>
  <c r="BE93" i="13" s="1"/>
  <c r="I91" i="5" s="1"/>
  <c r="BG93" i="13"/>
  <c r="BH93" i="13" s="1"/>
  <c r="P91" i="5" s="1"/>
  <c r="BJ93" i="13"/>
  <c r="BK93" i="13" s="1"/>
  <c r="W91" i="5" s="1"/>
  <c r="AB18" i="13"/>
  <c r="AB139" i="13"/>
  <c r="AB127" i="13"/>
  <c r="AB196" i="13"/>
  <c r="AB178" i="13"/>
  <c r="BE204" i="13"/>
  <c r="I201" i="5" s="1"/>
  <c r="I202" i="21" s="1"/>
  <c r="BE126" i="13"/>
  <c r="I119" i="5" s="1"/>
  <c r="BE39" i="13"/>
  <c r="I38" i="5" s="1"/>
  <c r="I38" i="21" s="1"/>
  <c r="F259" i="5"/>
  <c r="AC259" i="5" s="1"/>
  <c r="F186" i="5"/>
  <c r="F260" i="5"/>
  <c r="F189" i="5"/>
  <c r="F246" i="5"/>
  <c r="T229" i="13"/>
  <c r="AA229" i="13" s="1"/>
  <c r="T227" i="13"/>
  <c r="AA227" i="13" s="1"/>
  <c r="T225" i="13"/>
  <c r="AA225" i="13" s="1"/>
  <c r="T243" i="13"/>
  <c r="AB243" i="13" s="1"/>
  <c r="F172" i="5" s="1"/>
  <c r="AC172" i="5" s="1"/>
  <c r="T239" i="13"/>
  <c r="AB239" i="13" s="1"/>
  <c r="D63" i="16"/>
  <c r="T245" i="13"/>
  <c r="AB245" i="13" s="1"/>
  <c r="T244" i="13"/>
  <c r="AB244" i="13" s="1"/>
  <c r="T242" i="13"/>
  <c r="AB242" i="13" s="1"/>
  <c r="T240" i="13"/>
  <c r="AB240" i="13" s="1"/>
  <c r="D80" i="16"/>
  <c r="T237" i="13"/>
  <c r="AB237" i="13" s="1"/>
  <c r="T241" i="13"/>
  <c r="AB241" i="13" s="1"/>
  <c r="T236" i="13"/>
  <c r="T100" i="13"/>
  <c r="AA100" i="13" s="1"/>
  <c r="T152" i="13"/>
  <c r="D65" i="16" s="1"/>
  <c r="D62" i="16"/>
  <c r="AB228" i="13"/>
  <c r="AI228" i="13" s="1"/>
  <c r="D105" i="16"/>
  <c r="F105" i="16" s="1"/>
  <c r="AB226" i="13"/>
  <c r="AI226" i="13" s="1"/>
  <c r="D103" i="16"/>
  <c r="F103" i="16" s="1"/>
  <c r="D77" i="16"/>
  <c r="D82" i="16"/>
  <c r="D81" i="16"/>
  <c r="D60" i="16"/>
  <c r="D64" i="16"/>
  <c r="BJ130" i="13"/>
  <c r="BK130" i="13" s="1"/>
  <c r="W123" i="5" s="1"/>
  <c r="BG130" i="13"/>
  <c r="BH130" i="13" s="1"/>
  <c r="P123" i="5" s="1"/>
  <c r="BD130" i="13"/>
  <c r="BD192" i="13"/>
  <c r="BG192" i="13"/>
  <c r="BH192" i="13" s="1"/>
  <c r="P188" i="5" s="1"/>
  <c r="P188" i="21" s="1"/>
  <c r="BJ192" i="13"/>
  <c r="BK192" i="13" s="1"/>
  <c r="W188" i="5" s="1"/>
  <c r="W188" i="21" s="1"/>
  <c r="BY108" i="13"/>
  <c r="T219" i="13"/>
  <c r="T169" i="13"/>
  <c r="AA169" i="13" s="1"/>
  <c r="T217" i="13"/>
  <c r="AA217" i="13" s="1"/>
  <c r="T155" i="13"/>
  <c r="AA155" i="13" s="1"/>
  <c r="BG39" i="13"/>
  <c r="BH39" i="13" s="1"/>
  <c r="P38" i="5" s="1"/>
  <c r="P38" i="21" s="1"/>
  <c r="AR74" i="5"/>
  <c r="AR38" i="5"/>
  <c r="BY5" i="13"/>
  <c r="AS74" i="5"/>
  <c r="AV38" i="5"/>
  <c r="AW74" i="5"/>
  <c r="AW38" i="5"/>
  <c r="AT74" i="5"/>
  <c r="AX74" i="5"/>
  <c r="AT38" i="5"/>
  <c r="AU74" i="5"/>
  <c r="AU38" i="5"/>
  <c r="AS38" i="5"/>
  <c r="AX38" i="5"/>
  <c r="AV74" i="5"/>
  <c r="BJ39" i="13"/>
  <c r="BK39" i="13" s="1"/>
  <c r="W38" i="5" s="1"/>
  <c r="W38" i="21" s="1"/>
  <c r="BX121" i="13"/>
  <c r="CA121" i="13" s="1"/>
  <c r="BY187" i="13"/>
  <c r="BX62" i="13"/>
  <c r="BZ62" i="13" s="1"/>
  <c r="BY90" i="13"/>
  <c r="BX159" i="13"/>
  <c r="BZ159" i="13" s="1"/>
  <c r="BY159" i="13"/>
  <c r="BX109" i="13"/>
  <c r="BZ109" i="13" s="1"/>
  <c r="BY109" i="13"/>
  <c r="BX108" i="13"/>
  <c r="CA108" i="13" s="1"/>
  <c r="BY62" i="13"/>
  <c r="BX90" i="13"/>
  <c r="CC90" i="13" s="1"/>
  <c r="BX83" i="13"/>
  <c r="CC83" i="13" s="1"/>
  <c r="BX208" i="13"/>
  <c r="CC208" i="13" s="1"/>
  <c r="BY79" i="13"/>
  <c r="BX160" i="13"/>
  <c r="CA160" i="13" s="1"/>
  <c r="BY164" i="13"/>
  <c r="BY208" i="13"/>
  <c r="BX164" i="13"/>
  <c r="CC164" i="13" s="1"/>
  <c r="BX95" i="13"/>
  <c r="BZ95" i="13" s="1"/>
  <c r="BY138" i="13"/>
  <c r="BX115" i="13"/>
  <c r="CC115" i="13" s="1"/>
  <c r="BX55" i="13"/>
  <c r="BZ55" i="13" s="1"/>
  <c r="CG55" i="13" s="1"/>
  <c r="BY115" i="13"/>
  <c r="BY86" i="13"/>
  <c r="BX211" i="13"/>
  <c r="BZ211" i="13" s="1"/>
  <c r="CG211" i="13" s="1"/>
  <c r="BY55" i="13"/>
  <c r="BX86" i="13"/>
  <c r="BZ86" i="13" s="1"/>
  <c r="BY160" i="13"/>
  <c r="BY83" i="13"/>
  <c r="BY95" i="13"/>
  <c r="BX138" i="13"/>
  <c r="BZ138" i="13" s="1"/>
  <c r="CG138" i="13" s="1"/>
  <c r="BX79" i="13"/>
  <c r="BZ79" i="13" s="1"/>
  <c r="BY211" i="13"/>
  <c r="BX207" i="13"/>
  <c r="BZ207" i="13" s="1"/>
  <c r="BX93" i="13"/>
  <c r="CC93" i="13" s="1"/>
  <c r="BX51" i="13"/>
  <c r="BZ51" i="13" s="1"/>
  <c r="CG51" i="13" s="1"/>
  <c r="BX200" i="13"/>
  <c r="CC200" i="13" s="1"/>
  <c r="BX113" i="13"/>
  <c r="BZ113" i="13" s="1"/>
  <c r="BX155" i="13"/>
  <c r="BZ155" i="13" s="1"/>
  <c r="BY56" i="13"/>
  <c r="BY93" i="13"/>
  <c r="BY207" i="13"/>
  <c r="BY26" i="13"/>
  <c r="BY82" i="13"/>
  <c r="BX100" i="13"/>
  <c r="CA100" i="13" s="1"/>
  <c r="BX134" i="13"/>
  <c r="BZ134" i="13" s="1"/>
  <c r="BY96" i="13"/>
  <c r="BY237" i="13"/>
  <c r="BY68" i="13"/>
  <c r="BY179" i="13"/>
  <c r="BX10" i="13"/>
  <c r="BZ10" i="13" s="1"/>
  <c r="BY65" i="13"/>
  <c r="BY63" i="13"/>
  <c r="BX204" i="13"/>
  <c r="BZ204" i="13" s="1"/>
  <c r="CG204" i="13" s="1"/>
  <c r="BX169" i="13"/>
  <c r="CA169" i="13" s="1"/>
  <c r="BX82" i="13"/>
  <c r="BZ82" i="13" s="1"/>
  <c r="BX96" i="13"/>
  <c r="BZ96" i="13" s="1"/>
  <c r="BY75" i="13"/>
  <c r="BY51" i="13"/>
  <c r="BY39" i="13"/>
  <c r="BY38" i="13"/>
  <c r="BX117" i="13"/>
  <c r="BZ117" i="13" s="1"/>
  <c r="CG117" i="13" s="1"/>
  <c r="BX63" i="13"/>
  <c r="CA63" i="13" s="1"/>
  <c r="BX75" i="13"/>
  <c r="BZ75" i="13" s="1"/>
  <c r="CG75" i="13" s="1"/>
  <c r="BX69" i="13"/>
  <c r="CA69" i="13" s="1"/>
  <c r="BY59" i="13"/>
  <c r="BY199" i="13"/>
  <c r="BY30" i="13"/>
  <c r="BY126" i="13"/>
  <c r="BY204" i="13"/>
  <c r="BY16" i="13"/>
  <c r="BY19" i="13"/>
  <c r="BX106" i="13"/>
  <c r="BZ106" i="13" s="1"/>
  <c r="BX65" i="13"/>
  <c r="CC65" i="13" s="1"/>
  <c r="BX126" i="13"/>
  <c r="BZ126" i="13" s="1"/>
  <c r="BX56" i="13"/>
  <c r="BZ56" i="13" s="1"/>
  <c r="BY252" i="13"/>
  <c r="BY236" i="13"/>
  <c r="BY112" i="13"/>
  <c r="BY171" i="13"/>
  <c r="BX39" i="13"/>
  <c r="BZ39" i="13" s="1"/>
  <c r="CG39" i="13" s="1"/>
  <c r="BX16" i="13"/>
  <c r="BZ16" i="13" s="1"/>
  <c r="BX171" i="13"/>
  <c r="CC171" i="13" s="1"/>
  <c r="BX59" i="13"/>
  <c r="BZ59" i="13" s="1"/>
  <c r="BX30" i="13"/>
  <c r="BZ30" i="13" s="1"/>
  <c r="BY69" i="13"/>
  <c r="BY183" i="13"/>
  <c r="BY117" i="13"/>
  <c r="BY100" i="13"/>
  <c r="BY155" i="13"/>
  <c r="BY200" i="13"/>
  <c r="BY10" i="13"/>
  <c r="BY107" i="13"/>
  <c r="BY125" i="13"/>
  <c r="BY169" i="13"/>
  <c r="BX107" i="13"/>
  <c r="BZ107" i="13" s="1"/>
  <c r="BX19" i="13"/>
  <c r="CA19" i="13" s="1"/>
  <c r="BX26" i="13"/>
  <c r="CA26" i="13" s="1"/>
  <c r="BX183" i="13"/>
  <c r="BZ183" i="13" s="1"/>
  <c r="BX179" i="13"/>
  <c r="CA179" i="13" s="1"/>
  <c r="BY106" i="13"/>
  <c r="BY134" i="13"/>
  <c r="BY113" i="13"/>
  <c r="BY46" i="13"/>
  <c r="BY99" i="13"/>
  <c r="BY154" i="13"/>
  <c r="BG126" i="13"/>
  <c r="BH126" i="13" s="1"/>
  <c r="P119" i="5" s="1"/>
  <c r="BJ126" i="13"/>
  <c r="BK126" i="13" s="1"/>
  <c r="W119" i="5" s="1"/>
  <c r="BX198" i="13"/>
  <c r="CA198" i="13" s="1"/>
  <c r="BY223" i="13"/>
  <c r="BY198" i="13"/>
  <c r="BY36" i="13"/>
  <c r="BY144" i="13"/>
  <c r="BY67" i="13"/>
  <c r="BY110" i="13"/>
  <c r="BX98" i="13"/>
  <c r="CA98" i="13" s="1"/>
  <c r="BY222" i="13"/>
  <c r="BY167" i="13"/>
  <c r="BY123" i="13"/>
  <c r="BY37" i="13"/>
  <c r="BY233" i="13"/>
  <c r="BY66" i="13"/>
  <c r="BY168" i="13"/>
  <c r="BY98" i="13"/>
  <c r="BY219" i="13"/>
  <c r="BY152" i="13"/>
  <c r="BY224" i="13"/>
  <c r="BY166" i="13"/>
  <c r="BY216" i="13"/>
  <c r="BY111" i="13"/>
  <c r="BY231" i="13"/>
  <c r="BX97" i="13"/>
  <c r="BZ97" i="13" s="1"/>
  <c r="BY35" i="13"/>
  <c r="BY221" i="13"/>
  <c r="BY220" i="13"/>
  <c r="BY153" i="13"/>
  <c r="BY197" i="13"/>
  <c r="BX144" i="13"/>
  <c r="BZ144" i="13" s="1"/>
  <c r="BY218" i="13"/>
  <c r="BY97" i="13"/>
  <c r="BY232" i="13"/>
  <c r="BY225" i="13"/>
  <c r="BY215" i="13"/>
  <c r="BY214" i="13"/>
  <c r="BY34" i="13"/>
  <c r="BY124" i="13"/>
  <c r="BY217" i="13"/>
  <c r="BD100" i="13"/>
  <c r="BX232" i="13"/>
  <c r="BX166" i="13"/>
  <c r="BZ187" i="13"/>
  <c r="CC187" i="13"/>
  <c r="CA187" i="13"/>
  <c r="BX34" i="13"/>
  <c r="BX66" i="13"/>
  <c r="BX219" i="13"/>
  <c r="BZ46" i="13"/>
  <c r="CG46" i="13" s="1"/>
  <c r="BX167" i="13"/>
  <c r="BX223" i="13"/>
  <c r="BX111" i="13"/>
  <c r="BX214" i="13"/>
  <c r="BX123" i="13"/>
  <c r="BX110" i="13"/>
  <c r="BX220" i="13"/>
  <c r="BX124" i="13"/>
  <c r="BX35" i="13"/>
  <c r="AB223" i="13"/>
  <c r="AJ223" i="13" s="1"/>
  <c r="BX152" i="13"/>
  <c r="BX153" i="13"/>
  <c r="BZ103" i="13"/>
  <c r="CC103" i="13"/>
  <c r="CA103" i="13"/>
  <c r="BX224" i="13"/>
  <c r="BX222" i="13"/>
  <c r="BX67" i="13"/>
  <c r="BX225" i="13"/>
  <c r="BX215" i="13"/>
  <c r="BX36" i="13"/>
  <c r="BX221" i="13"/>
  <c r="BX231" i="13"/>
  <c r="BX217" i="13"/>
  <c r="BX37" i="13"/>
  <c r="BX197" i="13"/>
  <c r="BX218" i="13"/>
  <c r="D87" i="16"/>
  <c r="AA204" i="13"/>
  <c r="BJ204" i="13"/>
  <c r="BK204" i="13" s="1"/>
  <c r="W201" i="5" s="1"/>
  <c r="W202" i="21" s="1"/>
  <c r="BG204" i="13"/>
  <c r="BH204" i="13" s="1"/>
  <c r="P201" i="5" s="1"/>
  <c r="P202" i="21" s="1"/>
  <c r="AB220" i="13"/>
  <c r="AK220" i="13" s="1"/>
  <c r="BG100" i="13"/>
  <c r="BH100" i="13" s="1"/>
  <c r="P96" i="5" s="1"/>
  <c r="BD107" i="13"/>
  <c r="BE107" i="13" s="1"/>
  <c r="BG107" i="13"/>
  <c r="BH107" i="13" s="1"/>
  <c r="BJ107" i="13"/>
  <c r="BK107" i="13" s="1"/>
  <c r="BD115" i="13"/>
  <c r="BJ115" i="13"/>
  <c r="BK115" i="13" s="1"/>
  <c r="W108" i="5" s="1"/>
  <c r="BG115" i="13"/>
  <c r="BH115" i="13" s="1"/>
  <c r="P108" i="5" s="1"/>
  <c r="BD159" i="13"/>
  <c r="BE159" i="13" s="1"/>
  <c r="BJ159" i="13"/>
  <c r="BK159" i="13" s="1"/>
  <c r="BG159" i="13"/>
  <c r="BH159" i="13" s="1"/>
  <c r="BD169" i="13"/>
  <c r="BG169" i="13"/>
  <c r="BH169" i="13" s="1"/>
  <c r="P164" i="5" s="1"/>
  <c r="BJ169" i="13"/>
  <c r="BK169" i="13" s="1"/>
  <c r="W164" i="5" s="1"/>
  <c r="BD171" i="13"/>
  <c r="BG171" i="13"/>
  <c r="BH171" i="13" s="1"/>
  <c r="P167" i="5" s="1"/>
  <c r="BJ171" i="13"/>
  <c r="BK171" i="13" s="1"/>
  <c r="W167" i="5" s="1"/>
  <c r="BD109" i="13"/>
  <c r="BE109" i="13" s="1"/>
  <c r="BJ109" i="13"/>
  <c r="BK109" i="13" s="1"/>
  <c r="BG109" i="13"/>
  <c r="BH109" i="13" s="1"/>
  <c r="BD121" i="13"/>
  <c r="BG121" i="13"/>
  <c r="BH121" i="13" s="1"/>
  <c r="P114" i="5" s="1"/>
  <c r="P113" i="21" s="1"/>
  <c r="BD164" i="13"/>
  <c r="BG164" i="13"/>
  <c r="BH164" i="13" s="1"/>
  <c r="P159" i="5" s="1"/>
  <c r="BJ164" i="13"/>
  <c r="BK164" i="13" s="1"/>
  <c r="W159" i="5" s="1"/>
  <c r="BD200" i="13"/>
  <c r="BJ200" i="13"/>
  <c r="BK200" i="13" s="1"/>
  <c r="W196" i="5" s="1"/>
  <c r="W197" i="21" s="1"/>
  <c r="BG200" i="13"/>
  <c r="BH200" i="13" s="1"/>
  <c r="P196" i="5" s="1"/>
  <c r="P197" i="21" s="1"/>
  <c r="D18" i="16"/>
  <c r="BD211" i="13"/>
  <c r="BG211" i="13"/>
  <c r="BH211" i="13" s="1"/>
  <c r="P207" i="5" s="1"/>
  <c r="P208" i="21" s="1"/>
  <c r="BJ211" i="13"/>
  <c r="BK211" i="13" s="1"/>
  <c r="W207" i="5" s="1"/>
  <c r="D8" i="16"/>
  <c r="D39" i="16"/>
  <c r="BD106" i="13"/>
  <c r="BE106" i="13" s="1"/>
  <c r="BG106" i="13"/>
  <c r="BH106" i="13" s="1"/>
  <c r="BJ106" i="13"/>
  <c r="BK106" i="13" s="1"/>
  <c r="AB218" i="13"/>
  <c r="AJ218" i="13" s="1"/>
  <c r="D19" i="16"/>
  <c r="D48" i="16"/>
  <c r="BD10" i="13"/>
  <c r="BJ10" i="13"/>
  <c r="BK10" i="13" s="1"/>
  <c r="W11" i="5" s="1"/>
  <c r="W11" i="21" s="1"/>
  <c r="BG10" i="13"/>
  <c r="BH10" i="13" s="1"/>
  <c r="D78" i="16"/>
  <c r="D54" i="16"/>
  <c r="BD108" i="13"/>
  <c r="BE108" i="13" s="1"/>
  <c r="BJ108" i="13"/>
  <c r="BK108" i="13" s="1"/>
  <c r="BG108" i="13"/>
  <c r="BH108" i="13" s="1"/>
  <c r="D98" i="16"/>
  <c r="D46" i="16"/>
  <c r="D23" i="16"/>
  <c r="M76" i="11" l="1"/>
  <c r="BK251" i="13"/>
  <c r="L76" i="11"/>
  <c r="BG251" i="13"/>
  <c r="BH251" i="13" s="1"/>
  <c r="BD251" i="13"/>
  <c r="BD158" i="13" s="1"/>
  <c r="J59" i="11"/>
  <c r="AP49" i="13"/>
  <c r="BB49" i="13" s="1"/>
  <c r="AO49" i="13"/>
  <c r="BA49" i="13" s="1"/>
  <c r="AA212" i="13"/>
  <c r="AC40" i="5"/>
  <c r="F40" i="21"/>
  <c r="AF40" i="21" s="1"/>
  <c r="W41" i="21"/>
  <c r="W40" i="21"/>
  <c r="I41" i="21"/>
  <c r="I40" i="21"/>
  <c r="P41" i="21"/>
  <c r="P40" i="21"/>
  <c r="BS253" i="13"/>
  <c r="L62" i="11"/>
  <c r="BT253" i="13"/>
  <c r="M62" i="11"/>
  <c r="BR253" i="13"/>
  <c r="K62" i="11"/>
  <c r="BR251" i="13"/>
  <c r="K76" i="11"/>
  <c r="BT255" i="13"/>
  <c r="M75" i="11"/>
  <c r="BJ252" i="13"/>
  <c r="M79" i="11"/>
  <c r="BS255" i="13"/>
  <c r="L75" i="11"/>
  <c r="BR255" i="13"/>
  <c r="K75" i="11"/>
  <c r="BG252" i="13"/>
  <c r="L79" i="11"/>
  <c r="W160" i="21"/>
  <c r="W58" i="21"/>
  <c r="W59" i="21"/>
  <c r="W61" i="21"/>
  <c r="W62" i="21"/>
  <c r="P58" i="21"/>
  <c r="P59" i="21"/>
  <c r="P61" i="21"/>
  <c r="P62" i="21"/>
  <c r="I19" i="3"/>
  <c r="W51" i="21"/>
  <c r="W52" i="21"/>
  <c r="W207" i="21"/>
  <c r="W208" i="21"/>
  <c r="P51" i="21"/>
  <c r="P52" i="21"/>
  <c r="P160" i="21"/>
  <c r="C62" i="5"/>
  <c r="D62" i="21" s="1"/>
  <c r="D60" i="21"/>
  <c r="C92" i="5"/>
  <c r="D92" i="21" s="1"/>
  <c r="D90" i="21"/>
  <c r="C192" i="5"/>
  <c r="D192" i="21" s="1"/>
  <c r="D190" i="21"/>
  <c r="U202" i="13"/>
  <c r="AA89" i="13"/>
  <c r="AB89" i="13" s="1"/>
  <c r="U86" i="13"/>
  <c r="AA86" i="13" s="1"/>
  <c r="AA48" i="13"/>
  <c r="AB48" i="13" s="1"/>
  <c r="F48" i="5" s="1"/>
  <c r="AC48" i="5" s="1"/>
  <c r="U46" i="13"/>
  <c r="AA46" i="13" s="1"/>
  <c r="AA66" i="13" s="1"/>
  <c r="AA165" i="13"/>
  <c r="AB165" i="13" s="1"/>
  <c r="U164" i="13"/>
  <c r="AA164" i="13" s="1"/>
  <c r="AA166" i="13" s="1"/>
  <c r="AA145" i="13"/>
  <c r="AB145" i="13" s="1"/>
  <c r="U144" i="13"/>
  <c r="AA144" i="13" s="1"/>
  <c r="AA152" i="13" s="1"/>
  <c r="U90" i="13"/>
  <c r="AA90" i="13" s="1"/>
  <c r="P114" i="21"/>
  <c r="P115" i="21"/>
  <c r="W182" i="21"/>
  <c r="W114" i="21"/>
  <c r="W115" i="21"/>
  <c r="P204" i="21"/>
  <c r="P207" i="21"/>
  <c r="P182" i="21"/>
  <c r="I182" i="21"/>
  <c r="W204" i="21"/>
  <c r="P91" i="21"/>
  <c r="P92" i="21"/>
  <c r="P126" i="21"/>
  <c r="I130" i="21"/>
  <c r="I91" i="21"/>
  <c r="I92" i="21"/>
  <c r="P130" i="21"/>
  <c r="W201" i="21"/>
  <c r="I111" i="21"/>
  <c r="I201" i="21"/>
  <c r="W109" i="21"/>
  <c r="W111" i="21"/>
  <c r="I84" i="21"/>
  <c r="I85" i="21"/>
  <c r="P201" i="21"/>
  <c r="P109" i="21"/>
  <c r="P111" i="21"/>
  <c r="W84" i="21"/>
  <c r="W85" i="21"/>
  <c r="W164" i="21"/>
  <c r="P164" i="21"/>
  <c r="W196" i="21"/>
  <c r="P96" i="21"/>
  <c r="P97" i="21"/>
  <c r="P84" i="21"/>
  <c r="P85" i="21"/>
  <c r="P171" i="21"/>
  <c r="P175" i="21"/>
  <c r="P196" i="21"/>
  <c r="W81" i="21"/>
  <c r="W82" i="21"/>
  <c r="P78" i="21"/>
  <c r="P79" i="21"/>
  <c r="P81" i="21"/>
  <c r="P82" i="21"/>
  <c r="W126" i="21"/>
  <c r="I78" i="21"/>
  <c r="I79" i="21"/>
  <c r="I179" i="21"/>
  <c r="I81" i="21"/>
  <c r="I82" i="21"/>
  <c r="W130" i="21"/>
  <c r="W179" i="21"/>
  <c r="I171" i="21"/>
  <c r="W91" i="21"/>
  <c r="W92" i="21"/>
  <c r="I126" i="21"/>
  <c r="P179" i="21"/>
  <c r="W171" i="21"/>
  <c r="W175" i="21"/>
  <c r="I25" i="3"/>
  <c r="BR252" i="13"/>
  <c r="BD252" i="13"/>
  <c r="AQ49" i="13"/>
  <c r="BC49" i="13" s="1"/>
  <c r="AA114" i="13"/>
  <c r="AB114" i="13" s="1"/>
  <c r="AB254" i="13" s="1"/>
  <c r="AP114" i="13"/>
  <c r="AQ114" i="13"/>
  <c r="BI251" i="13"/>
  <c r="BS251" i="13"/>
  <c r="BL251" i="13"/>
  <c r="BT251" i="13"/>
  <c r="BF251" i="13"/>
  <c r="BG238" i="13"/>
  <c r="BH238" i="13" s="1"/>
  <c r="P120" i="5" s="1"/>
  <c r="BS238" i="13"/>
  <c r="BJ238" i="13"/>
  <c r="BK238" i="13" s="1"/>
  <c r="W120" i="5" s="1"/>
  <c r="BT238" i="13"/>
  <c r="BD238" i="13"/>
  <c r="BE238" i="13" s="1"/>
  <c r="I120" i="5" s="1"/>
  <c r="BR238" i="13"/>
  <c r="AA94" i="13"/>
  <c r="AB94" i="13" s="1"/>
  <c r="AB93" i="13" s="1"/>
  <c r="I22" i="3"/>
  <c r="I21" i="3"/>
  <c r="AA84" i="13"/>
  <c r="AB84" i="13" s="1"/>
  <c r="AB83" i="13" s="1"/>
  <c r="AC189" i="5"/>
  <c r="AC133" i="5"/>
  <c r="AC154" i="5"/>
  <c r="AC186" i="5"/>
  <c r="AB39" i="21"/>
  <c r="W20" i="21"/>
  <c r="AC198" i="5"/>
  <c r="AF195" i="21"/>
  <c r="AC39" i="5"/>
  <c r="F39" i="21"/>
  <c r="AF39" i="21" s="1"/>
  <c r="AC166" i="5"/>
  <c r="AF163" i="21"/>
  <c r="AC144" i="5"/>
  <c r="AC100" i="5"/>
  <c r="AC120" i="5"/>
  <c r="AB159" i="21"/>
  <c r="W78" i="21"/>
  <c r="S65" i="21"/>
  <c r="AB11" i="21"/>
  <c r="AB193" i="21"/>
  <c r="AB107" i="21"/>
  <c r="AB219" i="21"/>
  <c r="AB178" i="21"/>
  <c r="AB100" i="21"/>
  <c r="Y65" i="21"/>
  <c r="R65" i="21"/>
  <c r="AC257" i="5"/>
  <c r="U77" i="13"/>
  <c r="AK105" i="13"/>
  <c r="AK224" i="13"/>
  <c r="AI224" i="13"/>
  <c r="AK228" i="13"/>
  <c r="AI237" i="13"/>
  <c r="AI58" i="13" s="1"/>
  <c r="AK237" i="13"/>
  <c r="AK58" i="13" s="1"/>
  <c r="AJ237" i="13"/>
  <c r="AJ58" i="13" s="1"/>
  <c r="AI127" i="13"/>
  <c r="AK127" i="13"/>
  <c r="AJ127" i="13"/>
  <c r="AI137" i="13"/>
  <c r="AK137" i="13"/>
  <c r="AJ137" i="13"/>
  <c r="AK157" i="13"/>
  <c r="AJ157" i="13"/>
  <c r="AI157" i="13"/>
  <c r="AK73" i="13"/>
  <c r="M63" i="11" s="1"/>
  <c r="AJ73" i="13"/>
  <c r="L63" i="11" s="1"/>
  <c r="AI73" i="13"/>
  <c r="K63" i="11" s="1"/>
  <c r="AJ190" i="13"/>
  <c r="AI190" i="13"/>
  <c r="AK190" i="13"/>
  <c r="AI85" i="13"/>
  <c r="AJ85" i="13"/>
  <c r="AK85" i="13"/>
  <c r="AJ53" i="13"/>
  <c r="AI53" i="13"/>
  <c r="AK53" i="13"/>
  <c r="AJ226" i="13"/>
  <c r="AJ228" i="13"/>
  <c r="AI105" i="13"/>
  <c r="AK139" i="13"/>
  <c r="AJ139" i="13"/>
  <c r="AI139" i="13"/>
  <c r="AI101" i="13"/>
  <c r="BR101" i="13" s="1"/>
  <c r="AK101" i="13"/>
  <c r="BT101" i="13" s="1"/>
  <c r="AJ101" i="13"/>
  <c r="BS101" i="13" s="1"/>
  <c r="AI14" i="13"/>
  <c r="AJ14" i="13"/>
  <c r="AK14" i="13"/>
  <c r="AK151" i="13"/>
  <c r="AI151" i="13"/>
  <c r="AJ151" i="13"/>
  <c r="AK136" i="13"/>
  <c r="AI136" i="13"/>
  <c r="AJ136" i="13"/>
  <c r="AJ74" i="13"/>
  <c r="AI74" i="13"/>
  <c r="AK74" i="13"/>
  <c r="AK52" i="13"/>
  <c r="AK70" i="13" s="1"/>
  <c r="AJ52" i="13"/>
  <c r="AJ70" i="13" s="1"/>
  <c r="AI52" i="13"/>
  <c r="AI220" i="13"/>
  <c r="AK223" i="13"/>
  <c r="AK218" i="13"/>
  <c r="AI240" i="13"/>
  <c r="BD240" i="13" s="1"/>
  <c r="AK240" i="13"/>
  <c r="BJ240" i="13" s="1"/>
  <c r="AJ240" i="13"/>
  <c r="BG240" i="13" s="1"/>
  <c r="AK18" i="13"/>
  <c r="AI18" i="13"/>
  <c r="AJ18" i="13"/>
  <c r="AJ135" i="13"/>
  <c r="AI135" i="13"/>
  <c r="AK135" i="13"/>
  <c r="AK188" i="13"/>
  <c r="AI188" i="13"/>
  <c r="AJ188" i="13"/>
  <c r="AI242" i="13"/>
  <c r="AK242" i="13"/>
  <c r="AJ242" i="13"/>
  <c r="AI193" i="13"/>
  <c r="AK193" i="13"/>
  <c r="AJ193" i="13"/>
  <c r="AJ122" i="13"/>
  <c r="AJ121" i="13" s="1"/>
  <c r="AK122" i="13"/>
  <c r="AK121" i="13" s="1"/>
  <c r="AI122" i="13"/>
  <c r="AI121" i="13" s="1"/>
  <c r="AK161" i="13"/>
  <c r="AK160" i="13" s="1"/>
  <c r="AI161" i="13"/>
  <c r="AI160" i="13" s="1"/>
  <c r="AJ161" i="13"/>
  <c r="AJ160" i="13" s="1"/>
  <c r="AK78" i="13"/>
  <c r="AJ78" i="13"/>
  <c r="AI78" i="13"/>
  <c r="AJ220" i="13"/>
  <c r="AK226" i="13"/>
  <c r="AK54" i="13"/>
  <c r="AI54" i="13"/>
  <c r="AJ54" i="13"/>
  <c r="AJ244" i="13"/>
  <c r="AI244" i="13"/>
  <c r="AK244" i="13"/>
  <c r="AJ129" i="13"/>
  <c r="BS129" i="13" s="1"/>
  <c r="AI129" i="13"/>
  <c r="BR129" i="13" s="1"/>
  <c r="AK129" i="13"/>
  <c r="BT129" i="13" s="1"/>
  <c r="AI12" i="13"/>
  <c r="K54" i="11" s="1"/>
  <c r="AK12" i="13"/>
  <c r="M54" i="11" s="1"/>
  <c r="AJ12" i="13"/>
  <c r="L54" i="11" s="1"/>
  <c r="AK17" i="13"/>
  <c r="AI17" i="13"/>
  <c r="AJ17" i="13"/>
  <c r="AK133" i="13"/>
  <c r="AJ133" i="13"/>
  <c r="AI133" i="13"/>
  <c r="AI72" i="13"/>
  <c r="AK72" i="13"/>
  <c r="AJ72" i="13"/>
  <c r="AK61" i="13"/>
  <c r="AI61" i="13"/>
  <c r="AJ61" i="13"/>
  <c r="AI223" i="13"/>
  <c r="AI191" i="13"/>
  <c r="AK194" i="13"/>
  <c r="AK196" i="13"/>
  <c r="AK195" i="13"/>
  <c r="AI245" i="13"/>
  <c r="AK245" i="13"/>
  <c r="AJ245" i="13"/>
  <c r="AK27" i="13"/>
  <c r="BJ27" i="13" s="1"/>
  <c r="AJ27" i="13"/>
  <c r="BG27" i="13" s="1"/>
  <c r="AI27" i="13"/>
  <c r="BD27" i="13" s="1"/>
  <c r="AI180" i="13"/>
  <c r="AK180" i="13"/>
  <c r="AJ180" i="13"/>
  <c r="AI11" i="13"/>
  <c r="AK11" i="13"/>
  <c r="AJ11" i="13"/>
  <c r="AJ57" i="13"/>
  <c r="AK57" i="13"/>
  <c r="AI57" i="13"/>
  <c r="AJ71" i="13"/>
  <c r="AK71" i="13"/>
  <c r="AI102" i="13"/>
  <c r="BR102" i="13" s="1"/>
  <c r="AJ102" i="13"/>
  <c r="BS102" i="13" s="1"/>
  <c r="AK102" i="13"/>
  <c r="BT102" i="13" s="1"/>
  <c r="AJ163" i="13"/>
  <c r="AI163" i="13"/>
  <c r="AK163" i="13"/>
  <c r="AK32" i="13"/>
  <c r="AJ32" i="13"/>
  <c r="AI32" i="13"/>
  <c r="AI119" i="13"/>
  <c r="AK119" i="13"/>
  <c r="AJ119" i="13"/>
  <c r="AJ76" i="13"/>
  <c r="AI76" i="13"/>
  <c r="AK76" i="13"/>
  <c r="AI230" i="13"/>
  <c r="AI218" i="13"/>
  <c r="AJ191" i="13"/>
  <c r="AI195" i="13"/>
  <c r="AI196" i="13"/>
  <c r="AI194" i="13"/>
  <c r="AI241" i="13"/>
  <c r="AI142" i="13" s="1"/>
  <c r="AK241" i="13"/>
  <c r="AK142" i="13" s="1"/>
  <c r="AJ241" i="13"/>
  <c r="AJ142" i="13" s="1"/>
  <c r="AI132" i="13"/>
  <c r="AK132" i="13"/>
  <c r="AJ132" i="13"/>
  <c r="AK147" i="13"/>
  <c r="BT147" i="13" s="1"/>
  <c r="AJ147" i="13"/>
  <c r="BS147" i="13" s="1"/>
  <c r="AI147" i="13"/>
  <c r="BR147" i="13" s="1"/>
  <c r="AJ20" i="13"/>
  <c r="AI20" i="13"/>
  <c r="AK20" i="13"/>
  <c r="AK22" i="13"/>
  <c r="M55" i="11" s="1"/>
  <c r="AJ22" i="13"/>
  <c r="L55" i="11" s="1"/>
  <c r="AI22" i="13"/>
  <c r="K55" i="11" s="1"/>
  <c r="AI128" i="13"/>
  <c r="BR128" i="13" s="1"/>
  <c r="AK128" i="13"/>
  <c r="BT128" i="13" s="1"/>
  <c r="AJ128" i="13"/>
  <c r="BS128" i="13" s="1"/>
  <c r="AI15" i="13"/>
  <c r="AK15" i="13"/>
  <c r="AJ15" i="13"/>
  <c r="AJ24" i="13"/>
  <c r="BS24" i="13" s="1"/>
  <c r="AK24" i="13"/>
  <c r="BT24" i="13" s="1"/>
  <c r="AI24" i="13"/>
  <c r="BR24" i="13" s="1"/>
  <c r="AK149" i="13"/>
  <c r="AJ149" i="13"/>
  <c r="AI149" i="13"/>
  <c r="AJ23" i="13"/>
  <c r="L56" i="11" s="1"/>
  <c r="AI23" i="13"/>
  <c r="K56" i="11" s="1"/>
  <c r="AK23" i="13"/>
  <c r="M56" i="11" s="1"/>
  <c r="AJ28" i="13"/>
  <c r="AI28" i="13"/>
  <c r="AK28" i="13"/>
  <c r="AJ230" i="13"/>
  <c r="AK191" i="13"/>
  <c r="AJ194" i="13"/>
  <c r="AJ196" i="13"/>
  <c r="AJ195" i="13"/>
  <c r="AJ60" i="13"/>
  <c r="AI60" i="13"/>
  <c r="AK60" i="13"/>
  <c r="AJ239" i="13"/>
  <c r="AI239" i="13"/>
  <c r="AK239" i="13"/>
  <c r="AK120" i="13"/>
  <c r="AJ120" i="13"/>
  <c r="AI120" i="13"/>
  <c r="AI25" i="13"/>
  <c r="BR25" i="13" s="1"/>
  <c r="AK25" i="13"/>
  <c r="BT25" i="13" s="1"/>
  <c r="AJ25" i="13"/>
  <c r="BS25" i="13" s="1"/>
  <c r="AJ131" i="13"/>
  <c r="AK131" i="13"/>
  <c r="AJ33" i="13"/>
  <c r="AI33" i="13"/>
  <c r="AK33" i="13"/>
  <c r="AI222" i="13"/>
  <c r="AK43" i="13"/>
  <c r="AK42" i="13"/>
  <c r="AK45" i="13"/>
  <c r="AK44" i="13"/>
  <c r="AI13" i="13"/>
  <c r="AK13" i="13"/>
  <c r="AJ13" i="13"/>
  <c r="AI172" i="13"/>
  <c r="AK172" i="13"/>
  <c r="AJ172" i="13"/>
  <c r="AI209" i="13"/>
  <c r="AK209" i="13"/>
  <c r="AJ209" i="13"/>
  <c r="AJ116" i="13"/>
  <c r="AJ115" i="13" s="1"/>
  <c r="AI116" i="13"/>
  <c r="AI115" i="13" s="1"/>
  <c r="AK116" i="13"/>
  <c r="AK115" i="13" s="1"/>
  <c r="AK31" i="13"/>
  <c r="AJ31" i="13"/>
  <c r="AI31" i="13"/>
  <c r="AJ222" i="13"/>
  <c r="AI43" i="13"/>
  <c r="AI44" i="13"/>
  <c r="AI42" i="13"/>
  <c r="AI45" i="13"/>
  <c r="AK29" i="13"/>
  <c r="AI29" i="13"/>
  <c r="AJ29" i="13"/>
  <c r="AJ158" i="13"/>
  <c r="BG158" i="13" s="1"/>
  <c r="AK158" i="13"/>
  <c r="BJ158" i="13" s="1"/>
  <c r="AI21" i="13"/>
  <c r="AK21" i="13"/>
  <c r="AJ21" i="13"/>
  <c r="AJ150" i="13"/>
  <c r="AI150" i="13"/>
  <c r="AK150" i="13"/>
  <c r="AK156" i="13"/>
  <c r="BT156" i="13" s="1"/>
  <c r="AJ156" i="13"/>
  <c r="BS156" i="13" s="1"/>
  <c r="AI156" i="13"/>
  <c r="BR156" i="13" s="1"/>
  <c r="AK146" i="13"/>
  <c r="BT146" i="13" s="1"/>
  <c r="AI146" i="13"/>
  <c r="BR146" i="13" s="1"/>
  <c r="AJ146" i="13"/>
  <c r="BS146" i="13" s="1"/>
  <c r="AJ64" i="13"/>
  <c r="AI64" i="13"/>
  <c r="AK64" i="13"/>
  <c r="AA202" i="13"/>
  <c r="AJ43" i="13"/>
  <c r="AJ42" i="13"/>
  <c r="AJ45" i="13"/>
  <c r="AJ44" i="13"/>
  <c r="AI88" i="13"/>
  <c r="AK88" i="13"/>
  <c r="AJ88" i="13"/>
  <c r="AJ87" i="13"/>
  <c r="AI87" i="13"/>
  <c r="AK87" i="13"/>
  <c r="AI118" i="13"/>
  <c r="AK118" i="13"/>
  <c r="AJ118" i="13"/>
  <c r="AK47" i="13"/>
  <c r="AJ47" i="13"/>
  <c r="AI47" i="13"/>
  <c r="AJ184" i="13"/>
  <c r="AI184" i="13"/>
  <c r="AK184" i="13"/>
  <c r="AJ105" i="13"/>
  <c r="AA205" i="13"/>
  <c r="AB205" i="13" s="1"/>
  <c r="AA213" i="13"/>
  <c r="AE40" i="13"/>
  <c r="F156" i="5"/>
  <c r="BB163" i="13"/>
  <c r="F170" i="5"/>
  <c r="F109" i="5"/>
  <c r="AA203" i="13"/>
  <c r="F151" i="21"/>
  <c r="AF151" i="21" s="1"/>
  <c r="F111" i="5"/>
  <c r="AA91" i="13"/>
  <c r="AB91" i="13" s="1"/>
  <c r="AA92" i="13"/>
  <c r="AB92" i="13" s="1"/>
  <c r="F90" i="5" s="1"/>
  <c r="F190" i="5"/>
  <c r="F190" i="21" s="1"/>
  <c r="F49" i="5"/>
  <c r="F57" i="5"/>
  <c r="CG95" i="13"/>
  <c r="AA80" i="13"/>
  <c r="AB80" i="13" s="1"/>
  <c r="F60" i="5"/>
  <c r="F42" i="5"/>
  <c r="F135" i="5"/>
  <c r="AF40" i="13"/>
  <c r="F145" i="5"/>
  <c r="F145" i="21" s="1"/>
  <c r="AF145" i="21" s="1"/>
  <c r="F67" i="5"/>
  <c r="F178" i="5"/>
  <c r="F56" i="5"/>
  <c r="F168" i="5"/>
  <c r="F136" i="5"/>
  <c r="F140" i="5"/>
  <c r="AQ32" i="13"/>
  <c r="BC32" i="13" s="1"/>
  <c r="AP32" i="13"/>
  <c r="BB32" i="13" s="1"/>
  <c r="F68" i="5"/>
  <c r="F115" i="5"/>
  <c r="F141" i="5"/>
  <c r="F184" i="5"/>
  <c r="F34" i="5"/>
  <c r="BC181" i="13"/>
  <c r="AB63" i="13"/>
  <c r="BC157" i="13"/>
  <c r="F152" i="5"/>
  <c r="F86" i="5"/>
  <c r="F143" i="5"/>
  <c r="F144" i="21" s="1"/>
  <c r="AB189" i="13"/>
  <c r="F187" i="5"/>
  <c r="F187" i="21" s="1"/>
  <c r="Y219" i="13"/>
  <c r="F50" i="5"/>
  <c r="AG40" i="13"/>
  <c r="AB103" i="13"/>
  <c r="AB162" i="13"/>
  <c r="F98" i="16"/>
  <c r="I98" i="16" s="1"/>
  <c r="F214" i="5"/>
  <c r="F191" i="5"/>
  <c r="AB56" i="13"/>
  <c r="Y201" i="13"/>
  <c r="AA201" i="13" s="1"/>
  <c r="F29" i="5"/>
  <c r="F30" i="5"/>
  <c r="F12" i="5"/>
  <c r="AC12" i="5" s="1"/>
  <c r="F19" i="5"/>
  <c r="AB69" i="13"/>
  <c r="BC151" i="13"/>
  <c r="BB151" i="13"/>
  <c r="AB187" i="13"/>
  <c r="BC188" i="13"/>
  <c r="BB188" i="13"/>
  <c r="AB160" i="13"/>
  <c r="BC161" i="13"/>
  <c r="BB161" i="13"/>
  <c r="AB115" i="13"/>
  <c r="AB121" i="13"/>
  <c r="BC150" i="13"/>
  <c r="BB150" i="13"/>
  <c r="BC142" i="13"/>
  <c r="BB142" i="13"/>
  <c r="BB156" i="13"/>
  <c r="BA156" i="13"/>
  <c r="BC156" i="13"/>
  <c r="AB148" i="13"/>
  <c r="F126" i="5"/>
  <c r="AB130" i="13"/>
  <c r="F123" i="5" s="1"/>
  <c r="BC163" i="13"/>
  <c r="AB59" i="13"/>
  <c r="BC102" i="13"/>
  <c r="AB225" i="13"/>
  <c r="BB102" i="13"/>
  <c r="D104" i="16"/>
  <c r="F104" i="16" s="1"/>
  <c r="AB227" i="13"/>
  <c r="D106" i="16"/>
  <c r="F106" i="16" s="1"/>
  <c r="AB192" i="13"/>
  <c r="D86" i="16"/>
  <c r="D94" i="16"/>
  <c r="AB100" i="13"/>
  <c r="D52" i="16"/>
  <c r="D96" i="16"/>
  <c r="AB179" i="13"/>
  <c r="BC173" i="13"/>
  <c r="BB173" i="13"/>
  <c r="BA173" i="13"/>
  <c r="BS252" i="13"/>
  <c r="BT252" i="13"/>
  <c r="BE10" i="13"/>
  <c r="P11" i="5" s="1"/>
  <c r="P11" i="21" s="1"/>
  <c r="AB117" i="13"/>
  <c r="BG234" i="13"/>
  <c r="BD234" i="13"/>
  <c r="BK234" i="13"/>
  <c r="W39" i="5" s="1"/>
  <c r="W39" i="21" s="1"/>
  <c r="F205" i="5"/>
  <c r="BK246" i="13"/>
  <c r="W100" i="5" s="1"/>
  <c r="BH246" i="13"/>
  <c r="P100" i="5" s="1"/>
  <c r="BE246" i="13"/>
  <c r="I100" i="5" s="1"/>
  <c r="BE248" i="13"/>
  <c r="I189" i="5" s="1"/>
  <c r="BE247" i="13"/>
  <c r="I186" i="5" s="1"/>
  <c r="BH248" i="13"/>
  <c r="P189" i="5" s="1"/>
  <c r="BH247" i="13"/>
  <c r="P186" i="5" s="1"/>
  <c r="BK248" i="13"/>
  <c r="W189" i="5" s="1"/>
  <c r="BK247" i="13"/>
  <c r="W186" i="5" s="1"/>
  <c r="AB138" i="13"/>
  <c r="AB134" i="13"/>
  <c r="AB183" i="13"/>
  <c r="AB30" i="13"/>
  <c r="AB175" i="13"/>
  <c r="AB171" i="13"/>
  <c r="AB155" i="13"/>
  <c r="AB126" i="13"/>
  <c r="AB51" i="13"/>
  <c r="AB10" i="13"/>
  <c r="AB26" i="13"/>
  <c r="AB19" i="13"/>
  <c r="AB16" i="13"/>
  <c r="AB206" i="13"/>
  <c r="AB170" i="13"/>
  <c r="AB212" i="13"/>
  <c r="BE249" i="13"/>
  <c r="I198" i="5" s="1"/>
  <c r="BK249" i="13"/>
  <c r="W198" i="5" s="1"/>
  <c r="BH249" i="13"/>
  <c r="P198" i="5" s="1"/>
  <c r="AB41" i="13"/>
  <c r="AK41" i="13" s="1"/>
  <c r="F25" i="5"/>
  <c r="BC158" i="13"/>
  <c r="BB158" i="13"/>
  <c r="BA128" i="13"/>
  <c r="BC128" i="13"/>
  <c r="BB128" i="13"/>
  <c r="BG15" i="13"/>
  <c r="BJ15" i="13"/>
  <c r="F16" i="5"/>
  <c r="BD15" i="13"/>
  <c r="F24" i="5"/>
  <c r="AA123" i="13"/>
  <c r="F13" i="5"/>
  <c r="F21" i="5"/>
  <c r="F22" i="5"/>
  <c r="F23" i="5"/>
  <c r="F14" i="5"/>
  <c r="F28" i="5"/>
  <c r="F182" i="5"/>
  <c r="F113" i="5"/>
  <c r="F77" i="5"/>
  <c r="F97" i="5"/>
  <c r="F54" i="5"/>
  <c r="F44" i="5"/>
  <c r="D43" i="16"/>
  <c r="F153" i="5"/>
  <c r="F53" i="5"/>
  <c r="AA36" i="13"/>
  <c r="F59" i="5"/>
  <c r="F173" i="5"/>
  <c r="F173" i="21" s="1"/>
  <c r="AF173" i="21" s="1"/>
  <c r="F134" i="5"/>
  <c r="F134" i="21" s="1"/>
  <c r="F181" i="5"/>
  <c r="F169" i="5"/>
  <c r="D68" i="16"/>
  <c r="F174" i="5"/>
  <c r="F43" i="5"/>
  <c r="F45" i="5"/>
  <c r="F122" i="5"/>
  <c r="F130" i="5"/>
  <c r="D75" i="16"/>
  <c r="F192" i="5"/>
  <c r="F112" i="5"/>
  <c r="F226" i="5"/>
  <c r="F121" i="5"/>
  <c r="BE200" i="13"/>
  <c r="I196" i="5" s="1"/>
  <c r="I197" i="21" s="1"/>
  <c r="BE211" i="13"/>
  <c r="I207" i="5" s="1"/>
  <c r="I208" i="21" s="1"/>
  <c r="BE192" i="13"/>
  <c r="I188" i="5" s="1"/>
  <c r="I188" i="21" s="1"/>
  <c r="BE171" i="13"/>
  <c r="I167" i="5" s="1"/>
  <c r="BE169" i="13"/>
  <c r="I164" i="5" s="1"/>
  <c r="BE164" i="13"/>
  <c r="I159" i="5" s="1"/>
  <c r="I142" i="5"/>
  <c r="BE130" i="13"/>
  <c r="I123" i="5" s="1"/>
  <c r="BE115" i="13"/>
  <c r="I108" i="5" s="1"/>
  <c r="BE121" i="13"/>
  <c r="I114" i="5" s="1"/>
  <c r="I113" i="21" s="1"/>
  <c r="BE100" i="13"/>
  <c r="I96" i="5" s="1"/>
  <c r="F256" i="5"/>
  <c r="AC256" i="5" s="1"/>
  <c r="F247" i="5"/>
  <c r="F128" i="5"/>
  <c r="F248" i="5"/>
  <c r="AC248" i="5" s="1"/>
  <c r="F132" i="5"/>
  <c r="F249" i="5"/>
  <c r="F255" i="5"/>
  <c r="F176" i="5"/>
  <c r="F258" i="5"/>
  <c r="AC258" i="5" s="1"/>
  <c r="F180" i="5"/>
  <c r="F252" i="5"/>
  <c r="F124" i="5"/>
  <c r="F253" i="5"/>
  <c r="BD220" i="13"/>
  <c r="BJ226" i="13"/>
  <c r="BK226" i="13" s="1"/>
  <c r="W222" i="5" s="1"/>
  <c r="BG228" i="13"/>
  <c r="BH228" i="13" s="1"/>
  <c r="P224" i="5" s="1"/>
  <c r="BD223" i="13"/>
  <c r="AA110" i="13"/>
  <c r="I58" i="5"/>
  <c r="I51" i="5"/>
  <c r="I52" i="21" s="1"/>
  <c r="BD69" i="13"/>
  <c r="AB229" i="13"/>
  <c r="AB34" i="13"/>
  <c r="D102" i="16"/>
  <c r="F102" i="16" s="1"/>
  <c r="I102" i="16" s="1"/>
  <c r="AB217" i="13"/>
  <c r="F224" i="5"/>
  <c r="F222" i="5"/>
  <c r="BZ90" i="13"/>
  <c r="CC51" i="13"/>
  <c r="BZ83" i="13"/>
  <c r="CG83" i="13" s="1"/>
  <c r="CC121" i="13"/>
  <c r="BZ121" i="13"/>
  <c r="CC169" i="13"/>
  <c r="CC179" i="13"/>
  <c r="BZ179" i="13"/>
  <c r="BZ169" i="13"/>
  <c r="CC69" i="13"/>
  <c r="BZ69" i="13"/>
  <c r="CC79" i="13"/>
  <c r="CC55" i="13"/>
  <c r="CA134" i="13"/>
  <c r="CC108" i="13"/>
  <c r="BZ108" i="13"/>
  <c r="CA90" i="13"/>
  <c r="CC39" i="13"/>
  <c r="CA30" i="13"/>
  <c r="CA159" i="13"/>
  <c r="CA106" i="13"/>
  <c r="CA107" i="13"/>
  <c r="CA62" i="13"/>
  <c r="CC62" i="13"/>
  <c r="BZ171" i="13"/>
  <c r="F97" i="16"/>
  <c r="I97" i="16" s="1"/>
  <c r="CC107" i="13"/>
  <c r="CA171" i="13"/>
  <c r="CA109" i="13"/>
  <c r="CA56" i="13"/>
  <c r="BZ19" i="13"/>
  <c r="CA65" i="13"/>
  <c r="BZ100" i="13"/>
  <c r="CA16" i="13"/>
  <c r="BZ200" i="13"/>
  <c r="CG200" i="13" s="1"/>
  <c r="CC56" i="13"/>
  <c r="CC204" i="13"/>
  <c r="CC109" i="13"/>
  <c r="CA113" i="13"/>
  <c r="CC160" i="13"/>
  <c r="CC26" i="13"/>
  <c r="CC138" i="13"/>
  <c r="CC59" i="13"/>
  <c r="CA126" i="13"/>
  <c r="BZ160" i="13"/>
  <c r="BZ26" i="13"/>
  <c r="CA155" i="13"/>
  <c r="CA59" i="13"/>
  <c r="CC183" i="13"/>
  <c r="CA183" i="13"/>
  <c r="CC82" i="13"/>
  <c r="CA82" i="13"/>
  <c r="BZ208" i="13"/>
  <c r="CG208" i="13" s="1"/>
  <c r="BZ65" i="13"/>
  <c r="CC19" i="13"/>
  <c r="CC100" i="13"/>
  <c r="BZ115" i="13"/>
  <c r="CG115" i="13" s="1"/>
  <c r="CC16" i="13"/>
  <c r="CC95" i="13"/>
  <c r="CC10" i="13"/>
  <c r="CA10" i="13"/>
  <c r="CC75" i="13"/>
  <c r="CC86" i="13"/>
  <c r="BZ93" i="13"/>
  <c r="CG93" i="13" s="1"/>
  <c r="CA86" i="13"/>
  <c r="CA96" i="13"/>
  <c r="CA207" i="13"/>
  <c r="BZ164" i="13"/>
  <c r="BZ63" i="13"/>
  <c r="CC207" i="13"/>
  <c r="CC96" i="13"/>
  <c r="CC211" i="13"/>
  <c r="CA164" i="13"/>
  <c r="CC63" i="13"/>
  <c r="CC117" i="13"/>
  <c r="F45" i="16"/>
  <c r="I45" i="16" s="1"/>
  <c r="BG65" i="13"/>
  <c r="BH65" i="13" s="1"/>
  <c r="BJ65" i="13"/>
  <c r="BK65" i="13" s="1"/>
  <c r="F25" i="16"/>
  <c r="I25" i="16" s="1"/>
  <c r="BZ98" i="13"/>
  <c r="CC98" i="13"/>
  <c r="CA97" i="13"/>
  <c r="CC97" i="13"/>
  <c r="F100" i="16"/>
  <c r="I100" i="16" s="1"/>
  <c r="F219" i="5"/>
  <c r="F216" i="5"/>
  <c r="BZ198" i="13"/>
  <c r="CC198" i="13"/>
  <c r="CG79" i="13"/>
  <c r="CA144" i="13"/>
  <c r="CC144" i="13"/>
  <c r="F32" i="16"/>
  <c r="I32" i="16" s="1"/>
  <c r="BZ35" i="13"/>
  <c r="CC35" i="13"/>
  <c r="CA35" i="13"/>
  <c r="BZ167" i="13"/>
  <c r="CC167" i="13"/>
  <c r="CA167" i="13"/>
  <c r="BZ153" i="13"/>
  <c r="CC153" i="13"/>
  <c r="CA153" i="13"/>
  <c r="BZ124" i="13"/>
  <c r="CA124" i="13"/>
  <c r="CC124" i="13"/>
  <c r="BZ214" i="13"/>
  <c r="CA214" i="13"/>
  <c r="CC214" i="13"/>
  <c r="BZ217" i="13"/>
  <c r="CC217" i="13"/>
  <c r="CA217" i="13"/>
  <c r="BZ123" i="13"/>
  <c r="CA123" i="13"/>
  <c r="CC123" i="13"/>
  <c r="BZ221" i="13"/>
  <c r="CA221" i="13"/>
  <c r="CC221" i="13"/>
  <c r="BZ67" i="13"/>
  <c r="CC67" i="13"/>
  <c r="CA67" i="13"/>
  <c r="BZ152" i="13"/>
  <c r="CC152" i="13"/>
  <c r="CA152" i="13"/>
  <c r="BZ166" i="13"/>
  <c r="CA166" i="13"/>
  <c r="CC166" i="13"/>
  <c r="BZ222" i="13"/>
  <c r="CA222" i="13"/>
  <c r="CC222" i="13"/>
  <c r="BZ110" i="13"/>
  <c r="CA110" i="13"/>
  <c r="CC110" i="13"/>
  <c r="CA232" i="13"/>
  <c r="BZ232" i="13"/>
  <c r="CC232" i="13"/>
  <c r="BZ224" i="13"/>
  <c r="CA224" i="13"/>
  <c r="CC224" i="13"/>
  <c r="BZ218" i="13"/>
  <c r="CA218" i="13"/>
  <c r="CC218" i="13"/>
  <c r="BZ231" i="13"/>
  <c r="CA231" i="13"/>
  <c r="CC231" i="13"/>
  <c r="BZ225" i="13"/>
  <c r="CC225" i="13"/>
  <c r="CA225" i="13"/>
  <c r="CA219" i="13"/>
  <c r="BZ219" i="13"/>
  <c r="CC219" i="13"/>
  <c r="BZ34" i="13"/>
  <c r="CC34" i="13"/>
  <c r="CA34" i="13"/>
  <c r="BZ215" i="13"/>
  <c r="CA215" i="13"/>
  <c r="CC215" i="13"/>
  <c r="BZ197" i="13"/>
  <c r="CA197" i="13"/>
  <c r="CC197" i="13"/>
  <c r="BZ220" i="13"/>
  <c r="CA220" i="13"/>
  <c r="CC220" i="13"/>
  <c r="BZ111" i="13"/>
  <c r="CC111" i="13"/>
  <c r="CA111" i="13"/>
  <c r="CC66" i="13"/>
  <c r="BZ66" i="13"/>
  <c r="CA66" i="13"/>
  <c r="BZ37" i="13"/>
  <c r="CA37" i="13"/>
  <c r="CC37" i="13"/>
  <c r="BZ36" i="13"/>
  <c r="CC36" i="13"/>
  <c r="CA36" i="13"/>
  <c r="CA223" i="13"/>
  <c r="CC223" i="13"/>
  <c r="BZ223" i="13"/>
  <c r="F217" i="5"/>
  <c r="F95" i="16"/>
  <c r="I95" i="16" s="1"/>
  <c r="F20" i="16"/>
  <c r="I20" i="16" s="1"/>
  <c r="F47" i="16"/>
  <c r="I47" i="16" s="1"/>
  <c r="F220" i="5"/>
  <c r="F101" i="16"/>
  <c r="I101" i="16" s="1"/>
  <c r="F48" i="16"/>
  <c r="I48" i="16" s="1"/>
  <c r="F13" i="16"/>
  <c r="I13" i="16" s="1"/>
  <c r="F88" i="16"/>
  <c r="I88" i="16" s="1"/>
  <c r="BJ96" i="13"/>
  <c r="BK96" i="13" s="1"/>
  <c r="BG96" i="13"/>
  <c r="BH96" i="13" s="1"/>
  <c r="F39" i="16"/>
  <c r="I39" i="16" s="1"/>
  <c r="F38" i="16"/>
  <c r="I38" i="16" s="1"/>
  <c r="F99" i="16"/>
  <c r="I99" i="16" s="1"/>
  <c r="F218" i="5"/>
  <c r="F23" i="16"/>
  <c r="I23" i="16" s="1"/>
  <c r="F46" i="16"/>
  <c r="I46" i="16" s="1"/>
  <c r="BD155" i="13"/>
  <c r="BE155" i="13" s="1"/>
  <c r="F69" i="16"/>
  <c r="I69" i="16" s="1"/>
  <c r="AB46" i="13" l="1"/>
  <c r="AI70" i="13"/>
  <c r="BB145" i="13"/>
  <c r="J70" i="11"/>
  <c r="F107" i="5"/>
  <c r="AC107" i="5" s="1"/>
  <c r="J66" i="11"/>
  <c r="AJ114" i="13"/>
  <c r="AK114" i="13"/>
  <c r="BT114" i="13" s="1"/>
  <c r="AI114" i="13"/>
  <c r="BR114" i="13" s="1"/>
  <c r="AB113" i="13"/>
  <c r="AB123" i="13" s="1"/>
  <c r="BS242" i="13"/>
  <c r="BT242" i="13"/>
  <c r="BR242" i="13"/>
  <c r="BT150" i="13"/>
  <c r="M71" i="11"/>
  <c r="BR150" i="13"/>
  <c r="K71" i="11"/>
  <c r="BS150" i="13"/>
  <c r="L71" i="11"/>
  <c r="BT239" i="13"/>
  <c r="M69" i="11"/>
  <c r="AJ187" i="13"/>
  <c r="BG187" i="13" s="1"/>
  <c r="BH187" i="13" s="1"/>
  <c r="P183" i="5" s="1"/>
  <c r="P183" i="21" s="1"/>
  <c r="L81" i="11"/>
  <c r="BS151" i="13"/>
  <c r="L72" i="11"/>
  <c r="BR239" i="13"/>
  <c r="K69" i="11"/>
  <c r="AI187" i="13"/>
  <c r="BD187" i="13" s="1"/>
  <c r="BE187" i="13" s="1"/>
  <c r="I183" i="5" s="1"/>
  <c r="K81" i="11"/>
  <c r="BR151" i="13"/>
  <c r="K72" i="11"/>
  <c r="BS239" i="13"/>
  <c r="L69" i="11"/>
  <c r="AK187" i="13"/>
  <c r="BJ187" i="13" s="1"/>
  <c r="BK187" i="13" s="1"/>
  <c r="W183" i="5" s="1"/>
  <c r="W183" i="21" s="1"/>
  <c r="M81" i="11"/>
  <c r="BT151" i="13"/>
  <c r="M72" i="11"/>
  <c r="F152" i="21"/>
  <c r="F191" i="21"/>
  <c r="AF191" i="21" s="1"/>
  <c r="F192" i="21"/>
  <c r="AF192" i="21" s="1"/>
  <c r="I58" i="21"/>
  <c r="I59" i="21"/>
  <c r="W189" i="21"/>
  <c r="W190" i="21"/>
  <c r="F153" i="21"/>
  <c r="AF153" i="21" s="1"/>
  <c r="P186" i="21"/>
  <c r="P187" i="21"/>
  <c r="W186" i="21"/>
  <c r="W187" i="21"/>
  <c r="P189" i="21"/>
  <c r="P190" i="21"/>
  <c r="I186" i="21"/>
  <c r="I187" i="21"/>
  <c r="I189" i="21"/>
  <c r="I190" i="21"/>
  <c r="I160" i="21"/>
  <c r="F154" i="21"/>
  <c r="I115" i="21"/>
  <c r="AK145" i="13"/>
  <c r="BT145" i="13" s="1"/>
  <c r="AI145" i="13"/>
  <c r="K70" i="11" s="1"/>
  <c r="AJ145" i="13"/>
  <c r="BS145" i="13" s="1"/>
  <c r="F139" i="5"/>
  <c r="AC139" i="5" s="1"/>
  <c r="AB144" i="13"/>
  <c r="I26" i="3" s="1"/>
  <c r="AB250" i="13"/>
  <c r="F138" i="5" s="1"/>
  <c r="AC138" i="5" s="1"/>
  <c r="BC114" i="13"/>
  <c r="BC145" i="13"/>
  <c r="F92" i="5"/>
  <c r="AC92" i="5" s="1"/>
  <c r="AZ145" i="13"/>
  <c r="BA145" i="13"/>
  <c r="AA77" i="13"/>
  <c r="AB77" i="13" s="1"/>
  <c r="AI77" i="13" s="1"/>
  <c r="U75" i="13"/>
  <c r="AA75" i="13" s="1"/>
  <c r="BJ23" i="13"/>
  <c r="BK23" i="13" s="1"/>
  <c r="W24" i="5" s="1"/>
  <c r="W24" i="21" s="1"/>
  <c r="BT23" i="13"/>
  <c r="BD23" i="13"/>
  <c r="BE23" i="13" s="1"/>
  <c r="BR23" i="13"/>
  <c r="BG23" i="13"/>
  <c r="BH23" i="13" s="1"/>
  <c r="P24" i="5" s="1"/>
  <c r="P24" i="21" s="1"/>
  <c r="BS23" i="13"/>
  <c r="U219" i="13"/>
  <c r="AA219" i="13" s="1"/>
  <c r="AB219" i="13" s="1"/>
  <c r="AB236" i="13"/>
  <c r="I204" i="21"/>
  <c r="I207" i="21"/>
  <c r="I114" i="21"/>
  <c r="F106" i="5"/>
  <c r="AC106" i="5" s="1"/>
  <c r="AI254" i="13"/>
  <c r="K66" i="11" s="1"/>
  <c r="AJ254" i="13"/>
  <c r="BS254" i="13" s="1"/>
  <c r="AK254" i="13"/>
  <c r="BT254" i="13" s="1"/>
  <c r="BB114" i="13"/>
  <c r="I199" i="21"/>
  <c r="W199" i="21"/>
  <c r="P199" i="21"/>
  <c r="I164" i="21"/>
  <c r="I119" i="21"/>
  <c r="I198" i="21"/>
  <c r="I109" i="21"/>
  <c r="W198" i="21"/>
  <c r="W119" i="21"/>
  <c r="P198" i="21"/>
  <c r="I196" i="21"/>
  <c r="I100" i="21"/>
  <c r="I101" i="21"/>
  <c r="P100" i="21"/>
  <c r="P101" i="21"/>
  <c r="I96" i="21"/>
  <c r="I97" i="21"/>
  <c r="W100" i="21"/>
  <c r="W101" i="21"/>
  <c r="P119" i="21"/>
  <c r="AJ94" i="13"/>
  <c r="AJ93" i="13" s="1"/>
  <c r="AK94" i="13"/>
  <c r="AK93" i="13" s="1"/>
  <c r="F82" i="5"/>
  <c r="AC82" i="5" s="1"/>
  <c r="AI94" i="13"/>
  <c r="AI93" i="13" s="1"/>
  <c r="AK84" i="13"/>
  <c r="AK83" i="13" s="1"/>
  <c r="AI84" i="13"/>
  <c r="AI83" i="13" s="1"/>
  <c r="AJ84" i="13"/>
  <c r="AJ83" i="13" s="1"/>
  <c r="BG72" i="13"/>
  <c r="BH72" i="13" s="1"/>
  <c r="P69" i="5" s="1"/>
  <c r="P69" i="21" s="1"/>
  <c r="BS72" i="13"/>
  <c r="BJ72" i="13"/>
  <c r="BK72" i="13" s="1"/>
  <c r="W69" i="5" s="1"/>
  <c r="W69" i="21" s="1"/>
  <c r="BT72" i="13"/>
  <c r="BD72" i="13"/>
  <c r="BE72" i="13" s="1"/>
  <c r="I69" i="5" s="1"/>
  <c r="I69" i="21" s="1"/>
  <c r="BR72" i="13"/>
  <c r="F12" i="21"/>
  <c r="AF12" i="21" s="1"/>
  <c r="AC86" i="5"/>
  <c r="AC68" i="5"/>
  <c r="F68" i="21"/>
  <c r="AF68" i="21" s="1"/>
  <c r="AC168" i="5"/>
  <c r="AC57" i="5"/>
  <c r="F57" i="21"/>
  <c r="AF57" i="21" s="1"/>
  <c r="AC174" i="5"/>
  <c r="F170" i="21"/>
  <c r="AF170" i="21" s="1"/>
  <c r="AC54" i="5"/>
  <c r="F54" i="21"/>
  <c r="AF54" i="21" s="1"/>
  <c r="AC24" i="5"/>
  <c r="F24" i="21"/>
  <c r="AF24" i="21" s="1"/>
  <c r="AC191" i="5"/>
  <c r="AC152" i="5"/>
  <c r="AC56" i="5"/>
  <c r="AC49" i="5"/>
  <c r="F49" i="21"/>
  <c r="AF49" i="21" s="1"/>
  <c r="AC44" i="5"/>
  <c r="F44" i="21"/>
  <c r="AF44" i="21" s="1"/>
  <c r="AC121" i="5"/>
  <c r="AC169" i="5"/>
  <c r="AC97" i="5"/>
  <c r="AC214" i="5"/>
  <c r="AC178" i="5"/>
  <c r="AC190" i="5"/>
  <c r="AF187" i="21"/>
  <c r="AC124" i="5"/>
  <c r="AC77" i="5"/>
  <c r="AC16" i="5"/>
  <c r="F16" i="21"/>
  <c r="AF16" i="21" s="1"/>
  <c r="AC67" i="5"/>
  <c r="AC90" i="5"/>
  <c r="AC132" i="5"/>
  <c r="AC128" i="5"/>
  <c r="AC226" i="5"/>
  <c r="AC181" i="5"/>
  <c r="AC113" i="5"/>
  <c r="F112" i="21"/>
  <c r="AF112" i="21" s="1"/>
  <c r="AC145" i="5"/>
  <c r="I51" i="21"/>
  <c r="AC180" i="5"/>
  <c r="AC112" i="5"/>
  <c r="AC134" i="5"/>
  <c r="F133" i="21"/>
  <c r="AF133" i="21" s="1"/>
  <c r="AC182" i="5"/>
  <c r="AC111" i="5"/>
  <c r="AC192" i="5"/>
  <c r="AC173" i="5"/>
  <c r="F169" i="21"/>
  <c r="AF169" i="21" s="1"/>
  <c r="AC28" i="5"/>
  <c r="F28" i="21"/>
  <c r="AF28" i="21" s="1"/>
  <c r="AC126" i="5"/>
  <c r="AC135" i="5"/>
  <c r="AF134" i="21"/>
  <c r="AC151" i="5"/>
  <c r="AF148" i="21"/>
  <c r="AC216" i="5"/>
  <c r="AC220" i="5"/>
  <c r="F217" i="21"/>
  <c r="AF217" i="21" s="1"/>
  <c r="AC219" i="5"/>
  <c r="AC176" i="5"/>
  <c r="AC59" i="5"/>
  <c r="AC14" i="5"/>
  <c r="F14" i="21"/>
  <c r="AF14" i="21" s="1"/>
  <c r="AC19" i="5"/>
  <c r="F19" i="21"/>
  <c r="AF19" i="21" s="1"/>
  <c r="AC50" i="5"/>
  <c r="F50" i="21"/>
  <c r="AF50" i="21" s="1"/>
  <c r="AC34" i="5"/>
  <c r="F34" i="21"/>
  <c r="AF34" i="21" s="1"/>
  <c r="AC140" i="5"/>
  <c r="AC42" i="5"/>
  <c r="AC130" i="5"/>
  <c r="AC23" i="5"/>
  <c r="F23" i="21"/>
  <c r="AF23" i="21" s="1"/>
  <c r="AC205" i="5"/>
  <c r="AC136" i="5"/>
  <c r="F135" i="21"/>
  <c r="AF135" i="21" s="1"/>
  <c r="AC60" i="5"/>
  <c r="F60" i="21"/>
  <c r="AF60" i="21" s="1"/>
  <c r="AC109" i="5"/>
  <c r="AC222" i="5"/>
  <c r="F219" i="21"/>
  <c r="AF219" i="21" s="1"/>
  <c r="AC122" i="5"/>
  <c r="F121" i="21"/>
  <c r="AF121" i="21" s="1"/>
  <c r="AC53" i="5"/>
  <c r="AC22" i="5"/>
  <c r="F22" i="21"/>
  <c r="AF22" i="21" s="1"/>
  <c r="AC30" i="5"/>
  <c r="F30" i="21"/>
  <c r="AF30" i="21" s="1"/>
  <c r="AC187" i="5"/>
  <c r="AC184" i="5"/>
  <c r="F181" i="21"/>
  <c r="AF181" i="21" s="1"/>
  <c r="AC170" i="5"/>
  <c r="AC45" i="5"/>
  <c r="F45" i="21"/>
  <c r="AF45" i="21" s="1"/>
  <c r="AC153" i="5"/>
  <c r="AC21" i="5"/>
  <c r="F21" i="21"/>
  <c r="AF21" i="21" s="1"/>
  <c r="AC29" i="5"/>
  <c r="F29" i="21"/>
  <c r="AF29" i="21" s="1"/>
  <c r="AC141" i="5"/>
  <c r="AC224" i="5"/>
  <c r="AC43" i="5"/>
  <c r="F43" i="21"/>
  <c r="AF43" i="21" s="1"/>
  <c r="AC13" i="5"/>
  <c r="F13" i="21"/>
  <c r="AF13" i="21" s="1"/>
  <c r="AC25" i="5"/>
  <c r="F25" i="21"/>
  <c r="AF25" i="21" s="1"/>
  <c r="AC143" i="5"/>
  <c r="F141" i="21"/>
  <c r="AF141" i="21" s="1"/>
  <c r="AC115" i="5"/>
  <c r="AC156" i="5"/>
  <c r="AB220" i="21"/>
  <c r="AI41" i="13"/>
  <c r="AJ205" i="13"/>
  <c r="AI205" i="13"/>
  <c r="AK205" i="13"/>
  <c r="AI89" i="13"/>
  <c r="AK89" i="13"/>
  <c r="AJ89" i="13"/>
  <c r="AJ140" i="13"/>
  <c r="AJ143" i="13"/>
  <c r="BG142" i="13"/>
  <c r="BH142" i="13" s="1"/>
  <c r="P135" i="5" s="1"/>
  <c r="P135" i="21" s="1"/>
  <c r="AJ141" i="13"/>
  <c r="AK140" i="13"/>
  <c r="AK143" i="13"/>
  <c r="BJ142" i="13"/>
  <c r="BK142" i="13" s="1"/>
  <c r="W135" i="5" s="1"/>
  <c r="W135" i="21" s="1"/>
  <c r="AK141" i="13"/>
  <c r="AK225" i="13"/>
  <c r="BT225" i="13" s="1"/>
  <c r="AJ225" i="13"/>
  <c r="BS225" i="13" s="1"/>
  <c r="AI225" i="13"/>
  <c r="BR225" i="13" s="1"/>
  <c r="AI141" i="13"/>
  <c r="AI140" i="13"/>
  <c r="AI143" i="13"/>
  <c r="BD142" i="13"/>
  <c r="BE142" i="13" s="1"/>
  <c r="I135" i="5" s="1"/>
  <c r="I135" i="21" s="1"/>
  <c r="AJ227" i="13"/>
  <c r="AK227" i="13"/>
  <c r="AI227" i="13"/>
  <c r="AK217" i="13"/>
  <c r="AI217" i="13"/>
  <c r="AJ217" i="13"/>
  <c r="AJ80" i="13"/>
  <c r="AI80" i="13"/>
  <c r="AK80" i="13"/>
  <c r="AJ186" i="13"/>
  <c r="AJ185" i="13"/>
  <c r="AI229" i="13"/>
  <c r="AJ229" i="13"/>
  <c r="AK229" i="13"/>
  <c r="AI212" i="13"/>
  <c r="AK212" i="13"/>
  <c r="AJ212" i="13"/>
  <c r="AK186" i="13"/>
  <c r="AK185" i="13"/>
  <c r="AI170" i="13"/>
  <c r="AK170" i="13"/>
  <c r="AJ170" i="13"/>
  <c r="AJ165" i="13"/>
  <c r="AJ164" i="13" s="1"/>
  <c r="AK165" i="13"/>
  <c r="AK164" i="13" s="1"/>
  <c r="AI165" i="13"/>
  <c r="AI164" i="13" s="1"/>
  <c r="AI186" i="13"/>
  <c r="AI185" i="13"/>
  <c r="AK182" i="13"/>
  <c r="AK181" i="13"/>
  <c r="AI182" i="13"/>
  <c r="AI181" i="13"/>
  <c r="AJ174" i="13"/>
  <c r="AJ173" i="13"/>
  <c r="L80" i="11" s="1"/>
  <c r="AJ206" i="13"/>
  <c r="AI206" i="13"/>
  <c r="AK206" i="13"/>
  <c r="AJ181" i="13"/>
  <c r="AJ182" i="13"/>
  <c r="AK174" i="13"/>
  <c r="AK173" i="13"/>
  <c r="M80" i="11" s="1"/>
  <c r="AJ41" i="13"/>
  <c r="AI174" i="13"/>
  <c r="AI173" i="13"/>
  <c r="K80" i="11" s="1"/>
  <c r="AJ91" i="13"/>
  <c r="AI91" i="13"/>
  <c r="AK91" i="13"/>
  <c r="AI92" i="13"/>
  <c r="AJ92" i="13"/>
  <c r="AK92" i="13"/>
  <c r="I260" i="5"/>
  <c r="BK310" i="13"/>
  <c r="F64" i="16"/>
  <c r="I64" i="16" s="1"/>
  <c r="F99" i="5"/>
  <c r="F100" i="21" s="1"/>
  <c r="AF100" i="21" s="1"/>
  <c r="F61" i="5"/>
  <c r="F87" i="5"/>
  <c r="F81" i="16"/>
  <c r="I81" i="16" s="1"/>
  <c r="K22" i="3"/>
  <c r="F21" i="16"/>
  <c r="I21" i="16" s="1"/>
  <c r="F160" i="5"/>
  <c r="F82" i="16"/>
  <c r="I82" i="16" s="1"/>
  <c r="F80" i="16"/>
  <c r="I80" i="16" s="1"/>
  <c r="F157" i="5"/>
  <c r="F157" i="21" s="1"/>
  <c r="AM91" i="13"/>
  <c r="AY91" i="13" s="1"/>
  <c r="AB90" i="13"/>
  <c r="K21" i="3"/>
  <c r="BI310" i="13"/>
  <c r="BK303" i="13"/>
  <c r="BT299" i="13" s="1"/>
  <c r="BJ310" i="13"/>
  <c r="F32" i="5"/>
  <c r="F44" i="16"/>
  <c r="I44" i="16" s="1"/>
  <c r="F24" i="16"/>
  <c r="I24" i="16" s="1"/>
  <c r="AI189" i="13"/>
  <c r="AK189" i="13"/>
  <c r="AJ189" i="13"/>
  <c r="F62" i="5"/>
  <c r="AK63" i="13"/>
  <c r="AJ63" i="13"/>
  <c r="AI63" i="13"/>
  <c r="F89" i="5"/>
  <c r="F90" i="21" s="1"/>
  <c r="AF90" i="21" s="1"/>
  <c r="F33" i="5"/>
  <c r="BJ32" i="13"/>
  <c r="BG32" i="13"/>
  <c r="BD32" i="13"/>
  <c r="F26" i="5"/>
  <c r="BJ25" i="13"/>
  <c r="BG25" i="13"/>
  <c r="BD25" i="13"/>
  <c r="AJ192" i="13"/>
  <c r="F125" i="5"/>
  <c r="F125" i="21" s="1"/>
  <c r="AF125" i="21" s="1"/>
  <c r="AK130" i="13"/>
  <c r="AJ130" i="13"/>
  <c r="BT149" i="13"/>
  <c r="BS149" i="13"/>
  <c r="BR149" i="13"/>
  <c r="F75" i="5"/>
  <c r="F73" i="5"/>
  <c r="BJ11" i="13"/>
  <c r="BK11" i="13" s="1"/>
  <c r="W12" i="5" s="1"/>
  <c r="W12" i="21" s="1"/>
  <c r="BG11" i="13"/>
  <c r="BH11" i="13" s="1"/>
  <c r="P12" i="5" s="1"/>
  <c r="P12" i="21" s="1"/>
  <c r="F85" i="5"/>
  <c r="F86" i="21" s="1"/>
  <c r="AF86" i="21" s="1"/>
  <c r="F129" i="5"/>
  <c r="F129" i="21" s="1"/>
  <c r="AF129" i="21" s="1"/>
  <c r="AI134" i="13"/>
  <c r="AK134" i="13"/>
  <c r="AJ134" i="13"/>
  <c r="F52" i="5"/>
  <c r="F53" i="21" s="1"/>
  <c r="AF53" i="21" s="1"/>
  <c r="F18" i="5"/>
  <c r="AI16" i="13"/>
  <c r="BJ157" i="13"/>
  <c r="BK157" i="13" s="1"/>
  <c r="W152" i="5" s="1"/>
  <c r="BG157" i="13"/>
  <c r="BH157" i="13" s="1"/>
  <c r="P152" i="5" s="1"/>
  <c r="BD157" i="13"/>
  <c r="BE157" i="13" s="1"/>
  <c r="I152" i="5" s="1"/>
  <c r="AK56" i="13"/>
  <c r="AJ56" i="13"/>
  <c r="AI56" i="13"/>
  <c r="F15" i="5"/>
  <c r="BJ29" i="13"/>
  <c r="BK29" i="13" s="1"/>
  <c r="W30" i="5" s="1"/>
  <c r="W30" i="21" s="1"/>
  <c r="BG29" i="13"/>
  <c r="BD29" i="13"/>
  <c r="BE29" i="13" s="1"/>
  <c r="I30" i="5" s="1"/>
  <c r="I30" i="21" s="1"/>
  <c r="F98" i="5"/>
  <c r="BD102" i="13"/>
  <c r="BE102" i="13" s="1"/>
  <c r="I98" i="5" s="1"/>
  <c r="BJ102" i="13"/>
  <c r="BK102" i="13" s="1"/>
  <c r="W98" i="5" s="1"/>
  <c r="BG102" i="13"/>
  <c r="BH102" i="13" s="1"/>
  <c r="P98" i="5" s="1"/>
  <c r="F69" i="5"/>
  <c r="F177" i="5"/>
  <c r="F177" i="21" s="1"/>
  <c r="AF177" i="21" s="1"/>
  <c r="F158" i="5"/>
  <c r="AK162" i="13"/>
  <c r="AJ162" i="13"/>
  <c r="AI162" i="13"/>
  <c r="BS114" i="13"/>
  <c r="F71" i="5"/>
  <c r="F71" i="21" s="1"/>
  <c r="BD73" i="13"/>
  <c r="BT73" i="13"/>
  <c r="BG73" i="13"/>
  <c r="F101" i="5"/>
  <c r="AK103" i="13"/>
  <c r="AJ103" i="13"/>
  <c r="AI103" i="13"/>
  <c r="F83" i="5"/>
  <c r="BE234" i="13"/>
  <c r="I39" i="5" s="1"/>
  <c r="I39" i="21" s="1"/>
  <c r="BH234" i="13"/>
  <c r="P39" i="5" s="1"/>
  <c r="P39" i="21" s="1"/>
  <c r="BK252" i="13"/>
  <c r="W166" i="5" s="1"/>
  <c r="BH252" i="13"/>
  <c r="P166" i="5" s="1"/>
  <c r="F108" i="5"/>
  <c r="F108" i="21" s="1"/>
  <c r="AF108" i="21" s="1"/>
  <c r="BE252" i="13"/>
  <c r="I166" i="5" s="1"/>
  <c r="F53" i="16"/>
  <c r="I53" i="16" s="1"/>
  <c r="BJ163" i="13"/>
  <c r="BK163" i="13" s="1"/>
  <c r="W158" i="5" s="1"/>
  <c r="BG151" i="13"/>
  <c r="BH151" i="13" s="1"/>
  <c r="P145" i="5" s="1"/>
  <c r="F175" i="5"/>
  <c r="F175" i="21" s="1"/>
  <c r="AF175" i="21" s="1"/>
  <c r="F66" i="5"/>
  <c r="F67" i="21" s="1"/>
  <c r="AF67" i="21" s="1"/>
  <c r="F29" i="16"/>
  <c r="I29" i="16" s="1"/>
  <c r="F78" i="16"/>
  <c r="I78" i="16" s="1"/>
  <c r="F58" i="5"/>
  <c r="F59" i="21" s="1"/>
  <c r="AF59" i="21" s="1"/>
  <c r="F22" i="16"/>
  <c r="I22" i="16" s="1"/>
  <c r="BJ150" i="13"/>
  <c r="BK150" i="13" s="1"/>
  <c r="W144" i="5" s="1"/>
  <c r="BD150" i="13"/>
  <c r="BE150" i="13" s="1"/>
  <c r="I144" i="5" s="1"/>
  <c r="BD151" i="13"/>
  <c r="BE151" i="13" s="1"/>
  <c r="I145" i="5" s="1"/>
  <c r="BD163" i="13"/>
  <c r="F127" i="5"/>
  <c r="F127" i="21" s="1"/>
  <c r="AF127" i="21" s="1"/>
  <c r="F123" i="21"/>
  <c r="AF123" i="21" s="1"/>
  <c r="F41" i="5"/>
  <c r="F42" i="21" s="1"/>
  <c r="AF42" i="21" s="1"/>
  <c r="F131" i="5"/>
  <c r="F132" i="21" s="1"/>
  <c r="AF132" i="21" s="1"/>
  <c r="F223" i="5"/>
  <c r="F223" i="21" s="1"/>
  <c r="AF223" i="21" s="1"/>
  <c r="F183" i="5"/>
  <c r="F183" i="21" s="1"/>
  <c r="AF183" i="21" s="1"/>
  <c r="F185" i="5"/>
  <c r="F186" i="21" s="1"/>
  <c r="F19" i="16"/>
  <c r="I19" i="16" s="1"/>
  <c r="F51" i="5"/>
  <c r="F55" i="5"/>
  <c r="F56" i="21" s="1"/>
  <c r="AF56" i="21" s="1"/>
  <c r="F76" i="16"/>
  <c r="I76" i="16" s="1"/>
  <c r="F167" i="5"/>
  <c r="F167" i="21" s="1"/>
  <c r="AF167" i="21" s="1"/>
  <c r="F110" i="5"/>
  <c r="F111" i="21" s="1"/>
  <c r="AF111" i="21" s="1"/>
  <c r="F188" i="5"/>
  <c r="F189" i="21" s="1"/>
  <c r="F171" i="5"/>
  <c r="F172" i="21" s="1"/>
  <c r="AF172" i="21" s="1"/>
  <c r="F142" i="5"/>
  <c r="F142" i="21" s="1"/>
  <c r="AF142" i="21" s="1"/>
  <c r="BT188" i="13"/>
  <c r="F12" i="16"/>
  <c r="I12" i="16" s="1"/>
  <c r="BR188" i="13"/>
  <c r="F54" i="16"/>
  <c r="I54" i="16" s="1"/>
  <c r="AI130" i="13"/>
  <c r="BJ156" i="13"/>
  <c r="BK156" i="13" s="1"/>
  <c r="F9" i="16"/>
  <c r="I9" i="16" s="1"/>
  <c r="F20" i="5"/>
  <c r="F11" i="5"/>
  <c r="AC11" i="5" s="1"/>
  <c r="AC246" i="5" s="1"/>
  <c r="BG150" i="13"/>
  <c r="BH150" i="13" s="1"/>
  <c r="P144" i="5" s="1"/>
  <c r="BD156" i="13"/>
  <c r="BE156" i="13" s="1"/>
  <c r="F17" i="5"/>
  <c r="BJ151" i="13"/>
  <c r="F11" i="16"/>
  <c r="I11" i="16" s="1"/>
  <c r="F31" i="5"/>
  <c r="I11" i="5"/>
  <c r="BD161" i="13"/>
  <c r="BE161" i="13" s="1"/>
  <c r="I156" i="5" s="1"/>
  <c r="BD188" i="13"/>
  <c r="BE188" i="13" s="1"/>
  <c r="I184" i="5" s="1"/>
  <c r="I185" i="21" s="1"/>
  <c r="AB86" i="13"/>
  <c r="AB164" i="13"/>
  <c r="F221" i="5"/>
  <c r="F221" i="21" s="1"/>
  <c r="AF221" i="21" s="1"/>
  <c r="F60" i="16"/>
  <c r="I60" i="16" s="1"/>
  <c r="BJ188" i="13"/>
  <c r="BK188" i="13" s="1"/>
  <c r="W184" i="5" s="1"/>
  <c r="W185" i="21" s="1"/>
  <c r="BG188" i="13"/>
  <c r="BH188" i="13" s="1"/>
  <c r="P184" i="5" s="1"/>
  <c r="P185" i="21" s="1"/>
  <c r="BJ161" i="13"/>
  <c r="BK161" i="13" s="1"/>
  <c r="W156" i="5" s="1"/>
  <c r="BG161" i="13"/>
  <c r="BH161" i="13" s="1"/>
  <c r="P156" i="5" s="1"/>
  <c r="AI59" i="13"/>
  <c r="BS188" i="13"/>
  <c r="BG156" i="13"/>
  <c r="BT158" i="13"/>
  <c r="BS158" i="13"/>
  <c r="I259" i="5" a="1"/>
  <c r="I259" i="5" s="1"/>
  <c r="BR158" i="13"/>
  <c r="BJ22" i="13"/>
  <c r="BT22" i="13"/>
  <c r="BG22" i="13"/>
  <c r="BS22" i="13"/>
  <c r="BJ12" i="13"/>
  <c r="BT12" i="13"/>
  <c r="BD12" i="13"/>
  <c r="BR12" i="13"/>
  <c r="BG12" i="13"/>
  <c r="BS12" i="13"/>
  <c r="BG239" i="13"/>
  <c r="BH239" i="13" s="1"/>
  <c r="P124" i="5" s="1"/>
  <c r="P124" i="21" s="1"/>
  <c r="BD239" i="13"/>
  <c r="BE239" i="13" s="1"/>
  <c r="I124" i="5" s="1"/>
  <c r="I124" i="21" s="1"/>
  <c r="BJ239" i="13"/>
  <c r="BK239" i="13" s="1"/>
  <c r="W124" i="5" s="1"/>
  <c r="W124" i="21" s="1"/>
  <c r="BD22" i="13"/>
  <c r="BR22" i="13"/>
  <c r="F61" i="16"/>
  <c r="I61" i="16" s="1"/>
  <c r="AB210" i="13"/>
  <c r="Z204" i="13"/>
  <c r="AA81" i="13"/>
  <c r="AB81" i="13" s="1"/>
  <c r="F77" i="16"/>
  <c r="AI192" i="13"/>
  <c r="AK192" i="13"/>
  <c r="I246" i="5"/>
  <c r="BE240" i="13"/>
  <c r="I247" i="5" s="1"/>
  <c r="BH240" i="13"/>
  <c r="P128" i="5" s="1"/>
  <c r="P128" i="21" s="1"/>
  <c r="BK240" i="13"/>
  <c r="W128" i="5" s="1"/>
  <c r="W128" i="21" s="1"/>
  <c r="F62" i="16"/>
  <c r="I62" i="16" s="1"/>
  <c r="BE245" i="13"/>
  <c r="I180" i="5" s="1"/>
  <c r="BE244" i="13"/>
  <c r="BE243" i="13"/>
  <c r="BE242" i="13"/>
  <c r="I168" i="5" s="1"/>
  <c r="BH245" i="13"/>
  <c r="P180" i="5" s="1"/>
  <c r="BH244" i="13"/>
  <c r="P176" i="5" s="1"/>
  <c r="BH242" i="13"/>
  <c r="P168" i="5" s="1"/>
  <c r="BK245" i="13"/>
  <c r="W180" i="5" s="1"/>
  <c r="BK244" i="13"/>
  <c r="W176" i="5" s="1"/>
  <c r="BK242" i="13"/>
  <c r="W168" i="5" s="1"/>
  <c r="BK241" i="13"/>
  <c r="W132" i="5" s="1"/>
  <c r="W132" i="21" s="1"/>
  <c r="BH241" i="13"/>
  <c r="P132" i="5" s="1"/>
  <c r="P132" i="21" s="1"/>
  <c r="BE241" i="13"/>
  <c r="I132" i="5" s="1"/>
  <c r="I132" i="21" s="1"/>
  <c r="BK237" i="13"/>
  <c r="W56" i="5" s="1"/>
  <c r="BH237" i="13"/>
  <c r="P56" i="5" s="1"/>
  <c r="BE237" i="13"/>
  <c r="I56" i="5" s="1"/>
  <c r="AB204" i="13"/>
  <c r="F165" i="5"/>
  <c r="AB169" i="13"/>
  <c r="F8" i="16"/>
  <c r="I8" i="16" s="1"/>
  <c r="AB39" i="13"/>
  <c r="F202" i="5"/>
  <c r="F203" i="5"/>
  <c r="BH15" i="13"/>
  <c r="BH27" i="13"/>
  <c r="P28" i="5" s="1"/>
  <c r="P28" i="21" s="1"/>
  <c r="BK27" i="13"/>
  <c r="W28" i="5" s="1"/>
  <c r="W28" i="21" s="1"/>
  <c r="BE27" i="13"/>
  <c r="I28" i="5" s="1"/>
  <c r="I28" i="21" s="1"/>
  <c r="BK15" i="13"/>
  <c r="W16" i="5" s="1"/>
  <c r="F208" i="5"/>
  <c r="AB201" i="13"/>
  <c r="F79" i="5"/>
  <c r="BD128" i="13"/>
  <c r="BG128" i="13"/>
  <c r="BJ128" i="13"/>
  <c r="BE15" i="13"/>
  <c r="I16" i="5" s="1"/>
  <c r="I16" i="21" s="1"/>
  <c r="AI19" i="13"/>
  <c r="AI155" i="13"/>
  <c r="AK155" i="13"/>
  <c r="AJ19" i="13"/>
  <c r="AI117" i="13"/>
  <c r="F7" i="16"/>
  <c r="I7" i="16" s="1"/>
  <c r="AB36" i="13"/>
  <c r="C36" i="11" s="1"/>
  <c r="AI126" i="13"/>
  <c r="F10" i="16"/>
  <c r="I10" i="16" s="1"/>
  <c r="AA197" i="13"/>
  <c r="AA214" i="13"/>
  <c r="AK117" i="13"/>
  <c r="AJ126" i="13"/>
  <c r="AJ117" i="13"/>
  <c r="AK126" i="13"/>
  <c r="BE223" i="13"/>
  <c r="I219" i="5" s="1"/>
  <c r="BE220" i="13"/>
  <c r="I216" i="5" s="1"/>
  <c r="BE69" i="13"/>
  <c r="I66" i="5" s="1"/>
  <c r="BG222" i="13"/>
  <c r="BH222" i="13" s="1"/>
  <c r="P218" i="5" s="1"/>
  <c r="BD221" i="13"/>
  <c r="BG220" i="13"/>
  <c r="BH220" i="13" s="1"/>
  <c r="P216" i="5" s="1"/>
  <c r="BG226" i="13"/>
  <c r="BH226" i="13" s="1"/>
  <c r="P222" i="5" s="1"/>
  <c r="BD226" i="13"/>
  <c r="BJ222" i="13"/>
  <c r="BK222" i="13" s="1"/>
  <c r="W218" i="5" s="1"/>
  <c r="BG218" i="13"/>
  <c r="BH218" i="13" s="1"/>
  <c r="P214" i="5" s="1"/>
  <c r="BJ229" i="13"/>
  <c r="BK229" i="13" s="1"/>
  <c r="W225" i="5" s="1"/>
  <c r="BJ218" i="13"/>
  <c r="BK218" i="13" s="1"/>
  <c r="W214" i="5" s="1"/>
  <c r="BJ223" i="13"/>
  <c r="BK223" i="13" s="1"/>
  <c r="W219" i="5" s="1"/>
  <c r="BG221" i="13"/>
  <c r="BH221" i="13" s="1"/>
  <c r="P217" i="5" s="1"/>
  <c r="BJ221" i="13"/>
  <c r="BK221" i="13" s="1"/>
  <c r="W217" i="5" s="1"/>
  <c r="BD218" i="13"/>
  <c r="BD225" i="13"/>
  <c r="BD224" i="13"/>
  <c r="BJ220" i="13"/>
  <c r="BK220" i="13" s="1"/>
  <c r="W216" i="5" s="1"/>
  <c r="BG223" i="13"/>
  <c r="BH223" i="13" s="1"/>
  <c r="P219" i="5" s="1"/>
  <c r="BJ228" i="13"/>
  <c r="BK228" i="13" s="1"/>
  <c r="W224" i="5" s="1"/>
  <c r="BD228" i="13"/>
  <c r="BJ224" i="13"/>
  <c r="BK224" i="13" s="1"/>
  <c r="W220" i="5" s="1"/>
  <c r="BJ225" i="13"/>
  <c r="BK225" i="13" s="1"/>
  <c r="W221" i="5" s="1"/>
  <c r="BG224" i="13"/>
  <c r="BH224" i="13" s="1"/>
  <c r="P220" i="5" s="1"/>
  <c r="BG225" i="13"/>
  <c r="BH225" i="13" s="1"/>
  <c r="P221" i="5" s="1"/>
  <c r="BD222" i="13"/>
  <c r="F225" i="5"/>
  <c r="F225" i="21" s="1"/>
  <c r="AC217" i="5"/>
  <c r="AC218" i="5"/>
  <c r="F119" i="5"/>
  <c r="F179" i="5"/>
  <c r="F179" i="21" s="1"/>
  <c r="AF179" i="21" s="1"/>
  <c r="BJ75" i="13"/>
  <c r="BK75" i="13" s="1"/>
  <c r="W74" i="5" s="1"/>
  <c r="BG75" i="13"/>
  <c r="BH75" i="13" s="1"/>
  <c r="P74" i="5" s="1"/>
  <c r="BD75" i="13"/>
  <c r="BE75" i="13" s="1"/>
  <c r="BJ46" i="13"/>
  <c r="BK46" i="13" s="1"/>
  <c r="W46" i="5" s="1"/>
  <c r="W46" i="21" s="1"/>
  <c r="BD46" i="13"/>
  <c r="BD113" i="13"/>
  <c r="BJ113" i="13"/>
  <c r="BG113" i="13"/>
  <c r="BJ69" i="13"/>
  <c r="BK69" i="13" s="1"/>
  <c r="W66" i="5" s="1"/>
  <c r="BG69" i="13"/>
  <c r="BH69" i="13" s="1"/>
  <c r="P66" i="5" s="1"/>
  <c r="F27" i="5"/>
  <c r="I31" i="5"/>
  <c r="I20" i="5"/>
  <c r="I20" i="21" s="1"/>
  <c r="F79" i="16"/>
  <c r="I79" i="16" s="1"/>
  <c r="F59" i="16"/>
  <c r="I59" i="16" s="1"/>
  <c r="BD65" i="13"/>
  <c r="BD96" i="13"/>
  <c r="BE96" i="13" s="1"/>
  <c r="BG46" i="13"/>
  <c r="BH46" i="13" s="1"/>
  <c r="P46" i="5" s="1"/>
  <c r="P46" i="21" s="1"/>
  <c r="F213" i="5"/>
  <c r="F213" i="21" s="1"/>
  <c r="AF213" i="21" s="1"/>
  <c r="F94" i="16"/>
  <c r="I149" i="5"/>
  <c r="F105" i="5" l="1"/>
  <c r="F52" i="16"/>
  <c r="I52" i="16" s="1"/>
  <c r="F139" i="21"/>
  <c r="AF139" i="21" s="1"/>
  <c r="BR145" i="13"/>
  <c r="F137" i="5"/>
  <c r="AC137" i="5" s="1"/>
  <c r="F63" i="16"/>
  <c r="I63" i="16" s="1"/>
  <c r="AB152" i="13"/>
  <c r="BR254" i="13"/>
  <c r="I253" i="5"/>
  <c r="I172" i="5"/>
  <c r="I255" i="5"/>
  <c r="I176" i="5"/>
  <c r="F138" i="21"/>
  <c r="AF138" i="21" s="1"/>
  <c r="AI250" i="13"/>
  <c r="BD145" i="13" s="1"/>
  <c r="BD250" i="13" s="1"/>
  <c r="BE250" i="13" s="1"/>
  <c r="AJ250" i="13"/>
  <c r="BG145" i="13" s="1"/>
  <c r="AK250" i="13"/>
  <c r="BJ145" i="13" s="1"/>
  <c r="BT174" i="13"/>
  <c r="L66" i="11"/>
  <c r="L70" i="11"/>
  <c r="M66" i="11"/>
  <c r="BS174" i="13"/>
  <c r="M70" i="11"/>
  <c r="BR174" i="13"/>
  <c r="I152" i="21"/>
  <c r="I150" i="5"/>
  <c r="W152" i="21"/>
  <c r="W150" i="5"/>
  <c r="AK144" i="13"/>
  <c r="AJ144" i="13"/>
  <c r="AI144" i="13"/>
  <c r="F226" i="21"/>
  <c r="I66" i="21"/>
  <c r="I67" i="21"/>
  <c r="F224" i="21"/>
  <c r="I56" i="21"/>
  <c r="I57" i="21"/>
  <c r="W225" i="21"/>
  <c r="W226" i="21"/>
  <c r="P56" i="21"/>
  <c r="P57" i="21"/>
  <c r="W56" i="21"/>
  <c r="W57" i="21"/>
  <c r="F158" i="21"/>
  <c r="I157" i="21"/>
  <c r="W158" i="21"/>
  <c r="W159" i="21"/>
  <c r="W66" i="21"/>
  <c r="W67" i="21"/>
  <c r="P66" i="21"/>
  <c r="P67" i="21"/>
  <c r="P156" i="21"/>
  <c r="P157" i="21"/>
  <c r="W156" i="21"/>
  <c r="W157" i="21"/>
  <c r="BK298" i="13"/>
  <c r="F76" i="5"/>
  <c r="F77" i="21" s="1"/>
  <c r="AF77" i="21" s="1"/>
  <c r="AB75" i="13"/>
  <c r="AJ77" i="13"/>
  <c r="AJ75" i="13" s="1"/>
  <c r="AK77" i="13"/>
  <c r="AK75" i="13" s="1"/>
  <c r="BJ298" i="13"/>
  <c r="BI298" i="13"/>
  <c r="AB231" i="13"/>
  <c r="AD223" i="13" s="1"/>
  <c r="F215" i="5"/>
  <c r="F215" i="21" s="1"/>
  <c r="AF215" i="21" s="1"/>
  <c r="F106" i="21"/>
  <c r="AF106" i="21" s="1"/>
  <c r="AI236" i="13"/>
  <c r="AI50" i="13" s="1"/>
  <c r="AK236" i="13"/>
  <c r="F237" i="5"/>
  <c r="AJ236" i="13"/>
  <c r="F47" i="5"/>
  <c r="F48" i="21" s="1"/>
  <c r="AF48" i="21" s="1"/>
  <c r="F137" i="21"/>
  <c r="AF137" i="21" s="1"/>
  <c r="F110" i="21"/>
  <c r="AF110" i="21" s="1"/>
  <c r="AF186" i="21"/>
  <c r="F185" i="21"/>
  <c r="AF185" i="21" s="1"/>
  <c r="F131" i="21"/>
  <c r="AF131" i="21" s="1"/>
  <c r="F188" i="21"/>
  <c r="AF188" i="21" s="1"/>
  <c r="F120" i="21"/>
  <c r="AF120" i="21" s="1"/>
  <c r="F119" i="21"/>
  <c r="AF119" i="21" s="1"/>
  <c r="P143" i="21"/>
  <c r="P145" i="21"/>
  <c r="I143" i="21"/>
  <c r="I145" i="21"/>
  <c r="I142" i="21"/>
  <c r="I144" i="21"/>
  <c r="W142" i="21"/>
  <c r="W144" i="21"/>
  <c r="P142" i="21"/>
  <c r="P144" i="21"/>
  <c r="F184" i="21"/>
  <c r="AF184" i="21" s="1"/>
  <c r="F216" i="21"/>
  <c r="AF216" i="21" s="1"/>
  <c r="F214" i="21"/>
  <c r="AF214" i="21" s="1"/>
  <c r="F143" i="21"/>
  <c r="AF143" i="21" s="1"/>
  <c r="AF189" i="21"/>
  <c r="F166" i="21"/>
  <c r="AF166" i="21" s="1"/>
  <c r="F178" i="21"/>
  <c r="AF178" i="21" s="1"/>
  <c r="P167" i="21"/>
  <c r="W167" i="21"/>
  <c r="W222" i="21"/>
  <c r="P221" i="21"/>
  <c r="W219" i="21"/>
  <c r="I167" i="21"/>
  <c r="I180" i="21"/>
  <c r="W217" i="21"/>
  <c r="I149" i="21"/>
  <c r="W218" i="21"/>
  <c r="I134" i="21"/>
  <c r="I136" i="21"/>
  <c r="P134" i="21"/>
  <c r="P136" i="21"/>
  <c r="I165" i="21"/>
  <c r="I168" i="21"/>
  <c r="P98" i="21"/>
  <c r="P99" i="21"/>
  <c r="W98" i="21"/>
  <c r="W99" i="21"/>
  <c r="I131" i="21"/>
  <c r="I133" i="21"/>
  <c r="I98" i="21"/>
  <c r="I99" i="21"/>
  <c r="W221" i="21"/>
  <c r="P219" i="21"/>
  <c r="P131" i="21"/>
  <c r="P133" i="21"/>
  <c r="I181" i="21"/>
  <c r="I184" i="21"/>
  <c r="P74" i="21"/>
  <c r="P75" i="21"/>
  <c r="W131" i="21"/>
  <c r="W133" i="21"/>
  <c r="W74" i="21"/>
  <c r="W75" i="21"/>
  <c r="W165" i="21"/>
  <c r="W168" i="21"/>
  <c r="W127" i="21"/>
  <c r="W129" i="21"/>
  <c r="P137" i="21"/>
  <c r="I183" i="21"/>
  <c r="W181" i="21"/>
  <c r="W184" i="21"/>
  <c r="P180" i="21"/>
  <c r="P127" i="21"/>
  <c r="P129" i="21"/>
  <c r="I123" i="21"/>
  <c r="I125" i="21"/>
  <c r="W134" i="21"/>
  <c r="W136" i="21"/>
  <c r="W176" i="21"/>
  <c r="I137" i="21"/>
  <c r="P165" i="21"/>
  <c r="P168" i="21"/>
  <c r="P181" i="21"/>
  <c r="P184" i="21"/>
  <c r="W123" i="21"/>
  <c r="W125" i="21"/>
  <c r="P218" i="21"/>
  <c r="P123" i="21"/>
  <c r="P125" i="21"/>
  <c r="P217" i="21"/>
  <c r="P176" i="21"/>
  <c r="W137" i="21"/>
  <c r="W180" i="21"/>
  <c r="AA231" i="13"/>
  <c r="AK219" i="13"/>
  <c r="AJ219" i="13"/>
  <c r="AI219" i="13"/>
  <c r="F96" i="16"/>
  <c r="I96" i="16" s="1"/>
  <c r="AJ169" i="13"/>
  <c r="BS170" i="13"/>
  <c r="AK169" i="13"/>
  <c r="BT170" i="13"/>
  <c r="AI169" i="13"/>
  <c r="BR170" i="13"/>
  <c r="BD173" i="13"/>
  <c r="BE173" i="13" s="1"/>
  <c r="I169" i="5" s="1"/>
  <c r="I166" i="21" s="1"/>
  <c r="AI243" i="13"/>
  <c r="H172" i="5" s="1"/>
  <c r="F11" i="21"/>
  <c r="AF11" i="21" s="1"/>
  <c r="AC213" i="5"/>
  <c r="AC17" i="5"/>
  <c r="F17" i="21"/>
  <c r="AF17" i="21" s="1"/>
  <c r="AC55" i="5"/>
  <c r="F55" i="21"/>
  <c r="AF55" i="21" s="1"/>
  <c r="AC158" i="5"/>
  <c r="AC85" i="5"/>
  <c r="AC61" i="5"/>
  <c r="F61" i="21"/>
  <c r="AF61" i="21" s="1"/>
  <c r="AC179" i="5"/>
  <c r="F176" i="21"/>
  <c r="AF176" i="21" s="1"/>
  <c r="AC105" i="5"/>
  <c r="F105" i="21"/>
  <c r="AF105" i="21" s="1"/>
  <c r="AC221" i="5"/>
  <c r="F218" i="21"/>
  <c r="AF218" i="21" s="1"/>
  <c r="AC51" i="5"/>
  <c r="F51" i="21"/>
  <c r="AF51" i="21" s="1"/>
  <c r="AC108" i="5"/>
  <c r="F107" i="21"/>
  <c r="AF107" i="21" s="1"/>
  <c r="AC101" i="5"/>
  <c r="F101" i="21"/>
  <c r="AF101" i="21" s="1"/>
  <c r="AC177" i="5"/>
  <c r="F174" i="21"/>
  <c r="AF174" i="21" s="1"/>
  <c r="AC62" i="5"/>
  <c r="F62" i="21"/>
  <c r="AF62" i="21" s="1"/>
  <c r="AC99" i="5"/>
  <c r="F99" i="21"/>
  <c r="AF99" i="21" s="1"/>
  <c r="AC119" i="5"/>
  <c r="AC255" i="5" s="1"/>
  <c r="AC69" i="5"/>
  <c r="F69" i="21"/>
  <c r="AF69" i="21" s="1"/>
  <c r="AC185" i="5"/>
  <c r="F182" i="21"/>
  <c r="AF182" i="21" s="1"/>
  <c r="AC73" i="5"/>
  <c r="F73" i="21"/>
  <c r="AF73" i="21" s="1"/>
  <c r="AC26" i="5"/>
  <c r="F26" i="21"/>
  <c r="AF26" i="21" s="1"/>
  <c r="AC20" i="5"/>
  <c r="AC247" i="5" s="1"/>
  <c r="F20" i="21"/>
  <c r="AF20" i="21" s="1"/>
  <c r="AC58" i="5"/>
  <c r="F58" i="21"/>
  <c r="AF58" i="21" s="1"/>
  <c r="AC75" i="5"/>
  <c r="AC157" i="5"/>
  <c r="AF154" i="21"/>
  <c r="AC225" i="5"/>
  <c r="F222" i="21"/>
  <c r="AF222" i="21" s="1"/>
  <c r="AC202" i="5"/>
  <c r="AC183" i="5"/>
  <c r="F180" i="21"/>
  <c r="AF180" i="21" s="1"/>
  <c r="AC71" i="5"/>
  <c r="F70" i="21"/>
  <c r="AF70" i="21" s="1"/>
  <c r="K65" i="21"/>
  <c r="I31" i="21"/>
  <c r="AC27" i="5"/>
  <c r="F27" i="21"/>
  <c r="AF27" i="21" s="1"/>
  <c r="F136" i="21"/>
  <c r="AF136" i="21" s="1"/>
  <c r="AC142" i="5"/>
  <c r="F140" i="21"/>
  <c r="AF140" i="21" s="1"/>
  <c r="AC223" i="5"/>
  <c r="F220" i="21"/>
  <c r="AF220" i="21" s="1"/>
  <c r="AC98" i="5"/>
  <c r="F98" i="21"/>
  <c r="AF98" i="21" s="1"/>
  <c r="AC18" i="5"/>
  <c r="F18" i="21"/>
  <c r="AF18" i="21" s="1"/>
  <c r="AC203" i="5"/>
  <c r="AF212" i="21"/>
  <c r="AC171" i="5"/>
  <c r="F168" i="21"/>
  <c r="AF168" i="21" s="1"/>
  <c r="AC131" i="5"/>
  <c r="F130" i="21"/>
  <c r="AF130" i="21" s="1"/>
  <c r="AC66" i="5"/>
  <c r="AC252" i="5" s="1"/>
  <c r="F66" i="21"/>
  <c r="AF66" i="21" s="1"/>
  <c r="AC52" i="5"/>
  <c r="F52" i="21"/>
  <c r="AF52" i="21" s="1"/>
  <c r="AC33" i="5"/>
  <c r="F33" i="21"/>
  <c r="AF33" i="21" s="1"/>
  <c r="AC160" i="5"/>
  <c r="AF157" i="21"/>
  <c r="AC79" i="5"/>
  <c r="AC188" i="5"/>
  <c r="AC41" i="5"/>
  <c r="F41" i="21"/>
  <c r="AF41" i="21" s="1"/>
  <c r="AC175" i="5"/>
  <c r="F171" i="21"/>
  <c r="AF171" i="21" s="1"/>
  <c r="AC165" i="5"/>
  <c r="AC31" i="5"/>
  <c r="AC249" i="5" s="1"/>
  <c r="F31" i="21"/>
  <c r="AF31" i="21" s="1"/>
  <c r="AC110" i="5"/>
  <c r="F109" i="21"/>
  <c r="AF109" i="21" s="1"/>
  <c r="AC123" i="5"/>
  <c r="F122" i="21"/>
  <c r="AF122" i="21" s="1"/>
  <c r="AC83" i="5"/>
  <c r="F83" i="21"/>
  <c r="AF83" i="21" s="1"/>
  <c r="AC89" i="5"/>
  <c r="AC32" i="5"/>
  <c r="F32" i="21"/>
  <c r="AF32" i="21" s="1"/>
  <c r="AC76" i="5"/>
  <c r="F76" i="21"/>
  <c r="AF76" i="21" s="1"/>
  <c r="AC208" i="5"/>
  <c r="AC167" i="5"/>
  <c r="AC127" i="5"/>
  <c r="F126" i="21"/>
  <c r="AF126" i="21" s="1"/>
  <c r="AC15" i="5"/>
  <c r="F15" i="21"/>
  <c r="AF15" i="21" s="1"/>
  <c r="AC125" i="5"/>
  <c r="F124" i="21"/>
  <c r="AF124" i="21" s="1"/>
  <c r="AB35" i="21"/>
  <c r="W16" i="21"/>
  <c r="AC129" i="5"/>
  <c r="F128" i="21"/>
  <c r="AF128" i="21" s="1"/>
  <c r="AC87" i="5"/>
  <c r="F87" i="21"/>
  <c r="AF87" i="21" s="1"/>
  <c r="AB212" i="21"/>
  <c r="AB96" i="21"/>
  <c r="AB105" i="21"/>
  <c r="AI183" i="13"/>
  <c r="AK183" i="13"/>
  <c r="AJ183" i="13"/>
  <c r="AJ201" i="13"/>
  <c r="AI201" i="13"/>
  <c r="AK201" i="13"/>
  <c r="AJ81" i="13"/>
  <c r="AI81" i="13"/>
  <c r="AK81" i="13"/>
  <c r="AJ210" i="13"/>
  <c r="AK210" i="13"/>
  <c r="AI210" i="13"/>
  <c r="BJ313" i="13"/>
  <c r="BS307" i="13" s="1"/>
  <c r="AD49" i="11" s="1"/>
  <c r="BI303" i="13"/>
  <c r="BR299" i="13" s="1"/>
  <c r="AK59" i="13"/>
  <c r="BD11" i="13"/>
  <c r="BE11" i="13" s="1"/>
  <c r="I12" i="5" s="1"/>
  <c r="I12" i="21" s="1"/>
  <c r="BK300" i="13"/>
  <c r="BJ324" i="13"/>
  <c r="BS313" i="13" s="1"/>
  <c r="AD55" i="11" s="1"/>
  <c r="BK313" i="13"/>
  <c r="BT307" i="13" s="1"/>
  <c r="AE49" i="11" s="1"/>
  <c r="BK324" i="13"/>
  <c r="BT313" i="13" s="1"/>
  <c r="AE55" i="11" s="1"/>
  <c r="AJ59" i="13"/>
  <c r="I249" i="5"/>
  <c r="BI313" i="13"/>
  <c r="BR307" i="13" s="1"/>
  <c r="AC49" i="11" s="1"/>
  <c r="BI300" i="13"/>
  <c r="BJ303" i="13"/>
  <c r="BS299" i="13" s="1"/>
  <c r="BJ300" i="13"/>
  <c r="AK90" i="13"/>
  <c r="BI324" i="13"/>
  <c r="BR313" i="13" s="1"/>
  <c r="AC55" i="11" s="1"/>
  <c r="AP91" i="13"/>
  <c r="BB91" i="13" s="1"/>
  <c r="AO91" i="13"/>
  <c r="BA91" i="13" s="1"/>
  <c r="AN91" i="13"/>
  <c r="AZ91" i="13" s="1"/>
  <c r="AQ91" i="13"/>
  <c r="BC91" i="13" s="1"/>
  <c r="AK16" i="13"/>
  <c r="BH29" i="13"/>
  <c r="P30" i="5" s="1"/>
  <c r="P30" i="21" s="1"/>
  <c r="BH32" i="13"/>
  <c r="P33" i="5" s="1"/>
  <c r="P33" i="21" s="1"/>
  <c r="AI75" i="13"/>
  <c r="AJ30" i="13"/>
  <c r="AK51" i="13"/>
  <c r="BJ114" i="13"/>
  <c r="BK114" i="13" s="1"/>
  <c r="BK295" i="13"/>
  <c r="AK113" i="13"/>
  <c r="AK123" i="13" s="1"/>
  <c r="W116" i="5" s="1"/>
  <c r="W116" i="21" s="1"/>
  <c r="BD114" i="13"/>
  <c r="AJ26" i="13"/>
  <c r="AK10" i="13"/>
  <c r="AK26" i="13"/>
  <c r="AK100" i="13"/>
  <c r="AK110" i="13" s="1"/>
  <c r="W102" i="5" s="1"/>
  <c r="W102" i="21" s="1"/>
  <c r="BJ317" i="13"/>
  <c r="BK319" i="13"/>
  <c r="AJ51" i="13"/>
  <c r="AJ10" i="13"/>
  <c r="BI319" i="13"/>
  <c r="AD143" i="13"/>
  <c r="AG143" i="13" s="1"/>
  <c r="C41" i="11"/>
  <c r="AD114" i="13"/>
  <c r="AE114" i="13" s="1"/>
  <c r="H106" i="5" s="1"/>
  <c r="C40" i="11"/>
  <c r="BJ295" i="13"/>
  <c r="AK148" i="13"/>
  <c r="AI51" i="13"/>
  <c r="AI10" i="13"/>
  <c r="AJ148" i="13"/>
  <c r="AJ100" i="13"/>
  <c r="AJ110" i="13" s="1"/>
  <c r="F39" i="11" s="1"/>
  <c r="BE73" i="13"/>
  <c r="I71" i="5" s="1"/>
  <c r="I71" i="21" s="1"/>
  <c r="AI100" i="13"/>
  <c r="AI110" i="13" s="1"/>
  <c r="D39" i="11" s="1"/>
  <c r="AK19" i="13"/>
  <c r="AI113" i="13"/>
  <c r="AI123" i="13" s="1"/>
  <c r="AJ90" i="13"/>
  <c r="BJ319" i="13"/>
  <c r="AJ86" i="13"/>
  <c r="AJ155" i="13"/>
  <c r="AJ166" i="13" s="1"/>
  <c r="P161" i="5" s="1"/>
  <c r="P161" i="21" s="1"/>
  <c r="AJ16" i="13"/>
  <c r="BG163" i="13"/>
  <c r="BR73" i="13"/>
  <c r="BK301" i="13"/>
  <c r="AI69" i="13"/>
  <c r="BH73" i="13"/>
  <c r="P71" i="5" s="1"/>
  <c r="P71" i="21" s="1"/>
  <c r="AI148" i="13"/>
  <c r="AK86" i="13"/>
  <c r="AK69" i="13"/>
  <c r="AI86" i="13"/>
  <c r="AJ69" i="13"/>
  <c r="AI90" i="13"/>
  <c r="AK30" i="13"/>
  <c r="BK32" i="13"/>
  <c r="W33" i="5" s="1"/>
  <c r="BE163" i="13"/>
  <c r="I158" i="5" s="1"/>
  <c r="BI317" i="13"/>
  <c r="BJ73" i="13"/>
  <c r="BE32" i="13"/>
  <c r="I33" i="5" s="1"/>
  <c r="I33" i="21" s="1"/>
  <c r="AJ113" i="13"/>
  <c r="AJ123" i="13" s="1"/>
  <c r="P116" i="5" s="1"/>
  <c r="P116" i="21" s="1"/>
  <c r="AI30" i="13"/>
  <c r="AI26" i="13"/>
  <c r="BI301" i="13"/>
  <c r="BG114" i="13"/>
  <c r="BH114" i="13" s="1"/>
  <c r="BS73" i="13"/>
  <c r="AK39" i="13"/>
  <c r="AJ39" i="13"/>
  <c r="AI39" i="13"/>
  <c r="I257" i="5"/>
  <c r="BK323" i="13"/>
  <c r="BI316" i="13"/>
  <c r="BK308" i="13"/>
  <c r="BT303" i="13" s="1"/>
  <c r="AE45" i="11" s="1"/>
  <c r="BE12" i="13"/>
  <c r="I13" i="5" s="1"/>
  <c r="BH12" i="13"/>
  <c r="P13" i="5" s="1"/>
  <c r="P13" i="21" s="1"/>
  <c r="BK12" i="13"/>
  <c r="W13" i="5" s="1"/>
  <c r="W13" i="21" s="1"/>
  <c r="AD115" i="13"/>
  <c r="BK316" i="13"/>
  <c r="BJ308" i="13"/>
  <c r="BS303" i="13" s="1"/>
  <c r="AD45" i="11" s="1"/>
  <c r="AB166" i="13"/>
  <c r="AB208" i="13"/>
  <c r="AK138" i="13"/>
  <c r="AJ138" i="13"/>
  <c r="AI138" i="13"/>
  <c r="BI308" i="13"/>
  <c r="BR303" i="13" s="1"/>
  <c r="AC45" i="11" s="1"/>
  <c r="AD122" i="13"/>
  <c r="AF122" i="13" s="1"/>
  <c r="I258" i="5"/>
  <c r="AD118" i="13"/>
  <c r="AE118" i="13" s="1"/>
  <c r="AD116" i="13"/>
  <c r="AF116" i="13" s="1"/>
  <c r="AD119" i="13"/>
  <c r="AG119" i="13" s="1"/>
  <c r="AD113" i="13"/>
  <c r="AD117" i="13"/>
  <c r="AD121" i="13"/>
  <c r="AD120" i="13"/>
  <c r="AG120" i="13" s="1"/>
  <c r="BI322" i="13"/>
  <c r="BI318" i="13"/>
  <c r="F87" i="16"/>
  <c r="I87" i="16" s="1"/>
  <c r="F201" i="5"/>
  <c r="F202" i="21" s="1"/>
  <c r="AF202" i="21" s="1"/>
  <c r="F38" i="5"/>
  <c r="AB79" i="13"/>
  <c r="F80" i="5"/>
  <c r="AB197" i="13"/>
  <c r="Z208" i="13"/>
  <c r="BI327" i="13"/>
  <c r="BR316" i="13" s="1"/>
  <c r="AC58" i="11" s="1"/>
  <c r="BJ327" i="13"/>
  <c r="BS316" i="13" s="1"/>
  <c r="AD58" i="11" s="1"/>
  <c r="AI166" i="13"/>
  <c r="BK318" i="13"/>
  <c r="BK327" i="13"/>
  <c r="BT316" i="13" s="1"/>
  <c r="AE58" i="11" s="1"/>
  <c r="BK151" i="13"/>
  <c r="W145" i="5" s="1"/>
  <c r="BH156" i="13"/>
  <c r="BJ322" i="13"/>
  <c r="BJ316" i="13"/>
  <c r="BK322" i="13"/>
  <c r="AK166" i="13"/>
  <c r="W161" i="5" s="1"/>
  <c r="W161" i="21" s="1"/>
  <c r="AK179" i="13"/>
  <c r="BJ181" i="13"/>
  <c r="AI179" i="13"/>
  <c r="BD181" i="13"/>
  <c r="AJ179" i="13"/>
  <c r="BG181" i="13"/>
  <c r="BS173" i="13"/>
  <c r="BG173" i="13"/>
  <c r="BT173" i="13"/>
  <c r="BJ173" i="13"/>
  <c r="BK312" i="13"/>
  <c r="BT306" i="13" s="1"/>
  <c r="AE48" i="11" s="1"/>
  <c r="BE22" i="13"/>
  <c r="I23" i="5" s="1"/>
  <c r="I23" i="21" s="1"/>
  <c r="BK22" i="13"/>
  <c r="W23" i="5" s="1"/>
  <c r="BH22" i="13"/>
  <c r="P23" i="5" s="1"/>
  <c r="P23" i="21" s="1"/>
  <c r="I256" i="5"/>
  <c r="BJ312" i="13"/>
  <c r="BS306" i="13" s="1"/>
  <c r="AD48" i="11" s="1"/>
  <c r="BI312" i="13"/>
  <c r="BR306" i="13" s="1"/>
  <c r="AC48" i="11" s="1"/>
  <c r="AI171" i="13"/>
  <c r="BR173" i="13"/>
  <c r="I248" i="5"/>
  <c r="AB213" i="13"/>
  <c r="I128" i="5"/>
  <c r="I128" i="21" s="1"/>
  <c r="F146" i="5"/>
  <c r="F146" i="21" s="1"/>
  <c r="AF146" i="21" s="1"/>
  <c r="AD131" i="13"/>
  <c r="AD144" i="13"/>
  <c r="AD142" i="13"/>
  <c r="AF142" i="13" s="1"/>
  <c r="AD141" i="13"/>
  <c r="AG141" i="13" s="1"/>
  <c r="AB66" i="13"/>
  <c r="C37" i="11" s="1"/>
  <c r="AD126" i="13"/>
  <c r="AD150" i="13"/>
  <c r="AE150" i="13" s="1"/>
  <c r="H144" i="5" s="1"/>
  <c r="AD128" i="13"/>
  <c r="AF128" i="13" s="1"/>
  <c r="AD133" i="13"/>
  <c r="AF133" i="13" s="1"/>
  <c r="AD134" i="13"/>
  <c r="AD135" i="13"/>
  <c r="AD129" i="13"/>
  <c r="AG129" i="13" s="1"/>
  <c r="AD138" i="13"/>
  <c r="AD151" i="13"/>
  <c r="AG151" i="13" s="1"/>
  <c r="AD140" i="13"/>
  <c r="AG140" i="13" s="1"/>
  <c r="AD130" i="13"/>
  <c r="AD136" i="13"/>
  <c r="AF136" i="13" s="1"/>
  <c r="AD127" i="13"/>
  <c r="AD139" i="13"/>
  <c r="AD148" i="13"/>
  <c r="AD147" i="13"/>
  <c r="AF147" i="13" s="1"/>
  <c r="AD145" i="13"/>
  <c r="AE145" i="13" s="1"/>
  <c r="AD149" i="13"/>
  <c r="AE149" i="13" s="1"/>
  <c r="AD137" i="13"/>
  <c r="AG137" i="13" s="1"/>
  <c r="AD132" i="13"/>
  <c r="AG132" i="13" s="1"/>
  <c r="AD146" i="13"/>
  <c r="AF146" i="13" s="1"/>
  <c r="F17" i="16"/>
  <c r="I17" i="16" s="1"/>
  <c r="P16" i="5"/>
  <c r="P16" i="21" s="1"/>
  <c r="I252" i="5"/>
  <c r="AK243" i="13"/>
  <c r="V172" i="5" s="1"/>
  <c r="F164" i="5"/>
  <c r="F164" i="21" s="1"/>
  <c r="AF164" i="21" s="1"/>
  <c r="F75" i="16"/>
  <c r="I75" i="16" s="1"/>
  <c r="AJ243" i="13"/>
  <c r="O172" i="5" s="1"/>
  <c r="AJ171" i="13"/>
  <c r="AK171" i="13"/>
  <c r="BI314" i="13"/>
  <c r="BR308" i="13" s="1"/>
  <c r="AC50" i="11" s="1"/>
  <c r="BJ314" i="13"/>
  <c r="BS308" i="13" s="1"/>
  <c r="AD50" i="11" s="1"/>
  <c r="BK314" i="13"/>
  <c r="BT308" i="13" s="1"/>
  <c r="AE50" i="11" s="1"/>
  <c r="AI204" i="13"/>
  <c r="AJ204" i="13"/>
  <c r="F46" i="5"/>
  <c r="F18" i="16"/>
  <c r="I18" i="16" s="1"/>
  <c r="AK204" i="13"/>
  <c r="BH128" i="13"/>
  <c r="P121" i="5" s="1"/>
  <c r="P121" i="21" s="1"/>
  <c r="BG24" i="13"/>
  <c r="BH24" i="13" s="1"/>
  <c r="P25" i="5" s="1"/>
  <c r="P25" i="21" s="1"/>
  <c r="BJ24" i="13"/>
  <c r="BK24" i="13" s="1"/>
  <c r="W25" i="5" s="1"/>
  <c r="W25" i="21" s="1"/>
  <c r="BE128" i="13"/>
  <c r="I121" i="5" s="1"/>
  <c r="I121" i="21" s="1"/>
  <c r="I174" i="5"/>
  <c r="BH158" i="13"/>
  <c r="BJ320" i="13" s="1"/>
  <c r="BK158" i="13"/>
  <c r="BK320" i="13"/>
  <c r="BK113" i="13"/>
  <c r="W105" i="5" s="1"/>
  <c r="W105" i="21" s="1"/>
  <c r="BK128" i="13"/>
  <c r="W121" i="5" s="1"/>
  <c r="W121" i="21" s="1"/>
  <c r="BD24" i="13"/>
  <c r="BH25" i="13"/>
  <c r="P26" i="5" s="1"/>
  <c r="P26" i="21" s="1"/>
  <c r="BK25" i="13"/>
  <c r="W26" i="5" s="1"/>
  <c r="W26" i="21" s="1"/>
  <c r="BE25" i="13"/>
  <c r="I26" i="5" s="1"/>
  <c r="I26" i="21" s="1"/>
  <c r="F197" i="5"/>
  <c r="AD13" i="13"/>
  <c r="AG13" i="13" s="1"/>
  <c r="AD23" i="13"/>
  <c r="AD24" i="13"/>
  <c r="I24" i="5"/>
  <c r="I24" i="21" s="1"/>
  <c r="AE139" i="13"/>
  <c r="AG139" i="13"/>
  <c r="AF139" i="13"/>
  <c r="AE131" i="13"/>
  <c r="AG131" i="13"/>
  <c r="AF131" i="13"/>
  <c r="AG135" i="13"/>
  <c r="AE135" i="13"/>
  <c r="AF135" i="13"/>
  <c r="AE127" i="13"/>
  <c r="AG127" i="13"/>
  <c r="AF127" i="13"/>
  <c r="I173" i="5"/>
  <c r="I173" i="21" s="1"/>
  <c r="AG193" i="13"/>
  <c r="AF193" i="13"/>
  <c r="AE193" i="13"/>
  <c r="AE176" i="13"/>
  <c r="AG176" i="13"/>
  <c r="AE172" i="13"/>
  <c r="AF172" i="13"/>
  <c r="AG172" i="13"/>
  <c r="AG180" i="13"/>
  <c r="AE180" i="13"/>
  <c r="AF180" i="13"/>
  <c r="AG184" i="13"/>
  <c r="AE184" i="13"/>
  <c r="AF184" i="13"/>
  <c r="AE190" i="13"/>
  <c r="AF190" i="13"/>
  <c r="AG190" i="13"/>
  <c r="AD22" i="13"/>
  <c r="AE22" i="13" s="1"/>
  <c r="H23" i="5" s="1"/>
  <c r="H23" i="21" s="1"/>
  <c r="F14" i="16"/>
  <c r="I14" i="16" s="1"/>
  <c r="F68" i="16"/>
  <c r="I68" i="16" s="1"/>
  <c r="F149" i="5"/>
  <c r="AD31" i="13"/>
  <c r="AF31" i="13" s="1"/>
  <c r="AD11" i="13"/>
  <c r="AF11" i="13" s="1"/>
  <c r="AD30" i="13"/>
  <c r="AD25" i="13"/>
  <c r="AE25" i="13" s="1"/>
  <c r="AD17" i="13"/>
  <c r="AE17" i="13" s="1"/>
  <c r="H18" i="5" s="1"/>
  <c r="AD21" i="13"/>
  <c r="AE21" i="13" s="1"/>
  <c r="H22" i="5" s="1"/>
  <c r="H22" i="21" s="1"/>
  <c r="AD16" i="13"/>
  <c r="AD26" i="13"/>
  <c r="AD10" i="13"/>
  <c r="AD20" i="13"/>
  <c r="AF20" i="13" s="1"/>
  <c r="AD29" i="13"/>
  <c r="AE29" i="13" s="1"/>
  <c r="H30" i="5" s="1"/>
  <c r="H30" i="21" s="1"/>
  <c r="AD33" i="13"/>
  <c r="AE33" i="13" s="1"/>
  <c r="H34" i="5" s="1"/>
  <c r="H34" i="21" s="1"/>
  <c r="AD15" i="13"/>
  <c r="AE15" i="13" s="1"/>
  <c r="H16" i="5" s="1"/>
  <c r="H16" i="21" s="1"/>
  <c r="AD19" i="13"/>
  <c r="AD28" i="13"/>
  <c r="AG28" i="13" s="1"/>
  <c r="AD12" i="13"/>
  <c r="AE12" i="13" s="1"/>
  <c r="H13" i="5" s="1"/>
  <c r="H13" i="21" s="1"/>
  <c r="AD14" i="13"/>
  <c r="AE14" i="13" s="1"/>
  <c r="H15" i="5" s="1"/>
  <c r="H15" i="21" s="1"/>
  <c r="F35" i="5"/>
  <c r="AD32" i="13"/>
  <c r="AE32" i="13" s="1"/>
  <c r="H33" i="5" s="1"/>
  <c r="H33" i="21" s="1"/>
  <c r="AD27" i="13"/>
  <c r="AG27" i="13" s="1"/>
  <c r="AD18" i="13"/>
  <c r="AF18" i="13" s="1"/>
  <c r="F96" i="5"/>
  <c r="F97" i="21" s="1"/>
  <c r="AF97" i="21" s="1"/>
  <c r="AB110" i="13"/>
  <c r="C39" i="11" s="1"/>
  <c r="F43" i="16"/>
  <c r="BE65" i="13"/>
  <c r="BH113" i="13"/>
  <c r="P105" i="5" s="1"/>
  <c r="P105" i="21" s="1"/>
  <c r="BE226" i="13"/>
  <c r="I222" i="5" s="1"/>
  <c r="BE225" i="13"/>
  <c r="I221" i="5" s="1"/>
  <c r="BE221" i="13"/>
  <c r="I217" i="5" s="1"/>
  <c r="BE218" i="13"/>
  <c r="I214" i="5" s="1"/>
  <c r="BE224" i="13"/>
  <c r="I220" i="5" s="1"/>
  <c r="BE222" i="13"/>
  <c r="I218" i="5" s="1"/>
  <c r="BE228" i="13"/>
  <c r="I224" i="5" s="1"/>
  <c r="BE113" i="13"/>
  <c r="I105" i="5" s="1"/>
  <c r="I105" i="21" s="1"/>
  <c r="BE46" i="13"/>
  <c r="I46" i="5" s="1"/>
  <c r="I46" i="21" s="1"/>
  <c r="BG227" i="13"/>
  <c r="BH227" i="13" s="1"/>
  <c r="P223" i="5" s="1"/>
  <c r="P224" i="21" s="1"/>
  <c r="BG229" i="13"/>
  <c r="BH229" i="13" s="1"/>
  <c r="P225" i="5" s="1"/>
  <c r="P226" i="21" s="1"/>
  <c r="BD229" i="13"/>
  <c r="BG219" i="13"/>
  <c r="BH219" i="13" s="1"/>
  <c r="P215" i="5" s="1"/>
  <c r="BJ227" i="13"/>
  <c r="BK227" i="13" s="1"/>
  <c r="W223" i="5" s="1"/>
  <c r="W224" i="21" s="1"/>
  <c r="BD219" i="13"/>
  <c r="BJ219" i="13"/>
  <c r="BK219" i="13" s="1"/>
  <c r="W215" i="5" s="1"/>
  <c r="BD227" i="13"/>
  <c r="BJ217" i="13"/>
  <c r="BK217" i="13" s="1"/>
  <c r="W213" i="5" s="1"/>
  <c r="W214" i="21" s="1"/>
  <c r="BG217" i="13"/>
  <c r="BH217" i="13" s="1"/>
  <c r="P213" i="5" s="1"/>
  <c r="P214" i="21" s="1"/>
  <c r="BD217" i="13"/>
  <c r="I155" i="5"/>
  <c r="I74" i="5"/>
  <c r="I61" i="5"/>
  <c r="BG155" i="13"/>
  <c r="BH155" i="13" s="1"/>
  <c r="P149" i="5" s="1"/>
  <c r="BJ155" i="13"/>
  <c r="BK155" i="13" s="1"/>
  <c r="W149" i="5" s="1"/>
  <c r="I27" i="5"/>
  <c r="I27" i="21" s="1"/>
  <c r="F65" i="16"/>
  <c r="I65" i="16" s="1"/>
  <c r="I94" i="16"/>
  <c r="AJ50" i="13" l="1"/>
  <c r="AJ48" i="13"/>
  <c r="AK49" i="13"/>
  <c r="BT49" i="13" s="1"/>
  <c r="AK50" i="13"/>
  <c r="BJ236" i="13"/>
  <c r="AK48" i="13"/>
  <c r="AJ49" i="13"/>
  <c r="AI48" i="13"/>
  <c r="AI49" i="13"/>
  <c r="BG236" i="13"/>
  <c r="BH236" i="13" s="1"/>
  <c r="P47" i="5" s="1"/>
  <c r="BD236" i="13"/>
  <c r="AI177" i="13"/>
  <c r="AD217" i="13"/>
  <c r="AF217" i="13" s="1"/>
  <c r="AD225" i="13"/>
  <c r="AD222" i="13"/>
  <c r="AD218" i="13"/>
  <c r="AD221" i="13"/>
  <c r="AD220" i="13"/>
  <c r="AD230" i="13"/>
  <c r="AF230" i="13" s="1"/>
  <c r="AD227" i="13"/>
  <c r="AE227" i="13" s="1"/>
  <c r="H223" i="5" s="1"/>
  <c r="AD224" i="13"/>
  <c r="AG224" i="13" s="1"/>
  <c r="AD226" i="13"/>
  <c r="AE226" i="13" s="1"/>
  <c r="H222" i="5" s="1"/>
  <c r="AD219" i="13"/>
  <c r="AE219" i="13" s="1"/>
  <c r="H215" i="5" s="1"/>
  <c r="AD228" i="13"/>
  <c r="AF228" i="13" s="1"/>
  <c r="C45" i="11"/>
  <c r="AD229" i="13"/>
  <c r="F227" i="5"/>
  <c r="F227" i="21" s="1"/>
  <c r="P106" i="5"/>
  <c r="P107" i="21" s="1"/>
  <c r="W108" i="21"/>
  <c r="W106" i="5"/>
  <c r="W106" i="21" s="1"/>
  <c r="P152" i="21"/>
  <c r="P150" i="5"/>
  <c r="AJ221" i="13"/>
  <c r="AJ231" i="13" s="1"/>
  <c r="P227" i="5" s="1"/>
  <c r="P227" i="21" s="1"/>
  <c r="AI221" i="13"/>
  <c r="AE221" i="13" s="1"/>
  <c r="H217" i="5" s="1"/>
  <c r="AK221" i="13"/>
  <c r="AG221" i="13" s="1"/>
  <c r="I61" i="21"/>
  <c r="I62" i="21"/>
  <c r="I158" i="21"/>
  <c r="I159" i="21"/>
  <c r="I156" i="21"/>
  <c r="AC215" i="5"/>
  <c r="I169" i="21"/>
  <c r="F107" i="16"/>
  <c r="I107" i="16" s="1"/>
  <c r="AC47" i="5"/>
  <c r="F47" i="21"/>
  <c r="AF47" i="21" s="1"/>
  <c r="AF224" i="21"/>
  <c r="P222" i="21"/>
  <c r="P225" i="21"/>
  <c r="W143" i="21"/>
  <c r="W145" i="21"/>
  <c r="F149" i="21"/>
  <c r="AF149" i="21" s="1"/>
  <c r="F150" i="21"/>
  <c r="AF150" i="21" s="1"/>
  <c r="F165" i="21"/>
  <c r="AF165" i="21" s="1"/>
  <c r="W216" i="21"/>
  <c r="I170" i="21"/>
  <c r="I175" i="21"/>
  <c r="P216" i="21"/>
  <c r="I219" i="21"/>
  <c r="I221" i="21"/>
  <c r="W215" i="21"/>
  <c r="P70" i="21"/>
  <c r="P73" i="21"/>
  <c r="I70" i="21"/>
  <c r="I73" i="21"/>
  <c r="P149" i="21"/>
  <c r="I120" i="21"/>
  <c r="I122" i="21"/>
  <c r="P215" i="21"/>
  <c r="I217" i="21"/>
  <c r="P213" i="21"/>
  <c r="W213" i="21"/>
  <c r="P120" i="21"/>
  <c r="P122" i="21"/>
  <c r="W220" i="21"/>
  <c r="W223" i="21"/>
  <c r="I218" i="21"/>
  <c r="W120" i="21"/>
  <c r="W122" i="21"/>
  <c r="P108" i="21"/>
  <c r="I172" i="21"/>
  <c r="I176" i="21"/>
  <c r="I127" i="21"/>
  <c r="I129" i="21"/>
  <c r="W149" i="21"/>
  <c r="I74" i="21"/>
  <c r="I75" i="21"/>
  <c r="P220" i="21"/>
  <c r="P223" i="21"/>
  <c r="AG114" i="13"/>
  <c r="AF114" i="13"/>
  <c r="AC197" i="5"/>
  <c r="AB43" i="21"/>
  <c r="W23" i="21"/>
  <c r="AC96" i="5"/>
  <c r="AC253" i="5" s="1"/>
  <c r="F96" i="21"/>
  <c r="AF96" i="21" s="1"/>
  <c r="AC35" i="5"/>
  <c r="F35" i="21"/>
  <c r="AF35" i="21" s="1"/>
  <c r="J37" i="21"/>
  <c r="H18" i="21"/>
  <c r="AB67" i="21"/>
  <c r="W33" i="21"/>
  <c r="AC80" i="5"/>
  <c r="F80" i="21"/>
  <c r="AF80" i="21" s="1"/>
  <c r="AC146" i="5"/>
  <c r="AF144" i="21"/>
  <c r="AC38" i="5"/>
  <c r="F38" i="21"/>
  <c r="AF38" i="21" s="1"/>
  <c r="AC149" i="5"/>
  <c r="AC260" i="5" s="1"/>
  <c r="AF147" i="21"/>
  <c r="AC201" i="5"/>
  <c r="F198" i="21"/>
  <c r="AF198" i="21" s="1"/>
  <c r="AC46" i="5"/>
  <c r="AC237" i="5" s="1"/>
  <c r="F46" i="21"/>
  <c r="AF46" i="21" s="1"/>
  <c r="I13" i="21"/>
  <c r="AC164" i="5"/>
  <c r="AB222" i="21"/>
  <c r="BS310" i="13"/>
  <c r="AD52" i="11" s="1"/>
  <c r="I18" i="3"/>
  <c r="AE119" i="13"/>
  <c r="H112" i="5" s="1"/>
  <c r="BT297" i="13"/>
  <c r="AE39" i="11" s="1"/>
  <c r="BI295" i="13"/>
  <c r="AF120" i="13"/>
  <c r="AE120" i="13"/>
  <c r="H113" i="5" s="1"/>
  <c r="BJ91" i="13"/>
  <c r="BK91" i="13" s="1"/>
  <c r="W89" i="5" s="1"/>
  <c r="AJ213" i="13"/>
  <c r="AI213" i="13"/>
  <c r="AK213" i="13"/>
  <c r="AK178" i="13"/>
  <c r="AK177" i="13"/>
  <c r="AI178" i="13"/>
  <c r="BR177" i="13"/>
  <c r="AJ178" i="13"/>
  <c r="AJ177" i="13"/>
  <c r="BR297" i="13"/>
  <c r="AC39" i="11" s="1"/>
  <c r="AE11" i="13"/>
  <c r="H12" i="5" s="1"/>
  <c r="H12" i="21" s="1"/>
  <c r="BK311" i="13"/>
  <c r="BT305" i="13" s="1"/>
  <c r="AE47" i="11" s="1"/>
  <c r="BI299" i="13"/>
  <c r="BK309" i="13"/>
  <c r="BT304" i="13" s="1"/>
  <c r="AE46" i="11" s="1"/>
  <c r="BK299" i="13"/>
  <c r="T265" i="13"/>
  <c r="BI311" i="13"/>
  <c r="BR305" i="13" s="1"/>
  <c r="AC47" i="11" s="1"/>
  <c r="BK302" i="13"/>
  <c r="BT298" i="13" s="1"/>
  <c r="AE40" i="11" s="1"/>
  <c r="BK297" i="13"/>
  <c r="BJ306" i="13"/>
  <c r="BS301" i="13" s="1"/>
  <c r="AD43" i="11" s="1"/>
  <c r="BJ302" i="13"/>
  <c r="BS298" i="13" s="1"/>
  <c r="AD40" i="11" s="1"/>
  <c r="BK296" i="13"/>
  <c r="BT295" i="13" s="1"/>
  <c r="AE37" i="11" s="1"/>
  <c r="BI323" i="13"/>
  <c r="BR312" i="13" s="1"/>
  <c r="AC54" i="11" s="1"/>
  <c r="BJ301" i="13"/>
  <c r="BS297" i="13" s="1"/>
  <c r="AD39" i="11" s="1"/>
  <c r="BI297" i="13"/>
  <c r="BJ296" i="13"/>
  <c r="BS295" i="13" s="1"/>
  <c r="AD37" i="11" s="1"/>
  <c r="BJ318" i="13"/>
  <c r="BD91" i="13"/>
  <c r="BE91" i="13" s="1"/>
  <c r="BI302" i="13"/>
  <c r="BR298" i="13" s="1"/>
  <c r="AC40" i="11" s="1"/>
  <c r="BI296" i="13"/>
  <c r="BK317" i="13"/>
  <c r="BT310" i="13" s="1"/>
  <c r="AE52" i="11" s="1"/>
  <c r="BJ297" i="13"/>
  <c r="BJ299" i="13"/>
  <c r="BJ311" i="13"/>
  <c r="BS305" i="13" s="1"/>
  <c r="AD47" i="11" s="1"/>
  <c r="BI325" i="13"/>
  <c r="BR314" i="13" s="1"/>
  <c r="AC56" i="11" s="1"/>
  <c r="BI306" i="13"/>
  <c r="BR301" i="13" s="1"/>
  <c r="AC43" i="11" s="1"/>
  <c r="BG91" i="13"/>
  <c r="BH91" i="13" s="1"/>
  <c r="BE114" i="13"/>
  <c r="AF143" i="13"/>
  <c r="O136" i="5" s="1"/>
  <c r="AJ36" i="13"/>
  <c r="P35" i="5" s="1"/>
  <c r="P35" i="21" s="1"/>
  <c r="AE143" i="13"/>
  <c r="H136" i="5" s="1"/>
  <c r="AF229" i="13"/>
  <c r="AG229" i="13"/>
  <c r="V225" i="5" s="1"/>
  <c r="I102" i="5"/>
  <c r="I102" i="21" s="1"/>
  <c r="AK152" i="13"/>
  <c r="H41" i="11" s="1"/>
  <c r="I41" i="11" s="1"/>
  <c r="M41" i="11" s="1"/>
  <c r="AF28" i="11" s="1"/>
  <c r="AI36" i="13"/>
  <c r="D36" i="11" s="1"/>
  <c r="E36" i="11" s="1"/>
  <c r="K36" i="11" s="1"/>
  <c r="AD23" i="11" s="1"/>
  <c r="AJ152" i="13"/>
  <c r="F41" i="11" s="1"/>
  <c r="G41" i="11" s="1"/>
  <c r="L41" i="11" s="1"/>
  <c r="AE28" i="11" s="1"/>
  <c r="AD161" i="13"/>
  <c r="AE161" i="13" s="1"/>
  <c r="C42" i="11"/>
  <c r="AD195" i="13"/>
  <c r="AF195" i="13" s="1"/>
  <c r="C43" i="11"/>
  <c r="AG118" i="13"/>
  <c r="AG117" i="13" s="1"/>
  <c r="AI152" i="13"/>
  <c r="I146" i="5" s="1"/>
  <c r="I146" i="21" s="1"/>
  <c r="AK36" i="13"/>
  <c r="W35" i="5" s="1"/>
  <c r="W35" i="21" s="1"/>
  <c r="AE116" i="13"/>
  <c r="AE115" i="13" s="1"/>
  <c r="AG116" i="13"/>
  <c r="AG115" i="13" s="1"/>
  <c r="AD157" i="13"/>
  <c r="AE157" i="13" s="1"/>
  <c r="H152" i="5" s="1"/>
  <c r="AD164" i="13"/>
  <c r="AD158" i="13"/>
  <c r="AE158" i="13" s="1"/>
  <c r="H153" i="5" s="1"/>
  <c r="F193" i="5"/>
  <c r="AD165" i="13"/>
  <c r="AE165" i="13" s="1"/>
  <c r="AD163" i="13"/>
  <c r="AE163" i="13" s="1"/>
  <c r="AD194" i="13"/>
  <c r="AF194" i="13" s="1"/>
  <c r="AD159" i="13"/>
  <c r="AD160" i="13"/>
  <c r="AD155" i="13"/>
  <c r="AD162" i="13"/>
  <c r="AD187" i="13"/>
  <c r="AD181" i="13"/>
  <c r="AF181" i="13" s="1"/>
  <c r="AD193" i="13"/>
  <c r="AD156" i="13"/>
  <c r="AG156" i="13" s="1"/>
  <c r="V150" i="5" s="1"/>
  <c r="BH163" i="13"/>
  <c r="P158" i="5" s="1"/>
  <c r="BR310" i="13"/>
  <c r="AC52" i="11" s="1"/>
  <c r="BK73" i="13"/>
  <c r="W71" i="5" s="1"/>
  <c r="W71" i="21" s="1"/>
  <c r="BT312" i="13"/>
  <c r="AE54" i="11" s="1"/>
  <c r="BJ309" i="13"/>
  <c r="BS304" i="13" s="1"/>
  <c r="AD46" i="11" s="1"/>
  <c r="P102" i="5"/>
  <c r="P102" i="21" s="1"/>
  <c r="AE229" i="13"/>
  <c r="H225" i="5" s="1"/>
  <c r="F206" i="5"/>
  <c r="F206" i="21" s="1"/>
  <c r="AJ208" i="13"/>
  <c r="AI208" i="13"/>
  <c r="AK208" i="13"/>
  <c r="AG122" i="13"/>
  <c r="AG121" i="13" s="1"/>
  <c r="AE122" i="13"/>
  <c r="AE121" i="13" s="1"/>
  <c r="BK173" i="13"/>
  <c r="W169" i="5" s="1"/>
  <c r="W170" i="21" s="1"/>
  <c r="BH173" i="13"/>
  <c r="P169" i="5" s="1"/>
  <c r="P170" i="21" s="1"/>
  <c r="BH181" i="13"/>
  <c r="P177" i="5" s="1"/>
  <c r="P178" i="21" s="1"/>
  <c r="BE181" i="13"/>
  <c r="I177" i="5" s="1"/>
  <c r="I178" i="21" s="1"/>
  <c r="BI326" i="13"/>
  <c r="BR315" i="13" s="1"/>
  <c r="AC57" i="11" s="1"/>
  <c r="BK181" i="13"/>
  <c r="W177" i="5" s="1"/>
  <c r="W178" i="21" s="1"/>
  <c r="BK326" i="13"/>
  <c r="BT315" i="13" s="1"/>
  <c r="AE57" i="11" s="1"/>
  <c r="AF118" i="13"/>
  <c r="O111" i="5" s="1"/>
  <c r="F204" i="5"/>
  <c r="F205" i="21" s="1"/>
  <c r="AF205" i="21" s="1"/>
  <c r="AF141" i="13"/>
  <c r="F89" i="16"/>
  <c r="I89" i="16" s="1"/>
  <c r="AF119" i="13"/>
  <c r="V112" i="5" s="1"/>
  <c r="AD123" i="13"/>
  <c r="AD190" i="13"/>
  <c r="AD183" i="13"/>
  <c r="AD170" i="13"/>
  <c r="AF170" i="13" s="1"/>
  <c r="AF169" i="13" s="1"/>
  <c r="AD169" i="13"/>
  <c r="AD171" i="13"/>
  <c r="AD186" i="13"/>
  <c r="AF186" i="13" s="1"/>
  <c r="AD174" i="13"/>
  <c r="AF174" i="13" s="1"/>
  <c r="AD192" i="13"/>
  <c r="AD180" i="13"/>
  <c r="AD184" i="13"/>
  <c r="AD176" i="13"/>
  <c r="AF176" i="13" s="1"/>
  <c r="AD179" i="13"/>
  <c r="AD175" i="13"/>
  <c r="AD173" i="13"/>
  <c r="AG173" i="13" s="1"/>
  <c r="AD177" i="13"/>
  <c r="AD172" i="13"/>
  <c r="AD188" i="13"/>
  <c r="AF188" i="13" s="1"/>
  <c r="AF187" i="13" s="1"/>
  <c r="AD196" i="13"/>
  <c r="AF196" i="13" s="1"/>
  <c r="AD191" i="13"/>
  <c r="AG191" i="13" s="1"/>
  <c r="AG189" i="13" s="1"/>
  <c r="AD182" i="13"/>
  <c r="AE182" i="13" s="1"/>
  <c r="H178" i="5" s="1"/>
  <c r="AD189" i="13"/>
  <c r="AD178" i="13"/>
  <c r="AD185" i="13"/>
  <c r="AG185" i="13" s="1"/>
  <c r="AB211" i="13"/>
  <c r="I16" i="3" s="1"/>
  <c r="AE142" i="13"/>
  <c r="H135" i="5" s="1"/>
  <c r="AG142" i="13"/>
  <c r="V135" i="5" s="1"/>
  <c r="V134" i="5"/>
  <c r="V113" i="5"/>
  <c r="V136" i="5"/>
  <c r="W153" i="5"/>
  <c r="W153" i="21" s="1"/>
  <c r="P153" i="5"/>
  <c r="P153" i="21" s="1"/>
  <c r="AE141" i="13"/>
  <c r="H134" i="5" s="1"/>
  <c r="BE24" i="13"/>
  <c r="I25" i="5" s="1"/>
  <c r="I25" i="21" s="1"/>
  <c r="F209" i="5"/>
  <c r="F209" i="21" s="1"/>
  <c r="AF209" i="21" s="1"/>
  <c r="AE147" i="13"/>
  <c r="H141" i="5" s="1"/>
  <c r="AG147" i="13"/>
  <c r="V141" i="5" s="1"/>
  <c r="AE137" i="13"/>
  <c r="H130" i="5" s="1"/>
  <c r="AF137" i="13"/>
  <c r="AF145" i="13"/>
  <c r="AF144" i="13" s="1"/>
  <c r="AG145" i="13"/>
  <c r="AE136" i="13"/>
  <c r="H129" i="5" s="1"/>
  <c r="AG136" i="13"/>
  <c r="V129" i="5" s="1"/>
  <c r="AD45" i="13"/>
  <c r="AG45" i="13" s="1"/>
  <c r="AD40" i="13"/>
  <c r="Z211" i="13"/>
  <c r="F83" i="16"/>
  <c r="I83" i="16" s="1"/>
  <c r="AD39" i="13"/>
  <c r="AD46" i="13"/>
  <c r="AD44" i="13"/>
  <c r="AG44" i="13" s="1"/>
  <c r="AD42" i="13"/>
  <c r="AF42" i="13" s="1"/>
  <c r="F63" i="5"/>
  <c r="F63" i="21" s="1"/>
  <c r="AF63" i="21" s="1"/>
  <c r="AD55" i="13"/>
  <c r="AD53" i="13"/>
  <c r="AG53" i="13" s="1"/>
  <c r="AD50" i="13"/>
  <c r="AD51" i="13"/>
  <c r="AD54" i="13"/>
  <c r="AF54" i="13" s="1"/>
  <c r="AD62" i="13"/>
  <c r="AD59" i="13"/>
  <c r="AD64" i="13"/>
  <c r="AG64" i="13" s="1"/>
  <c r="AD56" i="13"/>
  <c r="AD48" i="13"/>
  <c r="AD58" i="13"/>
  <c r="AE58" i="13" s="1"/>
  <c r="H57" i="5" s="1"/>
  <c r="H57" i="21" s="1"/>
  <c r="AD63" i="13"/>
  <c r="AD49" i="13"/>
  <c r="AD43" i="13"/>
  <c r="AG43" i="13" s="1"/>
  <c r="AD60" i="13"/>
  <c r="AE60" i="13" s="1"/>
  <c r="H59" i="5" s="1"/>
  <c r="AB203" i="13"/>
  <c r="AD152" i="13"/>
  <c r="AD41" i="13"/>
  <c r="AG41" i="13" s="1"/>
  <c r="AD57" i="13"/>
  <c r="AB202" i="13"/>
  <c r="AD61" i="13"/>
  <c r="AE61" i="13" s="1"/>
  <c r="H60" i="5" s="1"/>
  <c r="AD65" i="13"/>
  <c r="AD47" i="13"/>
  <c r="AD52" i="13"/>
  <c r="AE52" i="13" s="1"/>
  <c r="H52" i="5" s="1"/>
  <c r="AG150" i="13"/>
  <c r="AF150" i="13"/>
  <c r="AE133" i="13"/>
  <c r="H126" i="5" s="1"/>
  <c r="AG133" i="13"/>
  <c r="V126" i="5" s="1"/>
  <c r="AG128" i="13"/>
  <c r="V121" i="5" s="1"/>
  <c r="AE128" i="13"/>
  <c r="H121" i="5" s="1"/>
  <c r="AE129" i="13"/>
  <c r="H122" i="5" s="1"/>
  <c r="AF129" i="13"/>
  <c r="AG149" i="13"/>
  <c r="AF149" i="13"/>
  <c r="AG146" i="13"/>
  <c r="V140" i="5" s="1"/>
  <c r="AE146" i="13"/>
  <c r="H140" i="5" s="1"/>
  <c r="AF140" i="13"/>
  <c r="AE140" i="13"/>
  <c r="AF132" i="13"/>
  <c r="V125" i="5" s="1"/>
  <c r="AE132" i="13"/>
  <c r="H125" i="5" s="1"/>
  <c r="AE151" i="13"/>
  <c r="H145" i="5" s="1"/>
  <c r="H145" i="21" s="1"/>
  <c r="AF151" i="13"/>
  <c r="BK243" i="13"/>
  <c r="W172" i="5" s="1"/>
  <c r="W172" i="21" s="1"/>
  <c r="BH243" i="13"/>
  <c r="P172" i="5" s="1"/>
  <c r="P172" i="21" s="1"/>
  <c r="F26" i="16"/>
  <c r="I26" i="16" s="1"/>
  <c r="AE13" i="13"/>
  <c r="H14" i="5" s="1"/>
  <c r="H14" i="21" s="1"/>
  <c r="AF13" i="13"/>
  <c r="AG11" i="13"/>
  <c r="V12" i="5" s="1"/>
  <c r="V12" i="21" s="1"/>
  <c r="AF25" i="13"/>
  <c r="AG24" i="13"/>
  <c r="AE24" i="13"/>
  <c r="H25" i="5" s="1"/>
  <c r="H25" i="21" s="1"/>
  <c r="AF24" i="13"/>
  <c r="AE23" i="13"/>
  <c r="H24" i="5" s="1"/>
  <c r="H24" i="21" s="1"/>
  <c r="AF23" i="13"/>
  <c r="AG23" i="13"/>
  <c r="H26" i="5"/>
  <c r="H26" i="21" s="1"/>
  <c r="AE28" i="13"/>
  <c r="H29" i="5" s="1"/>
  <c r="H29" i="21" s="1"/>
  <c r="AG230" i="13"/>
  <c r="V226" i="5" s="1"/>
  <c r="AE230" i="13"/>
  <c r="H226" i="5" s="1"/>
  <c r="AF57" i="13"/>
  <c r="AE57" i="13"/>
  <c r="AG57" i="13"/>
  <c r="AG47" i="13"/>
  <c r="AE47" i="13"/>
  <c r="AF47" i="13"/>
  <c r="AG21" i="13"/>
  <c r="AF14" i="13"/>
  <c r="AG14" i="13"/>
  <c r="AF21" i="13"/>
  <c r="AF32" i="13"/>
  <c r="AG32" i="13"/>
  <c r="AE20" i="13"/>
  <c r="H21" i="5" s="1"/>
  <c r="H21" i="21" s="1"/>
  <c r="AG31" i="13"/>
  <c r="V32" i="5" s="1"/>
  <c r="V32" i="21" s="1"/>
  <c r="AE31" i="13"/>
  <c r="H32" i="5" s="1"/>
  <c r="H32" i="21" s="1"/>
  <c r="AG15" i="13"/>
  <c r="AG22" i="13"/>
  <c r="AF15" i="13"/>
  <c r="AF22" i="13"/>
  <c r="O23" i="5" s="1"/>
  <c r="O23" i="21" s="1"/>
  <c r="AG33" i="13"/>
  <c r="AF33" i="13"/>
  <c r="AG25" i="13"/>
  <c r="AF28" i="13"/>
  <c r="AF17" i="13"/>
  <c r="AG12" i="13"/>
  <c r="AG17" i="13"/>
  <c r="AG18" i="13"/>
  <c r="V19" i="5" s="1"/>
  <c r="V19" i="21" s="1"/>
  <c r="AE18" i="13"/>
  <c r="H19" i="5" s="1"/>
  <c r="H19" i="21" s="1"/>
  <c r="AG20" i="13"/>
  <c r="V21" i="5" s="1"/>
  <c r="V21" i="21" s="1"/>
  <c r="AF12" i="13"/>
  <c r="AF27" i="13"/>
  <c r="V28" i="5" s="1"/>
  <c r="V28" i="21" s="1"/>
  <c r="AE27" i="13"/>
  <c r="H28" i="5" s="1"/>
  <c r="H28" i="21" s="1"/>
  <c r="AG29" i="13"/>
  <c r="AF29" i="13"/>
  <c r="AD36" i="13"/>
  <c r="AF115" i="13"/>
  <c r="H111" i="5"/>
  <c r="AF121" i="13"/>
  <c r="V133" i="5"/>
  <c r="O129" i="5"/>
  <c r="H143" i="5"/>
  <c r="H144" i="21" s="1"/>
  <c r="I43" i="16"/>
  <c r="F49" i="16"/>
  <c r="I49" i="16" s="1"/>
  <c r="H139" i="5"/>
  <c r="AD105" i="13"/>
  <c r="AD100" i="13"/>
  <c r="AD109" i="13"/>
  <c r="AD107" i="13"/>
  <c r="AD106" i="13"/>
  <c r="AD108" i="13"/>
  <c r="AD104" i="13"/>
  <c r="AD103" i="13"/>
  <c r="AD102" i="13"/>
  <c r="AD101" i="13"/>
  <c r="F102" i="5"/>
  <c r="G39" i="11"/>
  <c r="L39" i="11" s="1"/>
  <c r="AE26" i="11" s="1"/>
  <c r="H39" i="11"/>
  <c r="AE113" i="13"/>
  <c r="BE219" i="13"/>
  <c r="I215" i="5" s="1"/>
  <c r="BE217" i="13"/>
  <c r="I213" i="5" s="1"/>
  <c r="I214" i="21" s="1"/>
  <c r="BE229" i="13"/>
  <c r="I225" i="5" s="1"/>
  <c r="I226" i="21" s="1"/>
  <c r="BE227" i="13"/>
  <c r="I223" i="5" s="1"/>
  <c r="I224" i="21" s="1"/>
  <c r="AF218" i="13"/>
  <c r="AE218" i="13"/>
  <c r="H214" i="5" s="1"/>
  <c r="AG218" i="13"/>
  <c r="AE223" i="13"/>
  <c r="H219" i="5" s="1"/>
  <c r="AG223" i="13"/>
  <c r="AF223" i="13"/>
  <c r="AG222" i="13"/>
  <c r="AE222" i="13"/>
  <c r="H218" i="5" s="1"/>
  <c r="AF222" i="13"/>
  <c r="AE225" i="13"/>
  <c r="H221" i="5" s="1"/>
  <c r="AG225" i="13"/>
  <c r="AF225" i="13"/>
  <c r="AE220" i="13"/>
  <c r="H216" i="5" s="1"/>
  <c r="AF220" i="13"/>
  <c r="AG220" i="13"/>
  <c r="V216" i="5" s="1"/>
  <c r="AG217" i="13"/>
  <c r="V213" i="5" s="1"/>
  <c r="AE217" i="13"/>
  <c r="O12" i="5"/>
  <c r="O12" i="21" s="1"/>
  <c r="K11" i="21"/>
  <c r="AC227" i="5"/>
  <c r="M59" i="11" l="1"/>
  <c r="K59" i="11"/>
  <c r="BR49" i="13"/>
  <c r="L59" i="11"/>
  <c r="BS49" i="13"/>
  <c r="AF227" i="13"/>
  <c r="O223" i="5" s="1"/>
  <c r="AG227" i="13"/>
  <c r="V223" i="5" s="1"/>
  <c r="AG226" i="13"/>
  <c r="V222" i="5" s="1"/>
  <c r="AF221" i="13"/>
  <c r="O217" i="5" s="1"/>
  <c r="AF226" i="13"/>
  <c r="O222" i="5" s="1"/>
  <c r="AI231" i="13"/>
  <c r="D45" i="11" s="1"/>
  <c r="E45" i="11" s="1"/>
  <c r="K45" i="11" s="1"/>
  <c r="AD32" i="11" s="1"/>
  <c r="AG219" i="13"/>
  <c r="V215" i="5" s="1"/>
  <c r="AK231" i="13"/>
  <c r="W227" i="5" s="1"/>
  <c r="W227" i="21" s="1"/>
  <c r="AF219" i="13"/>
  <c r="O215" i="5" s="1"/>
  <c r="AE224" i="13"/>
  <c r="H220" i="5" s="1"/>
  <c r="H220" i="21" s="1"/>
  <c r="AF224" i="13"/>
  <c r="V220" i="5" s="1"/>
  <c r="AD231" i="13"/>
  <c r="AE228" i="13"/>
  <c r="H224" i="5" s="1"/>
  <c r="H224" i="21" s="1"/>
  <c r="AG228" i="13"/>
  <c r="P106" i="21"/>
  <c r="BT177" i="13"/>
  <c r="BS177" i="13"/>
  <c r="BR178" i="13"/>
  <c r="H60" i="21"/>
  <c r="I106" i="5"/>
  <c r="I107" i="21" s="1"/>
  <c r="O106" i="5"/>
  <c r="AG113" i="13"/>
  <c r="V105" i="5" s="1"/>
  <c r="V105" i="21" s="1"/>
  <c r="V106" i="5"/>
  <c r="W107" i="21"/>
  <c r="V226" i="21"/>
  <c r="H226" i="21"/>
  <c r="P47" i="21"/>
  <c r="P48" i="21"/>
  <c r="P158" i="21"/>
  <c r="P159" i="21"/>
  <c r="H153" i="21"/>
  <c r="H154" i="21"/>
  <c r="AF165" i="13"/>
  <c r="AF164" i="13" s="1"/>
  <c r="BJ304" i="13"/>
  <c r="AD41" i="11"/>
  <c r="AG48" i="13"/>
  <c r="V13" i="5"/>
  <c r="V13" i="21" s="1"/>
  <c r="O113" i="5"/>
  <c r="AG165" i="13"/>
  <c r="AG164" i="13" s="1"/>
  <c r="AG50" i="13"/>
  <c r="AG49" i="13"/>
  <c r="V133" i="21"/>
  <c r="AI46" i="13"/>
  <c r="AI66" i="13" s="1"/>
  <c r="I63" i="5" s="1"/>
  <c r="I63" i="21" s="1"/>
  <c r="BE236" i="13"/>
  <c r="BI304" i="13"/>
  <c r="BJ49" i="13"/>
  <c r="BK49" i="13" s="1"/>
  <c r="W49" i="5" s="1"/>
  <c r="BK236" i="13"/>
  <c r="W47" i="5" s="1"/>
  <c r="BK304" i="13"/>
  <c r="AK46" i="13"/>
  <c r="AK66" i="13" s="1"/>
  <c r="H37" i="11" s="1"/>
  <c r="I37" i="11" s="1"/>
  <c r="M37" i="11" s="1"/>
  <c r="AF24" i="11" s="1"/>
  <c r="BG49" i="13"/>
  <c r="AJ46" i="13"/>
  <c r="AJ66" i="13" s="1"/>
  <c r="P63" i="5" s="1"/>
  <c r="P63" i="21" s="1"/>
  <c r="BD49" i="13"/>
  <c r="AF190" i="21"/>
  <c r="F193" i="21"/>
  <c r="I222" i="21"/>
  <c r="I225" i="21"/>
  <c r="H216" i="21"/>
  <c r="AF113" i="13"/>
  <c r="O105" i="5" s="1"/>
  <c r="O105" i="21" s="1"/>
  <c r="AF194" i="21"/>
  <c r="I216" i="21"/>
  <c r="H218" i="21"/>
  <c r="V213" i="21"/>
  <c r="H217" i="21"/>
  <c r="H219" i="21"/>
  <c r="H215" i="21"/>
  <c r="I150" i="21"/>
  <c r="W166" i="21"/>
  <c r="W169" i="21"/>
  <c r="H125" i="21"/>
  <c r="H112" i="21"/>
  <c r="H223" i="21"/>
  <c r="P150" i="21"/>
  <c r="P166" i="21"/>
  <c r="P169" i="21"/>
  <c r="I220" i="21"/>
  <c r="I223" i="21"/>
  <c r="W70" i="21"/>
  <c r="W73" i="21"/>
  <c r="I215" i="21"/>
  <c r="H141" i="21"/>
  <c r="H129" i="21"/>
  <c r="W150" i="21"/>
  <c r="H135" i="21"/>
  <c r="I213" i="21"/>
  <c r="H121" i="21"/>
  <c r="H139" i="21"/>
  <c r="V135" i="21"/>
  <c r="W174" i="21"/>
  <c r="W177" i="21"/>
  <c r="H222" i="21"/>
  <c r="I108" i="21"/>
  <c r="V134" i="21"/>
  <c r="I174" i="21"/>
  <c r="I177" i="21"/>
  <c r="V125" i="21"/>
  <c r="P174" i="21"/>
  <c r="P177" i="21"/>
  <c r="W89" i="21"/>
  <c r="W90" i="21"/>
  <c r="AE117" i="13"/>
  <c r="BR295" i="13"/>
  <c r="AC37" i="11" s="1"/>
  <c r="AC204" i="5"/>
  <c r="AC209" i="5"/>
  <c r="AF206" i="21"/>
  <c r="AC206" i="5"/>
  <c r="F203" i="21"/>
  <c r="AF203" i="21" s="1"/>
  <c r="AC102" i="5"/>
  <c r="F102" i="21"/>
  <c r="AF102" i="21" s="1"/>
  <c r="BK307" i="13"/>
  <c r="BT302" i="13" s="1"/>
  <c r="AB194" i="21"/>
  <c r="AB146" i="21"/>
  <c r="AB98" i="21"/>
  <c r="AF64" i="13"/>
  <c r="AF63" i="13" s="1"/>
  <c r="BR296" i="13"/>
  <c r="AC38" i="11" s="1"/>
  <c r="I35" i="5"/>
  <c r="I35" i="21" s="1"/>
  <c r="H45" i="11"/>
  <c r="I45" i="11" s="1"/>
  <c r="M45" i="11" s="1"/>
  <c r="AF32" i="11" s="1"/>
  <c r="AG161" i="13"/>
  <c r="V156" i="5" s="1"/>
  <c r="I27" i="3"/>
  <c r="AE156" i="13"/>
  <c r="AF158" i="13"/>
  <c r="O153" i="5" s="1"/>
  <c r="AG158" i="13"/>
  <c r="V153" i="5" s="1"/>
  <c r="AF163" i="13"/>
  <c r="AF162" i="13" s="1"/>
  <c r="AE64" i="13"/>
  <c r="AE63" i="13" s="1"/>
  <c r="AG163" i="13"/>
  <c r="AG162" i="13" s="1"/>
  <c r="F36" i="11"/>
  <c r="G36" i="11" s="1"/>
  <c r="L36" i="11" s="1"/>
  <c r="AE23" i="11" s="1"/>
  <c r="AC193" i="5"/>
  <c r="AF156" i="13"/>
  <c r="AF161" i="13"/>
  <c r="AF160" i="13" s="1"/>
  <c r="AG194" i="13"/>
  <c r="V190" i="5" s="1"/>
  <c r="V190" i="21" s="1"/>
  <c r="P146" i="5"/>
  <c r="P146" i="21" s="1"/>
  <c r="AJ202" i="13"/>
  <c r="AI202" i="13"/>
  <c r="AK202" i="13"/>
  <c r="BK325" i="13"/>
  <c r="BT314" i="13" s="1"/>
  <c r="AE56" i="11" s="1"/>
  <c r="AK203" i="13"/>
  <c r="AJ203" i="13"/>
  <c r="AI203" i="13"/>
  <c r="BT296" i="13"/>
  <c r="AE38" i="11" s="1"/>
  <c r="BJ323" i="13"/>
  <c r="BS312" i="13" s="1"/>
  <c r="AD54" i="11" s="1"/>
  <c r="O34" i="5"/>
  <c r="O34" i="21" s="1"/>
  <c r="O213" i="5"/>
  <c r="O221" i="5"/>
  <c r="O143" i="5"/>
  <c r="O115" i="5"/>
  <c r="BJ325" i="13"/>
  <c r="BS314" i="13" s="1"/>
  <c r="AD56" i="11" s="1"/>
  <c r="O33" i="5"/>
  <c r="O33" i="21" s="1"/>
  <c r="O22" i="5"/>
  <c r="O22" i="21" s="1"/>
  <c r="AE194" i="13"/>
  <c r="H190" i="5" s="1"/>
  <c r="H190" i="21" s="1"/>
  <c r="BS296" i="13"/>
  <c r="AD38" i="11" s="1"/>
  <c r="O26" i="5"/>
  <c r="O26" i="21" s="1"/>
  <c r="O190" i="5"/>
  <c r="O190" i="21" s="1"/>
  <c r="O18" i="5"/>
  <c r="O18" i="21" s="1"/>
  <c r="BJ326" i="13"/>
  <c r="BS315" i="13" s="1"/>
  <c r="AD57" i="11" s="1"/>
  <c r="BK306" i="13"/>
  <c r="BT301" i="13" s="1"/>
  <c r="AE43" i="11" s="1"/>
  <c r="O30" i="5"/>
  <c r="O30" i="21" s="1"/>
  <c r="O144" i="5"/>
  <c r="BI309" i="13"/>
  <c r="BR304" i="13" s="1"/>
  <c r="AC46" i="11" s="1"/>
  <c r="O13" i="5"/>
  <c r="O13" i="21" s="1"/>
  <c r="O16" i="5"/>
  <c r="O16" i="21" s="1"/>
  <c r="O15" i="5"/>
  <c r="O15" i="21" s="1"/>
  <c r="P89" i="5"/>
  <c r="BJ307" i="13"/>
  <c r="BS302" i="13" s="1"/>
  <c r="I89" i="5"/>
  <c r="BI307" i="13"/>
  <c r="BR302" i="13" s="1"/>
  <c r="AF44" i="11" s="1"/>
  <c r="H109" i="5"/>
  <c r="AE181" i="13"/>
  <c r="H177" i="5" s="1"/>
  <c r="AG157" i="13"/>
  <c r="W146" i="5"/>
  <c r="W146" i="21" s="1"/>
  <c r="AF192" i="13"/>
  <c r="AG195" i="13"/>
  <c r="V191" i="5" s="1"/>
  <c r="AE195" i="13"/>
  <c r="H191" i="5" s="1"/>
  <c r="F45" i="11"/>
  <c r="G45" i="11" s="1"/>
  <c r="L45" i="11" s="1"/>
  <c r="AE32" i="11" s="1"/>
  <c r="O112" i="5"/>
  <c r="O112" i="21" s="1"/>
  <c r="V111" i="5"/>
  <c r="V112" i="21" s="1"/>
  <c r="D41" i="11"/>
  <c r="E41" i="11" s="1"/>
  <c r="K41" i="11" s="1"/>
  <c r="AD28" i="11" s="1"/>
  <c r="H36" i="11"/>
  <c r="I36" i="11" s="1"/>
  <c r="M36" i="11" s="1"/>
  <c r="AF23" i="11" s="1"/>
  <c r="O25" i="5"/>
  <c r="O25" i="21" s="1"/>
  <c r="V143" i="5"/>
  <c r="V141" i="21" s="1"/>
  <c r="O225" i="5"/>
  <c r="O135" i="5"/>
  <c r="AD166" i="13"/>
  <c r="O109" i="5"/>
  <c r="O125" i="5"/>
  <c r="V218" i="5"/>
  <c r="O21" i="5"/>
  <c r="O21" i="21" s="1"/>
  <c r="O145" i="5"/>
  <c r="O130" i="5"/>
  <c r="V109" i="5"/>
  <c r="AF157" i="13"/>
  <c r="O152" i="5" s="1"/>
  <c r="AG181" i="13"/>
  <c r="V177" i="5" s="1"/>
  <c r="AG188" i="13"/>
  <c r="V184" i="5" s="1"/>
  <c r="AE188" i="13"/>
  <c r="AE187" i="13" s="1"/>
  <c r="H183" i="5" s="1"/>
  <c r="AF185" i="13"/>
  <c r="V181" i="5" s="1"/>
  <c r="AE185" i="13"/>
  <c r="H181" i="5" s="1"/>
  <c r="AG186" i="13"/>
  <c r="V182" i="5" s="1"/>
  <c r="AE186" i="13"/>
  <c r="H182" i="5" s="1"/>
  <c r="AG196" i="13"/>
  <c r="V192" i="5" s="1"/>
  <c r="AE196" i="13"/>
  <c r="H192" i="5" s="1"/>
  <c r="V115" i="5"/>
  <c r="AE178" i="13"/>
  <c r="H174" i="5" s="1"/>
  <c r="AF182" i="13"/>
  <c r="AF179" i="13" s="1"/>
  <c r="AK211" i="13"/>
  <c r="AJ211" i="13"/>
  <c r="AI211" i="13"/>
  <c r="AG182" i="13"/>
  <c r="V178" i="5" s="1"/>
  <c r="H115" i="5"/>
  <c r="AG177" i="13"/>
  <c r="AE174" i="13"/>
  <c r="H170" i="5" s="1"/>
  <c r="AF191" i="13"/>
  <c r="AF189" i="13" s="1"/>
  <c r="AG138" i="13"/>
  <c r="V131" i="5" s="1"/>
  <c r="AG174" i="13"/>
  <c r="V170" i="5" s="1"/>
  <c r="AF138" i="13"/>
  <c r="AF117" i="13"/>
  <c r="O110" i="5" s="1"/>
  <c r="BK321" i="13"/>
  <c r="BT311" i="13" s="1"/>
  <c r="AE53" i="11" s="1"/>
  <c r="BJ321" i="13"/>
  <c r="BS311" i="13" s="1"/>
  <c r="AD53" i="11" s="1"/>
  <c r="AE170" i="13"/>
  <c r="AE169" i="13" s="1"/>
  <c r="H164" i="5" s="1"/>
  <c r="F90" i="16"/>
  <c r="I90" i="16" s="1"/>
  <c r="F207" i="5"/>
  <c r="AE173" i="13"/>
  <c r="H169" i="5" s="1"/>
  <c r="AG170" i="13"/>
  <c r="V165" i="5" s="1"/>
  <c r="AF173" i="13"/>
  <c r="AE191" i="13"/>
  <c r="AE189" i="13" s="1"/>
  <c r="H185" i="5" s="1"/>
  <c r="AD197" i="13"/>
  <c r="F199" i="5"/>
  <c r="O219" i="5"/>
  <c r="V110" i="5"/>
  <c r="V139" i="5"/>
  <c r="V108" i="5"/>
  <c r="V34" i="5"/>
  <c r="V34" i="21" s="1"/>
  <c r="O224" i="5"/>
  <c r="O177" i="5"/>
  <c r="AF44" i="13"/>
  <c r="V44" i="5" s="1"/>
  <c r="O32" i="5"/>
  <c r="O32" i="21" s="1"/>
  <c r="O214" i="5"/>
  <c r="V221" i="5"/>
  <c r="V25" i="5"/>
  <c r="V25" i="21" s="1"/>
  <c r="V30" i="5"/>
  <c r="V30" i="21" s="1"/>
  <c r="O126" i="5"/>
  <c r="V144" i="5"/>
  <c r="V23" i="5"/>
  <c r="V23" i="21" s="1"/>
  <c r="V22" i="5"/>
  <c r="V22" i="21" s="1"/>
  <c r="O24" i="5"/>
  <c r="O24" i="21" s="1"/>
  <c r="O122" i="5"/>
  <c r="V18" i="5"/>
  <c r="O216" i="5"/>
  <c r="V130" i="5"/>
  <c r="V219" i="5"/>
  <c r="V16" i="5"/>
  <c r="V16" i="21" s="1"/>
  <c r="V169" i="5"/>
  <c r="V217" i="5"/>
  <c r="O19" i="5"/>
  <c r="O19" i="21" s="1"/>
  <c r="V145" i="5"/>
  <c r="O141" i="5"/>
  <c r="V214" i="5"/>
  <c r="O29" i="5"/>
  <c r="O29" i="21" s="1"/>
  <c r="O226" i="5"/>
  <c r="AG42" i="13"/>
  <c r="V42" i="5" s="1"/>
  <c r="AF48" i="13"/>
  <c r="O140" i="5"/>
  <c r="O108" i="5"/>
  <c r="O107" i="21" s="1"/>
  <c r="O28" i="5"/>
  <c r="O28" i="21" s="1"/>
  <c r="AE48" i="13"/>
  <c r="H48" i="5" s="1"/>
  <c r="H48" i="21" s="1"/>
  <c r="O121" i="5"/>
  <c r="V122" i="5"/>
  <c r="O134" i="5"/>
  <c r="O218" i="5"/>
  <c r="V33" i="5"/>
  <c r="V33" i="21" s="1"/>
  <c r="O14" i="5"/>
  <c r="O14" i="21" s="1"/>
  <c r="O192" i="5"/>
  <c r="V14" i="5"/>
  <c r="V14" i="21" s="1"/>
  <c r="V29" i="5"/>
  <c r="V29" i="21" s="1"/>
  <c r="AE138" i="13"/>
  <c r="H131" i="5" s="1"/>
  <c r="H130" i="21" s="1"/>
  <c r="AF134" i="13"/>
  <c r="AG134" i="13"/>
  <c r="O139" i="5"/>
  <c r="AG178" i="13"/>
  <c r="BT178" i="13"/>
  <c r="AF178" i="13"/>
  <c r="BS178" i="13"/>
  <c r="AE53" i="13"/>
  <c r="H53" i="5" s="1"/>
  <c r="H53" i="21" s="1"/>
  <c r="AF49" i="13"/>
  <c r="AF53" i="13"/>
  <c r="AE49" i="13"/>
  <c r="H49" i="5" s="1"/>
  <c r="AF52" i="13"/>
  <c r="AE44" i="13"/>
  <c r="H44" i="5" s="1"/>
  <c r="AE134" i="13"/>
  <c r="H127" i="5" s="1"/>
  <c r="H126" i="21" s="1"/>
  <c r="AE45" i="13"/>
  <c r="H45" i="5" s="1"/>
  <c r="AF45" i="13"/>
  <c r="AE50" i="13"/>
  <c r="H50" i="5" s="1"/>
  <c r="F200" i="5"/>
  <c r="AD66" i="13"/>
  <c r="AG60" i="13"/>
  <c r="AF60" i="13"/>
  <c r="AE41" i="13"/>
  <c r="H41" i="5" s="1"/>
  <c r="H41" i="21" s="1"/>
  <c r="AF41" i="13"/>
  <c r="AB200" i="13"/>
  <c r="AE42" i="13"/>
  <c r="H42" i="5" s="1"/>
  <c r="AG130" i="13"/>
  <c r="V123" i="5" s="1"/>
  <c r="AE130" i="13"/>
  <c r="AF130" i="13"/>
  <c r="O123" i="5" s="1"/>
  <c r="AC63" i="5"/>
  <c r="AF61" i="13"/>
  <c r="O60" i="5" s="1"/>
  <c r="AE126" i="13"/>
  <c r="H119" i="5" s="1"/>
  <c r="H119" i="21" s="1"/>
  <c r="AE56" i="13"/>
  <c r="AG58" i="13"/>
  <c r="AF58" i="13"/>
  <c r="AG61" i="13"/>
  <c r="AE54" i="13"/>
  <c r="H54" i="5" s="1"/>
  <c r="AG54" i="13"/>
  <c r="V54" i="5" s="1"/>
  <c r="AG52" i="13"/>
  <c r="AF50" i="13"/>
  <c r="AE43" i="13"/>
  <c r="H43" i="5" s="1"/>
  <c r="AF43" i="13"/>
  <c r="AE59" i="13"/>
  <c r="AG144" i="13"/>
  <c r="V137" i="5" s="1"/>
  <c r="V136" i="21" s="1"/>
  <c r="AG126" i="13"/>
  <c r="Z200" i="13"/>
  <c r="AF126" i="13"/>
  <c r="AF148" i="13"/>
  <c r="AG148" i="13"/>
  <c r="AE144" i="13"/>
  <c r="H137" i="5" s="1"/>
  <c r="H136" i="21" s="1"/>
  <c r="H133" i="5"/>
  <c r="H134" i="21" s="1"/>
  <c r="O133" i="5"/>
  <c r="AE148" i="13"/>
  <c r="H142" i="5" s="1"/>
  <c r="H143" i="21" s="1"/>
  <c r="AK175" i="13"/>
  <c r="AK197" i="13" s="1"/>
  <c r="AE177" i="13"/>
  <c r="H173" i="5" s="1"/>
  <c r="H173" i="21" s="1"/>
  <c r="AI175" i="13"/>
  <c r="AI197" i="13" s="1"/>
  <c r="AJ175" i="13"/>
  <c r="AJ197" i="13" s="1"/>
  <c r="AF177" i="13"/>
  <c r="V15" i="5"/>
  <c r="V15" i="21" s="1"/>
  <c r="AE10" i="13"/>
  <c r="H11" i="5" s="1"/>
  <c r="V24" i="5"/>
  <c r="V24" i="21" s="1"/>
  <c r="V26" i="5"/>
  <c r="V26" i="21" s="1"/>
  <c r="AE162" i="13"/>
  <c r="H158" i="5"/>
  <c r="AF104" i="13"/>
  <c r="AG104" i="13"/>
  <c r="AE104" i="13"/>
  <c r="AF16" i="13"/>
  <c r="AE30" i="13"/>
  <c r="H31" i="5" s="1"/>
  <c r="H31" i="21" s="1"/>
  <c r="AG63" i="13"/>
  <c r="V62" i="5"/>
  <c r="AE19" i="13"/>
  <c r="H20" i="5" s="1"/>
  <c r="H20" i="21" s="1"/>
  <c r="AG30" i="13"/>
  <c r="AG10" i="13"/>
  <c r="AE26" i="13"/>
  <c r="H27" i="5" s="1"/>
  <c r="H27" i="21" s="1"/>
  <c r="AF19" i="13"/>
  <c r="AG16" i="13"/>
  <c r="AE16" i="13"/>
  <c r="H17" i="5" s="1"/>
  <c r="H17" i="21" s="1"/>
  <c r="AG26" i="13"/>
  <c r="AF30" i="13"/>
  <c r="AG19" i="13"/>
  <c r="AF10" i="13"/>
  <c r="AF26" i="13"/>
  <c r="I39" i="11"/>
  <c r="M39" i="11" s="1"/>
  <c r="AF26" i="11" s="1"/>
  <c r="E39" i="11"/>
  <c r="K39" i="11" s="1"/>
  <c r="AD26" i="11" s="1"/>
  <c r="AD110" i="13"/>
  <c r="AE164" i="13"/>
  <c r="H160" i="5"/>
  <c r="AE160" i="13"/>
  <c r="H156" i="5"/>
  <c r="AE105" i="13"/>
  <c r="AF105" i="13"/>
  <c r="AG105" i="13"/>
  <c r="AF101" i="13"/>
  <c r="AE101" i="13"/>
  <c r="AG101" i="13"/>
  <c r="AE102" i="13"/>
  <c r="H98" i="5" s="1"/>
  <c r="AG102" i="13"/>
  <c r="AF102" i="13"/>
  <c r="V198" i="5"/>
  <c r="I11" i="21"/>
  <c r="H213" i="5"/>
  <c r="H214" i="21" s="1"/>
  <c r="BT257" i="13" l="1"/>
  <c r="BS257" i="13"/>
  <c r="BS258" i="13" s="1"/>
  <c r="BR257" i="13"/>
  <c r="I227" i="5"/>
  <c r="I227" i="21" s="1"/>
  <c r="H221" i="21"/>
  <c r="H225" i="21"/>
  <c r="AF231" i="13"/>
  <c r="O220" i="5"/>
  <c r="O220" i="21" s="1"/>
  <c r="AG231" i="13"/>
  <c r="V227" i="5" s="1"/>
  <c r="V227" i="21" s="1"/>
  <c r="V224" i="5"/>
  <c r="V224" i="21" s="1"/>
  <c r="AE231" i="13"/>
  <c r="H227" i="5" s="1"/>
  <c r="H227" i="21" s="1"/>
  <c r="V160" i="5"/>
  <c r="I106" i="21"/>
  <c r="V191" i="21"/>
  <c r="V50" i="5"/>
  <c r="H43" i="21"/>
  <c r="H45" i="21"/>
  <c r="H122" i="21"/>
  <c r="H123" i="5"/>
  <c r="H124" i="21" s="1"/>
  <c r="O144" i="21"/>
  <c r="AE155" i="13"/>
  <c r="H150" i="5"/>
  <c r="O152" i="21"/>
  <c r="O150" i="5"/>
  <c r="O151" i="21" s="1"/>
  <c r="O225" i="21"/>
  <c r="H49" i="21"/>
  <c r="O226" i="21"/>
  <c r="O160" i="5"/>
  <c r="V192" i="21"/>
  <c r="H192" i="21"/>
  <c r="H50" i="21"/>
  <c r="V145" i="21"/>
  <c r="V154" i="21"/>
  <c r="O153" i="21"/>
  <c r="O154" i="21"/>
  <c r="H186" i="21"/>
  <c r="O145" i="21"/>
  <c r="H42" i="21"/>
  <c r="H44" i="21"/>
  <c r="H54" i="21"/>
  <c r="O224" i="21"/>
  <c r="F207" i="21"/>
  <c r="F208" i="21"/>
  <c r="AF208" i="21" s="1"/>
  <c r="V144" i="21"/>
  <c r="W47" i="21"/>
  <c r="W48" i="21"/>
  <c r="H191" i="21"/>
  <c r="V225" i="21"/>
  <c r="I155" i="21"/>
  <c r="W49" i="21"/>
  <c r="W50" i="21"/>
  <c r="D37" i="11"/>
  <c r="E37" i="11" s="1"/>
  <c r="K37" i="11" s="1"/>
  <c r="AD24" i="11" s="1"/>
  <c r="AC41" i="11"/>
  <c r="AE41" i="11"/>
  <c r="BR258" i="13"/>
  <c r="L7" i="5" s="1"/>
  <c r="J7" i="21" s="1"/>
  <c r="V107" i="21"/>
  <c r="BK305" i="13"/>
  <c r="AG46" i="13"/>
  <c r="V152" i="5"/>
  <c r="V152" i="21" s="1"/>
  <c r="W63" i="5"/>
  <c r="W63" i="21" s="1"/>
  <c r="F37" i="11"/>
  <c r="G37" i="11" s="1"/>
  <c r="L37" i="11" s="1"/>
  <c r="AE24" i="11" s="1"/>
  <c r="BE49" i="13"/>
  <c r="I49" i="5" s="1"/>
  <c r="BI305" i="13"/>
  <c r="BH49" i="13"/>
  <c r="P49" i="5" s="1"/>
  <c r="BJ305" i="13"/>
  <c r="I47" i="5"/>
  <c r="I237" i="5"/>
  <c r="O133" i="21"/>
  <c r="H131" i="21"/>
  <c r="H127" i="21"/>
  <c r="V130" i="21"/>
  <c r="H137" i="21"/>
  <c r="V137" i="21"/>
  <c r="H133" i="21"/>
  <c r="O108" i="21"/>
  <c r="V108" i="21"/>
  <c r="O217" i="21"/>
  <c r="F200" i="21"/>
  <c r="AF200" i="21" s="1"/>
  <c r="F199" i="21"/>
  <c r="AF199" i="21" s="1"/>
  <c r="AC199" i="5"/>
  <c r="F201" i="21"/>
  <c r="AF201" i="21" s="1"/>
  <c r="V216" i="21"/>
  <c r="V166" i="21"/>
  <c r="H178" i="21"/>
  <c r="V220" i="21"/>
  <c r="O221" i="21"/>
  <c r="O222" i="21"/>
  <c r="AG160" i="13"/>
  <c r="O223" i="21"/>
  <c r="V221" i="21"/>
  <c r="O213" i="21"/>
  <c r="BT258" i="13"/>
  <c r="V214" i="21"/>
  <c r="V109" i="21"/>
  <c r="O111" i="21"/>
  <c r="V139" i="21"/>
  <c r="I89" i="21"/>
  <c r="I90" i="21"/>
  <c r="V129" i="21"/>
  <c r="V131" i="21"/>
  <c r="O216" i="21"/>
  <c r="H183" i="21"/>
  <c r="H169" i="21"/>
  <c r="H140" i="21"/>
  <c r="H142" i="21"/>
  <c r="O215" i="21"/>
  <c r="V218" i="21"/>
  <c r="I151" i="21"/>
  <c r="V181" i="21"/>
  <c r="P89" i="21"/>
  <c r="P90" i="21"/>
  <c r="H132" i="21"/>
  <c r="O109" i="21"/>
  <c r="V177" i="21"/>
  <c r="O134" i="21"/>
  <c r="V121" i="21"/>
  <c r="H170" i="21"/>
  <c r="H120" i="21"/>
  <c r="O139" i="21"/>
  <c r="O121" i="21"/>
  <c r="H182" i="21"/>
  <c r="O135" i="21"/>
  <c r="O214" i="21"/>
  <c r="V138" i="21"/>
  <c r="O219" i="21"/>
  <c r="O177" i="21"/>
  <c r="O129" i="21"/>
  <c r="V219" i="21"/>
  <c r="V223" i="21"/>
  <c r="V106" i="21"/>
  <c r="H213" i="21"/>
  <c r="O106" i="21"/>
  <c r="H174" i="21"/>
  <c r="H177" i="21"/>
  <c r="O141" i="21"/>
  <c r="V222" i="21"/>
  <c r="V151" i="21"/>
  <c r="O125" i="21"/>
  <c r="O218" i="21"/>
  <c r="V111" i="21"/>
  <c r="H128" i="21"/>
  <c r="V178" i="21"/>
  <c r="V215" i="21"/>
  <c r="V110" i="21"/>
  <c r="O110" i="21"/>
  <c r="V217" i="21"/>
  <c r="H138" i="21"/>
  <c r="V132" i="21"/>
  <c r="H152" i="21"/>
  <c r="AG155" i="13"/>
  <c r="V149" i="5" s="1"/>
  <c r="AC207" i="5"/>
  <c r="F204" i="21"/>
  <c r="AF204" i="21" s="1"/>
  <c r="AC200" i="5"/>
  <c r="Z37" i="21"/>
  <c r="V18" i="21"/>
  <c r="H62" i="5"/>
  <c r="O62" i="5"/>
  <c r="J11" i="21"/>
  <c r="H11" i="21"/>
  <c r="AG183" i="13"/>
  <c r="V173" i="5"/>
  <c r="V173" i="21" s="1"/>
  <c r="AE179" i="13"/>
  <c r="H175" i="5" s="1"/>
  <c r="O158" i="5"/>
  <c r="V158" i="5"/>
  <c r="O156" i="5"/>
  <c r="I24" i="3"/>
  <c r="O187" i="5"/>
  <c r="O187" i="21" s="1"/>
  <c r="AF155" i="13"/>
  <c r="O149" i="5" s="1"/>
  <c r="AE192" i="13"/>
  <c r="H188" i="5" s="1"/>
  <c r="H187" i="5"/>
  <c r="H187" i="21" s="1"/>
  <c r="O52" i="5"/>
  <c r="O57" i="5"/>
  <c r="O57" i="21" s="1"/>
  <c r="AG192" i="13"/>
  <c r="V188" i="5" s="1"/>
  <c r="O174" i="5"/>
  <c r="AB44" i="11"/>
  <c r="AC44" i="11"/>
  <c r="AD44" i="11"/>
  <c r="AE44" i="11"/>
  <c r="O191" i="5"/>
  <c r="O191" i="21" s="1"/>
  <c r="O59" i="5"/>
  <c r="O60" i="21" s="1"/>
  <c r="O178" i="5"/>
  <c r="H184" i="5"/>
  <c r="H181" i="21" s="1"/>
  <c r="AG179" i="13"/>
  <c r="V175" i="5" s="1"/>
  <c r="AF183" i="13"/>
  <c r="AE171" i="13"/>
  <c r="H167" i="5" s="1"/>
  <c r="H164" i="21" s="1"/>
  <c r="AE183" i="13"/>
  <c r="H179" i="5" s="1"/>
  <c r="AG187" i="13"/>
  <c r="V183" i="5" s="1"/>
  <c r="O169" i="5"/>
  <c r="O184" i="5"/>
  <c r="O183" i="5"/>
  <c r="V127" i="5"/>
  <c r="V127" i="21" s="1"/>
  <c r="V187" i="5"/>
  <c r="V187" i="21" s="1"/>
  <c r="P154" i="5"/>
  <c r="W154" i="5"/>
  <c r="O49" i="5"/>
  <c r="O181" i="5"/>
  <c r="O43" i="5"/>
  <c r="O185" i="5"/>
  <c r="O122" i="21"/>
  <c r="O182" i="5"/>
  <c r="O165" i="5"/>
  <c r="O170" i="5"/>
  <c r="O119" i="5"/>
  <c r="O119" i="21" s="1"/>
  <c r="V185" i="5"/>
  <c r="V27" i="5"/>
  <c r="V27" i="21" s="1"/>
  <c r="O45" i="5"/>
  <c r="O127" i="5"/>
  <c r="O127" i="21" s="1"/>
  <c r="O131" i="5"/>
  <c r="O130" i="21" s="1"/>
  <c r="AF171" i="13"/>
  <c r="O167" i="5" s="1"/>
  <c r="AG171" i="13"/>
  <c r="V167" i="5" s="1"/>
  <c r="AG169" i="13"/>
  <c r="V164" i="5" s="1"/>
  <c r="V165" i="21" s="1"/>
  <c r="H165" i="5"/>
  <c r="H166" i="21" s="1"/>
  <c r="AB214" i="13"/>
  <c r="AD206" i="13" s="1"/>
  <c r="F196" i="5"/>
  <c r="F196" i="21" s="1"/>
  <c r="AF196" i="21" s="1"/>
  <c r="O20" i="5"/>
  <c r="O20" i="21" s="1"/>
  <c r="V142" i="5"/>
  <c r="V140" i="21" s="1"/>
  <c r="V52" i="5"/>
  <c r="V174" i="5"/>
  <c r="V170" i="21" s="1"/>
  <c r="AG39" i="13"/>
  <c r="V31" i="5"/>
  <c r="V31" i="21" s="1"/>
  <c r="O142" i="5"/>
  <c r="O140" i="21" s="1"/>
  <c r="O227" i="5"/>
  <c r="O227" i="21" s="1"/>
  <c r="O175" i="5"/>
  <c r="V98" i="5"/>
  <c r="V17" i="5"/>
  <c r="V17" i="21" s="1"/>
  <c r="O27" i="5"/>
  <c r="O27" i="21" s="1"/>
  <c r="V43" i="5"/>
  <c r="V43" i="21" s="1"/>
  <c r="O54" i="5"/>
  <c r="V20" i="5"/>
  <c r="V20" i="21" s="1"/>
  <c r="O188" i="5"/>
  <c r="O31" i="5"/>
  <c r="O31" i="21" s="1"/>
  <c r="V60" i="5"/>
  <c r="V123" i="21"/>
  <c r="V59" i="5"/>
  <c r="O98" i="5"/>
  <c r="V119" i="5"/>
  <c r="V119" i="21" s="1"/>
  <c r="V57" i="5"/>
  <c r="V57" i="21" s="1"/>
  <c r="O53" i="5"/>
  <c r="O17" i="5"/>
  <c r="O17" i="21" s="1"/>
  <c r="O44" i="5"/>
  <c r="V45" i="5"/>
  <c r="V45" i="21" s="1"/>
  <c r="O48" i="5"/>
  <c r="O48" i="21" s="1"/>
  <c r="V48" i="5"/>
  <c r="V48" i="21" s="1"/>
  <c r="V53" i="5"/>
  <c r="V11" i="5"/>
  <c r="V11" i="21" s="1"/>
  <c r="O50" i="5"/>
  <c r="O50" i="21" s="1"/>
  <c r="O41" i="5"/>
  <c r="O41" i="21" s="1"/>
  <c r="O137" i="5"/>
  <c r="O136" i="21" s="1"/>
  <c r="V41" i="5"/>
  <c r="V41" i="21" s="1"/>
  <c r="V49" i="5"/>
  <c r="AF51" i="13"/>
  <c r="AG175" i="13"/>
  <c r="AE46" i="13"/>
  <c r="AF46" i="13"/>
  <c r="F86" i="16"/>
  <c r="I86" i="16" s="1"/>
  <c r="AE39" i="13"/>
  <c r="H38" i="5" s="1"/>
  <c r="H38" i="21" s="1"/>
  <c r="AF39" i="13"/>
  <c r="AF59" i="13"/>
  <c r="AG56" i="13"/>
  <c r="AF56" i="13"/>
  <c r="AE51" i="13"/>
  <c r="AG59" i="13"/>
  <c r="AG51" i="13"/>
  <c r="O42" i="5"/>
  <c r="AG152" i="13"/>
  <c r="AF152" i="13"/>
  <c r="AE152" i="13"/>
  <c r="H146" i="5" s="1"/>
  <c r="H146" i="21" s="1"/>
  <c r="H43" i="11"/>
  <c r="I43" i="11" s="1"/>
  <c r="M43" i="11" s="1"/>
  <c r="AF30" i="11" s="1"/>
  <c r="W193" i="5"/>
  <c r="W193" i="21" s="1"/>
  <c r="F43" i="11"/>
  <c r="G43" i="11" s="1"/>
  <c r="L43" i="11" s="1"/>
  <c r="AE30" i="11" s="1"/>
  <c r="P193" i="5"/>
  <c r="P193" i="21" s="1"/>
  <c r="AE175" i="13"/>
  <c r="I193" i="5"/>
  <c r="I193" i="21" s="1"/>
  <c r="D43" i="11"/>
  <c r="E43" i="11" s="1"/>
  <c r="K43" i="11" s="1"/>
  <c r="AD30" i="11" s="1"/>
  <c r="O173" i="5"/>
  <c r="O173" i="21" s="1"/>
  <c r="AF175" i="13"/>
  <c r="J65" i="21"/>
  <c r="AG36" i="13"/>
  <c r="V35" i="5" s="1"/>
  <c r="AE36" i="13"/>
  <c r="H35" i="5" s="1"/>
  <c r="H35" i="21" s="1"/>
  <c r="AF36" i="13"/>
  <c r="O11" i="5"/>
  <c r="O11" i="21" s="1"/>
  <c r="V101" i="5"/>
  <c r="V101" i="21" s="1"/>
  <c r="AG103" i="13"/>
  <c r="V97" i="5"/>
  <c r="AG100" i="13"/>
  <c r="O101" i="5"/>
  <c r="O101" i="21" s="1"/>
  <c r="AF103" i="13"/>
  <c r="H97" i="5"/>
  <c r="AE100" i="13"/>
  <c r="H101" i="5"/>
  <c r="H101" i="21" s="1"/>
  <c r="AE103" i="13"/>
  <c r="H99" i="5" s="1"/>
  <c r="AF100" i="13"/>
  <c r="O97" i="5"/>
  <c r="O150" i="21" l="1"/>
  <c r="H123" i="21"/>
  <c r="V53" i="21"/>
  <c r="O54" i="21"/>
  <c r="V49" i="21"/>
  <c r="O53" i="21"/>
  <c r="H176" i="21"/>
  <c r="O44" i="21"/>
  <c r="O42" i="21"/>
  <c r="I49" i="21"/>
  <c r="I50" i="21"/>
  <c r="V188" i="21"/>
  <c r="V189" i="21"/>
  <c r="V44" i="21"/>
  <c r="O43" i="21"/>
  <c r="O188" i="21"/>
  <c r="O189" i="21"/>
  <c r="O49" i="21"/>
  <c r="O185" i="21"/>
  <c r="O186" i="21"/>
  <c r="V60" i="21"/>
  <c r="O45" i="21"/>
  <c r="W154" i="21"/>
  <c r="W155" i="21"/>
  <c r="V42" i="21"/>
  <c r="P154" i="21"/>
  <c r="P155" i="21"/>
  <c r="H188" i="21"/>
  <c r="H189" i="21"/>
  <c r="V50" i="21"/>
  <c r="V185" i="21"/>
  <c r="V186" i="21"/>
  <c r="O192" i="21"/>
  <c r="H185" i="21"/>
  <c r="I47" i="21"/>
  <c r="I48" i="21"/>
  <c r="P49" i="21"/>
  <c r="P50" i="21"/>
  <c r="V54" i="21"/>
  <c r="V153" i="21"/>
  <c r="D13" i="11"/>
  <c r="K49" i="11" s="1"/>
  <c r="BS300" i="13"/>
  <c r="AD42" i="11" s="1"/>
  <c r="BT300" i="13"/>
  <c r="AE42" i="11" s="1"/>
  <c r="BR300" i="13"/>
  <c r="AC42" i="11" s="1"/>
  <c r="O179" i="5"/>
  <c r="O179" i="21" s="1"/>
  <c r="V179" i="5"/>
  <c r="V179" i="21" s="1"/>
  <c r="O123" i="21"/>
  <c r="O131" i="21"/>
  <c r="O137" i="21"/>
  <c r="V184" i="21"/>
  <c r="F197" i="21"/>
  <c r="AF197" i="21" s="1"/>
  <c r="H180" i="21"/>
  <c r="V143" i="21"/>
  <c r="O166" i="21"/>
  <c r="O176" i="21"/>
  <c r="V176" i="21"/>
  <c r="O143" i="21"/>
  <c r="V182" i="21"/>
  <c r="V150" i="21"/>
  <c r="O182" i="21"/>
  <c r="Z7" i="5"/>
  <c r="Z7" i="21" s="1"/>
  <c r="H13" i="11"/>
  <c r="M49" i="11" s="1"/>
  <c r="S7" i="5"/>
  <c r="S7" i="21" s="1"/>
  <c r="F13" i="11"/>
  <c r="L49" i="11" s="1"/>
  <c r="O181" i="21"/>
  <c r="V164" i="21"/>
  <c r="V98" i="21"/>
  <c r="O169" i="21"/>
  <c r="V126" i="21"/>
  <c r="V128" i="21"/>
  <c r="O184" i="21"/>
  <c r="V167" i="21"/>
  <c r="H165" i="21"/>
  <c r="O167" i="21"/>
  <c r="O183" i="21"/>
  <c r="V142" i="21"/>
  <c r="H98" i="21"/>
  <c r="O138" i="21"/>
  <c r="V174" i="21"/>
  <c r="V183" i="21"/>
  <c r="O120" i="21"/>
  <c r="O170" i="21"/>
  <c r="H175" i="21"/>
  <c r="V149" i="21"/>
  <c r="O174" i="21"/>
  <c r="O132" i="21"/>
  <c r="V169" i="21"/>
  <c r="H179" i="21"/>
  <c r="O98" i="21"/>
  <c r="O178" i="21"/>
  <c r="O124" i="21"/>
  <c r="H167" i="21"/>
  <c r="H99" i="21"/>
  <c r="H100" i="21"/>
  <c r="O126" i="21"/>
  <c r="O128" i="21"/>
  <c r="V175" i="21"/>
  <c r="O149" i="21"/>
  <c r="V120" i="21"/>
  <c r="V122" i="21"/>
  <c r="V124" i="21"/>
  <c r="W151" i="21"/>
  <c r="H184" i="21"/>
  <c r="P151" i="21"/>
  <c r="O175" i="21"/>
  <c r="H151" i="21"/>
  <c r="O142" i="21"/>
  <c r="AC196" i="5"/>
  <c r="AF193" i="21"/>
  <c r="O164" i="5"/>
  <c r="O165" i="21" s="1"/>
  <c r="V146" i="5"/>
  <c r="V146" i="21" s="1"/>
  <c r="O99" i="5"/>
  <c r="AD205" i="13"/>
  <c r="AF205" i="13" s="1"/>
  <c r="F210" i="5"/>
  <c r="AC210" i="5" s="1"/>
  <c r="AD207" i="13"/>
  <c r="C44" i="11"/>
  <c r="AI200" i="13"/>
  <c r="AI214" i="13" s="1"/>
  <c r="I210" i="5" s="1"/>
  <c r="I210" i="21" s="1"/>
  <c r="AG197" i="13"/>
  <c r="AJ200" i="13"/>
  <c r="AJ214" i="13" s="1"/>
  <c r="P210" i="5" s="1"/>
  <c r="P210" i="21" s="1"/>
  <c r="AD209" i="13"/>
  <c r="AF209" i="13" s="1"/>
  <c r="AD204" i="13"/>
  <c r="AK200" i="13"/>
  <c r="AK214" i="13" s="1"/>
  <c r="W210" i="5" s="1"/>
  <c r="W210" i="21" s="1"/>
  <c r="AD200" i="13"/>
  <c r="AD201" i="13"/>
  <c r="AF201" i="13" s="1"/>
  <c r="AD213" i="13"/>
  <c r="AG213" i="13" s="1"/>
  <c r="AD211" i="13"/>
  <c r="AD210" i="13"/>
  <c r="AF210" i="13" s="1"/>
  <c r="AD212" i="13"/>
  <c r="AE212" i="13" s="1"/>
  <c r="H208" i="5" s="1"/>
  <c r="AD208" i="13"/>
  <c r="AD203" i="13"/>
  <c r="AG203" i="13" s="1"/>
  <c r="AD202" i="13"/>
  <c r="AE202" i="13" s="1"/>
  <c r="Z65" i="21"/>
  <c r="V171" i="5"/>
  <c r="V168" i="21" s="1"/>
  <c r="V99" i="5"/>
  <c r="F91" i="16"/>
  <c r="I91" i="16" s="1"/>
  <c r="O38" i="5"/>
  <c r="O38" i="21" s="1"/>
  <c r="V35" i="21"/>
  <c r="V38" i="5"/>
  <c r="V38" i="21" s="1"/>
  <c r="O146" i="5"/>
  <c r="O146" i="21" s="1"/>
  <c r="O35" i="5"/>
  <c r="O35" i="21" s="1"/>
  <c r="AG206" i="13"/>
  <c r="V203" i="5" s="1"/>
  <c r="AE206" i="13"/>
  <c r="H203" i="5" s="1"/>
  <c r="AF206" i="13"/>
  <c r="H171" i="5"/>
  <c r="AE197" i="13"/>
  <c r="H193" i="5" s="1"/>
  <c r="H193" i="21" s="1"/>
  <c r="O171" i="5"/>
  <c r="O168" i="21" s="1"/>
  <c r="AF197" i="13"/>
  <c r="O193" i="5" s="1"/>
  <c r="O193" i="21" s="1"/>
  <c r="AF110" i="13"/>
  <c r="O96" i="5"/>
  <c r="O96" i="21" s="1"/>
  <c r="AE110" i="13"/>
  <c r="H102" i="5" s="1"/>
  <c r="H102" i="21" s="1"/>
  <c r="H96" i="5"/>
  <c r="H96" i="21" s="1"/>
  <c r="AG110" i="13"/>
  <c r="V96" i="5"/>
  <c r="V96" i="21" s="1"/>
  <c r="D30" i="16"/>
  <c r="V180" i="21" l="1"/>
  <c r="O180" i="21"/>
  <c r="AF211" i="21"/>
  <c r="F210" i="21"/>
  <c r="AF210" i="21" s="1"/>
  <c r="V172" i="21"/>
  <c r="O172" i="21"/>
  <c r="H168" i="21"/>
  <c r="H172" i="21"/>
  <c r="V97" i="21"/>
  <c r="AF207" i="21"/>
  <c r="O99" i="21"/>
  <c r="O100" i="21"/>
  <c r="V171" i="21"/>
  <c r="V99" i="21"/>
  <c r="V100" i="21"/>
  <c r="O97" i="21"/>
  <c r="O164" i="21"/>
  <c r="H97" i="21"/>
  <c r="O171" i="21"/>
  <c r="H171" i="21"/>
  <c r="AE213" i="13"/>
  <c r="H209" i="5" s="1"/>
  <c r="H209" i="21" s="1"/>
  <c r="AF213" i="13"/>
  <c r="AG201" i="13"/>
  <c r="V197" i="5" s="1"/>
  <c r="AG205" i="13"/>
  <c r="AG204" i="13" s="1"/>
  <c r="V201" i="5" s="1"/>
  <c r="AE205" i="13"/>
  <c r="AE204" i="13" s="1"/>
  <c r="H201" i="5" s="1"/>
  <c r="AG202" i="13"/>
  <c r="V199" i="5" s="1"/>
  <c r="AF202" i="13"/>
  <c r="O199" i="5" s="1"/>
  <c r="AF203" i="13"/>
  <c r="O200" i="5" s="1"/>
  <c r="AE203" i="13"/>
  <c r="H200" i="5" s="1"/>
  <c r="O206" i="5"/>
  <c r="AG210" i="13"/>
  <c r="V206" i="5" s="1"/>
  <c r="AE210" i="13"/>
  <c r="H206" i="5" s="1"/>
  <c r="AG209" i="13"/>
  <c r="AE209" i="13"/>
  <c r="H205" i="5" s="1"/>
  <c r="V200" i="5"/>
  <c r="O197" i="5"/>
  <c r="AD214" i="13"/>
  <c r="AE201" i="13"/>
  <c r="H197" i="5" s="1"/>
  <c r="AF212" i="13"/>
  <c r="AG212" i="13"/>
  <c r="V208" i="5" s="1"/>
  <c r="O203" i="5"/>
  <c r="V193" i="5"/>
  <c r="V193" i="21" s="1"/>
  <c r="O102" i="5"/>
  <c r="O102" i="21" s="1"/>
  <c r="V102" i="5"/>
  <c r="V102" i="21" s="1"/>
  <c r="AF208" i="13"/>
  <c r="O205" i="5"/>
  <c r="H199" i="5"/>
  <c r="O209" i="5"/>
  <c r="O202" i="5"/>
  <c r="AF204" i="13"/>
  <c r="O201" i="5" s="1"/>
  <c r="V209" i="5"/>
  <c r="F30" i="16"/>
  <c r="F74" i="5"/>
  <c r="V209" i="21" l="1"/>
  <c r="H206" i="21"/>
  <c r="O198" i="21"/>
  <c r="O206" i="21"/>
  <c r="H198" i="21"/>
  <c r="V198" i="21"/>
  <c r="O202" i="21"/>
  <c r="O199" i="21"/>
  <c r="V200" i="21"/>
  <c r="O203" i="21"/>
  <c r="O200" i="21"/>
  <c r="H200" i="21"/>
  <c r="AE211" i="13"/>
  <c r="F74" i="21"/>
  <c r="AF74" i="21" s="1"/>
  <c r="F75" i="21"/>
  <c r="AF75" i="21" s="1"/>
  <c r="H202" i="5"/>
  <c r="H199" i="21" s="1"/>
  <c r="V202" i="5"/>
  <c r="V199" i="21" s="1"/>
  <c r="AF211" i="13"/>
  <c r="AG200" i="13"/>
  <c r="AE200" i="13"/>
  <c r="H196" i="5" s="1"/>
  <c r="AF200" i="13"/>
  <c r="AE208" i="13"/>
  <c r="AG208" i="13"/>
  <c r="V205" i="5"/>
  <c r="V206" i="21" s="1"/>
  <c r="AG211" i="13"/>
  <c r="O208" i="5"/>
  <c r="O209" i="21" s="1"/>
  <c r="O196" i="5"/>
  <c r="V196" i="5"/>
  <c r="AC74" i="5"/>
  <c r="I30" i="16"/>
  <c r="D31" i="16"/>
  <c r="O197" i="21" l="1"/>
  <c r="V197" i="21"/>
  <c r="H203" i="21"/>
  <c r="H197" i="21"/>
  <c r="V203" i="21"/>
  <c r="V202" i="21"/>
  <c r="V196" i="21"/>
  <c r="H196" i="21"/>
  <c r="O196" i="21"/>
  <c r="H202" i="21"/>
  <c r="AF214" i="13"/>
  <c r="AG214" i="13"/>
  <c r="V210" i="5" s="1"/>
  <c r="V210" i="21" s="1"/>
  <c r="D33" i="16"/>
  <c r="F33" i="16" l="1"/>
  <c r="F81" i="5"/>
  <c r="F81" i="21" l="1"/>
  <c r="AF81" i="21" s="1"/>
  <c r="F82" i="21"/>
  <c r="AF82" i="21" s="1"/>
  <c r="AC81" i="5"/>
  <c r="I33" i="16"/>
  <c r="D34" i="16"/>
  <c r="F34" i="16" l="1"/>
  <c r="F84" i="5"/>
  <c r="F84" i="21" l="1"/>
  <c r="AF84" i="21" s="1"/>
  <c r="F85" i="21"/>
  <c r="AF85" i="21" s="1"/>
  <c r="AC84" i="5"/>
  <c r="I34" i="16"/>
  <c r="D35" i="16"/>
  <c r="AA97" i="13" l="1"/>
  <c r="AA259" i="13" s="1"/>
  <c r="F88" i="5"/>
  <c r="F88" i="21" l="1"/>
  <c r="AF88" i="21" s="1"/>
  <c r="F89" i="21"/>
  <c r="AF89" i="21" s="1"/>
  <c r="F35" i="16"/>
  <c r="I35" i="16" s="1"/>
  <c r="AC88" i="5"/>
  <c r="T97" i="13"/>
  <c r="D40" i="16" s="1"/>
  <c r="D36" i="16" l="1"/>
  <c r="F36" i="16" l="1"/>
  <c r="F91" i="5"/>
  <c r="F91" i="21" l="1"/>
  <c r="AF91" i="21" s="1"/>
  <c r="F92" i="21"/>
  <c r="AF92" i="21" s="1"/>
  <c r="AC91" i="5"/>
  <c r="I36" i="16"/>
  <c r="T123" i="13" l="1"/>
  <c r="D55" i="16"/>
  <c r="D56" i="16" l="1"/>
  <c r="F114" i="5"/>
  <c r="F114" i="21" l="1"/>
  <c r="AF114" i="21" s="1"/>
  <c r="F115" i="21"/>
  <c r="AC114" i="5"/>
  <c r="F113" i="21"/>
  <c r="AF113" i="21" s="1"/>
  <c r="F55" i="16"/>
  <c r="I55" i="16" s="1"/>
  <c r="H40" i="11"/>
  <c r="H108" i="5"/>
  <c r="H110" i="5"/>
  <c r="H110" i="21" s="1"/>
  <c r="F116" i="5"/>
  <c r="F116" i="21" s="1"/>
  <c r="AF116" i="21" s="1"/>
  <c r="F40" i="11"/>
  <c r="H107" i="21" l="1"/>
  <c r="H108" i="21"/>
  <c r="H109" i="21"/>
  <c r="H111" i="21"/>
  <c r="AC116" i="5"/>
  <c r="AF115" i="21"/>
  <c r="F56" i="16"/>
  <c r="I56" i="16" s="1"/>
  <c r="G40" i="11"/>
  <c r="L40" i="11" s="1"/>
  <c r="D40" i="11"/>
  <c r="I116" i="5"/>
  <c r="I116" i="21" s="1"/>
  <c r="I40" i="11"/>
  <c r="M40" i="11" s="1"/>
  <c r="AE27" i="11" l="1"/>
  <c r="AF27" i="11"/>
  <c r="H105" i="5"/>
  <c r="E40" i="11"/>
  <c r="K40" i="11" s="1"/>
  <c r="H105" i="21" l="1"/>
  <c r="H106" i="21"/>
  <c r="AD27" i="11"/>
  <c r="D70" i="16" l="1"/>
  <c r="F155" i="5" l="1"/>
  <c r="F156" i="21" s="1"/>
  <c r="F70" i="16"/>
  <c r="F155" i="21" l="1"/>
  <c r="AF155" i="21" s="1"/>
  <c r="AC155" i="5"/>
  <c r="AF152" i="21"/>
  <c r="I70" i="16"/>
  <c r="D71" i="16"/>
  <c r="T258" i="13" l="1"/>
  <c r="F30" i="3" s="1"/>
  <c r="D72" i="16"/>
  <c r="F159" i="5" l="1"/>
  <c r="F71" i="16"/>
  <c r="F159" i="21" l="1"/>
  <c r="AF159" i="21" s="1"/>
  <c r="F160" i="21"/>
  <c r="AF160" i="21" s="1"/>
  <c r="AC159" i="5"/>
  <c r="AF156" i="21"/>
  <c r="F42" i="11"/>
  <c r="I71" i="16"/>
  <c r="F72" i="16"/>
  <c r="I72" i="16" s="1"/>
  <c r="H42" i="11"/>
  <c r="F161" i="5"/>
  <c r="F161" i="21" s="1"/>
  <c r="AF161" i="21" l="1"/>
  <c r="AF162" i="21"/>
  <c r="AC161" i="5"/>
  <c r="AF158" i="21"/>
  <c r="I42" i="11"/>
  <c r="M42" i="11" s="1"/>
  <c r="D42" i="11"/>
  <c r="I161" i="5"/>
  <c r="I161" i="21" s="1"/>
  <c r="G42" i="11"/>
  <c r="L42" i="11" s="1"/>
  <c r="AE29" i="11" l="1"/>
  <c r="AF29" i="11"/>
  <c r="H149" i="5"/>
  <c r="H150" i="21" s="1"/>
  <c r="E42" i="11"/>
  <c r="K42" i="11" s="1"/>
  <c r="H149" i="21" l="1"/>
  <c r="AD29" i="11"/>
  <c r="F258" i="13"/>
  <c r="H46" i="5" l="1"/>
  <c r="O46" i="5"/>
  <c r="V46" i="5"/>
  <c r="H51" i="5"/>
  <c r="V51" i="5"/>
  <c r="O51" i="5"/>
  <c r="H55" i="5"/>
  <c r="O55" i="5"/>
  <c r="V55" i="5"/>
  <c r="H58" i="5"/>
  <c r="V58" i="5"/>
  <c r="O58" i="5"/>
  <c r="AE66" i="13"/>
  <c r="H61" i="5"/>
  <c r="O58" i="21" l="1"/>
  <c r="O59" i="21"/>
  <c r="V58" i="21"/>
  <c r="V59" i="21"/>
  <c r="H58" i="21"/>
  <c r="H59" i="21"/>
  <c r="V55" i="21"/>
  <c r="V56" i="21"/>
  <c r="O55" i="21"/>
  <c r="O56" i="21"/>
  <c r="H55" i="21"/>
  <c r="H56" i="21"/>
  <c r="O51" i="21"/>
  <c r="O52" i="21"/>
  <c r="V51" i="21"/>
  <c r="V52" i="21"/>
  <c r="H51" i="21"/>
  <c r="H52" i="21"/>
  <c r="V46" i="21"/>
  <c r="V47" i="21"/>
  <c r="O46" i="21"/>
  <c r="O47" i="21"/>
  <c r="H61" i="21"/>
  <c r="H62" i="21"/>
  <c r="H46" i="21"/>
  <c r="H47" i="21"/>
  <c r="Q65" i="21"/>
  <c r="X65" i="21"/>
  <c r="H63" i="5"/>
  <c r="H63" i="21" s="1"/>
  <c r="AG66" i="13"/>
  <c r="V61" i="5"/>
  <c r="AF66" i="13"/>
  <c r="O61" i="5"/>
  <c r="O61" i="21" l="1"/>
  <c r="O62" i="21"/>
  <c r="V61" i="21"/>
  <c r="V62" i="21"/>
  <c r="V63" i="5"/>
  <c r="V63" i="21" s="1"/>
  <c r="O63" i="5"/>
  <c r="O63" i="21" s="1"/>
  <c r="AE123" i="13"/>
  <c r="H116" i="5" s="1"/>
  <c r="H116" i="21" s="1"/>
  <c r="H114" i="5"/>
  <c r="H115" i="21" s="1"/>
  <c r="H113" i="21" l="1"/>
  <c r="H114" i="21"/>
  <c r="AF123" i="13"/>
  <c r="O116" i="5" s="1"/>
  <c r="O116" i="21" s="1"/>
  <c r="O114" i="5"/>
  <c r="O115" i="21" s="1"/>
  <c r="AG123" i="13"/>
  <c r="V116" i="5" s="1"/>
  <c r="V116" i="21" s="1"/>
  <c r="V114" i="5"/>
  <c r="V115" i="21" s="1"/>
  <c r="H155" i="5"/>
  <c r="H157" i="5"/>
  <c r="AE166" i="13"/>
  <c r="H161" i="5" s="1"/>
  <c r="H161" i="21" s="1"/>
  <c r="H159" i="5"/>
  <c r="H159" i="21" l="1"/>
  <c r="H160" i="21"/>
  <c r="H157" i="21"/>
  <c r="H158" i="21"/>
  <c r="H155" i="21"/>
  <c r="H156" i="21"/>
  <c r="V113" i="21"/>
  <c r="V114" i="21"/>
  <c r="O113" i="21"/>
  <c r="O114" i="21"/>
  <c r="O155" i="5"/>
  <c r="V155" i="5"/>
  <c r="V157" i="5"/>
  <c r="O157" i="5"/>
  <c r="AF166" i="13"/>
  <c r="O161" i="5" s="1"/>
  <c r="O161" i="21" s="1"/>
  <c r="O159" i="5"/>
  <c r="AG166" i="13"/>
  <c r="V161" i="5" s="1"/>
  <c r="V161" i="21" s="1"/>
  <c r="V159" i="5"/>
  <c r="O204" i="5"/>
  <c r="V204" i="5"/>
  <c r="V155" i="21" l="1"/>
  <c r="V156" i="21"/>
  <c r="O155" i="21"/>
  <c r="O156" i="21"/>
  <c r="V159" i="21"/>
  <c r="V160" i="21"/>
  <c r="O159" i="21"/>
  <c r="O160" i="21"/>
  <c r="O157" i="21"/>
  <c r="O158" i="21"/>
  <c r="V157" i="21"/>
  <c r="V158" i="21"/>
  <c r="V201" i="21"/>
  <c r="V205" i="21"/>
  <c r="O201" i="21"/>
  <c r="O205" i="21"/>
  <c r="D44" i="11"/>
  <c r="E44" i="11" s="1"/>
  <c r="K44" i="11" s="1"/>
  <c r="AD31" i="11" l="1"/>
  <c r="F44" i="11" l="1"/>
  <c r="O207" i="5"/>
  <c r="O208" i="21" s="1"/>
  <c r="O204" i="21" l="1"/>
  <c r="O207" i="21"/>
  <c r="G44" i="11"/>
  <c r="L44" i="11" s="1"/>
  <c r="AE31" i="11" l="1"/>
  <c r="V207" i="5" l="1"/>
  <c r="H44" i="11"/>
  <c r="V207" i="21" l="1"/>
  <c r="V208" i="21"/>
  <c r="V204" i="21"/>
  <c r="I44" i="11"/>
  <c r="M44" i="11" s="1"/>
  <c r="AF31" i="11" l="1"/>
  <c r="H204" i="5" l="1"/>
  <c r="H207" i="5"/>
  <c r="AE214" i="13"/>
  <c r="H207" i="21" l="1"/>
  <c r="H208" i="21"/>
  <c r="H201" i="21"/>
  <c r="H205" i="21"/>
  <c r="H204" i="21"/>
  <c r="H210" i="5"/>
  <c r="H210" i="21" s="1"/>
  <c r="O210" i="5"/>
  <c r="O210" i="21" s="1"/>
  <c r="F78" i="5"/>
  <c r="F79" i="21" s="1"/>
  <c r="AF79" i="21" s="1"/>
  <c r="F31" i="16"/>
  <c r="AC78" i="5" l="1"/>
  <c r="F78" i="21"/>
  <c r="AF78" i="21" s="1"/>
  <c r="AJ79" i="13"/>
  <c r="AJ97" i="13" s="1"/>
  <c r="AB97" i="13"/>
  <c r="AI79" i="13"/>
  <c r="AI97" i="13" s="1"/>
  <c r="AK79" i="13"/>
  <c r="AK97" i="13" s="1"/>
  <c r="F40" i="16"/>
  <c r="I40" i="16" s="1"/>
  <c r="I31" i="16"/>
  <c r="AD72" i="13" l="1"/>
  <c r="C38" i="11"/>
  <c r="F38" i="11"/>
  <c r="F46" i="11" s="1"/>
  <c r="BG261" i="13" s="1"/>
  <c r="P93" i="5"/>
  <c r="P93" i="21" s="1"/>
  <c r="H38" i="11"/>
  <c r="H46" i="11" s="1"/>
  <c r="BJ261" i="13" s="1"/>
  <c r="W93" i="5"/>
  <c r="D38" i="11"/>
  <c r="D46" i="11" s="1"/>
  <c r="BD261" i="13" s="1"/>
  <c r="I93" i="5"/>
  <c r="I93" i="21" s="1"/>
  <c r="AD92" i="13"/>
  <c r="AE92" i="13" s="1"/>
  <c r="H90" i="5" s="1"/>
  <c r="AD90" i="13"/>
  <c r="AD70" i="13"/>
  <c r="AG70" i="13" s="1"/>
  <c r="AD73" i="13"/>
  <c r="AG73" i="13" s="1"/>
  <c r="AB258" i="13"/>
  <c r="AD96" i="13"/>
  <c r="AD74" i="13"/>
  <c r="AF74" i="13" s="1"/>
  <c r="AD86" i="13"/>
  <c r="AD77" i="13"/>
  <c r="AE77" i="13" s="1"/>
  <c r="H76" i="5" s="1"/>
  <c r="AD95" i="13"/>
  <c r="AD78" i="13"/>
  <c r="AG78" i="13" s="1"/>
  <c r="F93" i="5"/>
  <c r="F93" i="21" s="1"/>
  <c r="AF93" i="21" s="1"/>
  <c r="AD76" i="13"/>
  <c r="AF76" i="13" s="1"/>
  <c r="AD87" i="13"/>
  <c r="AE87" i="13" s="1"/>
  <c r="AD91" i="13"/>
  <c r="AG91" i="13" s="1"/>
  <c r="AD79" i="13"/>
  <c r="AD84" i="13"/>
  <c r="AG84" i="13" s="1"/>
  <c r="BD260" i="13"/>
  <c r="C46" i="11"/>
  <c r="AD83" i="13"/>
  <c r="AD82" i="13"/>
  <c r="AD85" i="13"/>
  <c r="AG85" i="13" s="1"/>
  <c r="AD89" i="13"/>
  <c r="AF89" i="13" s="1"/>
  <c r="AD93" i="13"/>
  <c r="BG260" i="13"/>
  <c r="AD71" i="13"/>
  <c r="AG71" i="13" s="1"/>
  <c r="AD88" i="13"/>
  <c r="AD80" i="13"/>
  <c r="AE80" i="13" s="1"/>
  <c r="AD69" i="13"/>
  <c r="AD81" i="13"/>
  <c r="AD94" i="13"/>
  <c r="BJ260" i="13"/>
  <c r="AD75" i="13"/>
  <c r="AF72" i="13"/>
  <c r="O69" i="5" s="1"/>
  <c r="AG72" i="13"/>
  <c r="V69" i="5" s="1"/>
  <c r="AE72" i="13"/>
  <c r="H69" i="5" s="1"/>
  <c r="F32" i="3" l="1"/>
  <c r="AA258" i="13"/>
  <c r="F31" i="3" s="1"/>
  <c r="AF92" i="13"/>
  <c r="O90" i="5" s="1"/>
  <c r="AG92" i="13"/>
  <c r="V90" i="5" s="1"/>
  <c r="AB207" i="21"/>
  <c r="W93" i="21"/>
  <c r="AF78" i="13"/>
  <c r="O77" i="5" s="1"/>
  <c r="AE89" i="13"/>
  <c r="H87" i="5" s="1"/>
  <c r="AG89" i="13"/>
  <c r="V87" i="5" s="1"/>
  <c r="AE78" i="13"/>
  <c r="H77" i="5" s="1"/>
  <c r="H77" i="21" s="1"/>
  <c r="V77" i="5"/>
  <c r="O87" i="5"/>
  <c r="AG77" i="13"/>
  <c r="V76" i="5" s="1"/>
  <c r="AF77" i="13"/>
  <c r="O76" i="5" s="1"/>
  <c r="AG76" i="13"/>
  <c r="V75" i="5" s="1"/>
  <c r="AE76" i="13"/>
  <c r="AE91" i="13"/>
  <c r="H89" i="5" s="1"/>
  <c r="AF91" i="13"/>
  <c r="V89" i="5" s="1"/>
  <c r="AE73" i="13"/>
  <c r="H71" i="5" s="1"/>
  <c r="AG87" i="13"/>
  <c r="V85" i="5" s="1"/>
  <c r="AF85" i="13"/>
  <c r="O83" i="5" s="1"/>
  <c r="AE85" i="13"/>
  <c r="H83" i="5" s="1"/>
  <c r="AF73" i="13"/>
  <c r="AF70" i="13"/>
  <c r="AF84" i="13"/>
  <c r="O82" i="5" s="1"/>
  <c r="AE84" i="13"/>
  <c r="H82" i="5" s="1"/>
  <c r="AE70" i="13"/>
  <c r="H67" i="5" s="1"/>
  <c r="I38" i="11"/>
  <c r="M38" i="11" s="1"/>
  <c r="M46" i="11" s="1"/>
  <c r="E38" i="11"/>
  <c r="K38" i="11" s="1"/>
  <c r="AD25" i="11" s="1"/>
  <c r="AC93" i="5"/>
  <c r="G38" i="11"/>
  <c r="L38" i="11" s="1"/>
  <c r="L46" i="11" s="1"/>
  <c r="S5" i="5" s="1"/>
  <c r="S5" i="21" s="1"/>
  <c r="AE71" i="13"/>
  <c r="H68" i="5" s="1"/>
  <c r="AF71" i="13"/>
  <c r="O68" i="5" s="1"/>
  <c r="AG74" i="13"/>
  <c r="V73" i="5" s="1"/>
  <c r="AE74" i="13"/>
  <c r="H73" i="5" s="1"/>
  <c r="AF87" i="13"/>
  <c r="O85" i="5" s="1"/>
  <c r="AG80" i="13"/>
  <c r="V79" i="5" s="1"/>
  <c r="AF80" i="13"/>
  <c r="O79" i="5" s="1"/>
  <c r="AG88" i="13"/>
  <c r="V86" i="5" s="1"/>
  <c r="AE88" i="13"/>
  <c r="H86" i="5" s="1"/>
  <c r="AF88" i="13"/>
  <c r="O86" i="5" s="1"/>
  <c r="AE81" i="13"/>
  <c r="H80" i="5" s="1"/>
  <c r="AG81" i="13"/>
  <c r="V80" i="5" s="1"/>
  <c r="AF81" i="13"/>
  <c r="O80" i="5" s="1"/>
  <c r="AD97" i="13"/>
  <c r="AG94" i="13"/>
  <c r="AE94" i="13"/>
  <c r="AF94" i="13"/>
  <c r="H79" i="5"/>
  <c r="H85" i="5"/>
  <c r="AG83" i="13"/>
  <c r="O75" i="5"/>
  <c r="V67" i="5"/>
  <c r="H68" i="21" l="1"/>
  <c r="H69" i="21"/>
  <c r="O69" i="21"/>
  <c r="AG90" i="13"/>
  <c r="V88" i="5" s="1"/>
  <c r="V88" i="21" s="1"/>
  <c r="H70" i="21"/>
  <c r="H71" i="21"/>
  <c r="V86" i="21"/>
  <c r="H73" i="21"/>
  <c r="O83" i="21"/>
  <c r="V80" i="21"/>
  <c r="V77" i="21"/>
  <c r="O87" i="21"/>
  <c r="H83" i="21"/>
  <c r="O77" i="21"/>
  <c r="O80" i="21"/>
  <c r="V87" i="21"/>
  <c r="H87" i="21"/>
  <c r="H80" i="21"/>
  <c r="O86" i="21"/>
  <c r="H86" i="21"/>
  <c r="V90" i="21"/>
  <c r="O76" i="21"/>
  <c r="V76" i="21"/>
  <c r="H90" i="21"/>
  <c r="AF75" i="13"/>
  <c r="O74" i="5" s="1"/>
  <c r="AE75" i="13"/>
  <c r="H74" i="5" s="1"/>
  <c r="H74" i="21" s="1"/>
  <c r="H75" i="5"/>
  <c r="V82" i="5"/>
  <c r="O67" i="5"/>
  <c r="BJ262" i="13"/>
  <c r="BK262" i="13" s="1"/>
  <c r="BL262" i="13" s="1"/>
  <c r="Z5" i="5"/>
  <c r="Z5" i="21" s="1"/>
  <c r="AF90" i="13"/>
  <c r="O88" i="5" s="1"/>
  <c r="O88" i="21" s="1"/>
  <c r="O71" i="5"/>
  <c r="V83" i="5"/>
  <c r="O89" i="5"/>
  <c r="O73" i="5"/>
  <c r="V68" i="5"/>
  <c r="V71" i="5"/>
  <c r="AE90" i="13"/>
  <c r="H88" i="5" s="1"/>
  <c r="H88" i="21" s="1"/>
  <c r="AG75" i="13"/>
  <c r="V74" i="5" s="1"/>
  <c r="V74" i="21" s="1"/>
  <c r="AF83" i="13"/>
  <c r="O81" i="5" s="1"/>
  <c r="O81" i="21" s="1"/>
  <c r="K46" i="11"/>
  <c r="BD262" i="13" s="1"/>
  <c r="BE262" i="13" s="1"/>
  <c r="BF262" i="13" s="1"/>
  <c r="AE83" i="13"/>
  <c r="H81" i="5" s="1"/>
  <c r="H81" i="21" s="1"/>
  <c r="AF25" i="11"/>
  <c r="AF69" i="13"/>
  <c r="AE25" i="11"/>
  <c r="AE69" i="13"/>
  <c r="H66" i="5" s="1"/>
  <c r="H66" i="21" s="1"/>
  <c r="AG69" i="13"/>
  <c r="AE86" i="13"/>
  <c r="H84" i="5" s="1"/>
  <c r="H84" i="21" s="1"/>
  <c r="AG86" i="13"/>
  <c r="V84" i="5" s="1"/>
  <c r="AF86" i="13"/>
  <c r="O84" i="5" s="1"/>
  <c r="O84" i="21" s="1"/>
  <c r="AF79" i="13"/>
  <c r="AE79" i="13"/>
  <c r="H78" i="5" s="1"/>
  <c r="H78" i="21" s="1"/>
  <c r="AG79" i="13"/>
  <c r="AF93" i="13"/>
  <c r="O91" i="5" s="1"/>
  <c r="O91" i="21" s="1"/>
  <c r="O92" i="5"/>
  <c r="H92" i="5"/>
  <c r="AE93" i="13"/>
  <c r="H91" i="5" s="1"/>
  <c r="H91" i="21" s="1"/>
  <c r="AG93" i="13"/>
  <c r="V91" i="5" s="1"/>
  <c r="V91" i="21" s="1"/>
  <c r="V92" i="5"/>
  <c r="BG262" i="13"/>
  <c r="V68" i="21" l="1"/>
  <c r="V69" i="21"/>
  <c r="H67" i="21"/>
  <c r="O68" i="21"/>
  <c r="V70" i="21"/>
  <c r="V71" i="21"/>
  <c r="O70" i="21"/>
  <c r="O71" i="21"/>
  <c r="O73" i="21"/>
  <c r="V84" i="21"/>
  <c r="V83" i="21"/>
  <c r="O74" i="21"/>
  <c r="O75" i="21"/>
  <c r="V92" i="21"/>
  <c r="H92" i="21"/>
  <c r="O92" i="21"/>
  <c r="H89" i="21"/>
  <c r="O82" i="21"/>
  <c r="V89" i="21"/>
  <c r="H79" i="21"/>
  <c r="O89" i="21"/>
  <c r="O85" i="21"/>
  <c r="H82" i="21"/>
  <c r="V85" i="21"/>
  <c r="H75" i="21"/>
  <c r="H76" i="21"/>
  <c r="O90" i="21"/>
  <c r="V75" i="21"/>
  <c r="V73" i="21"/>
  <c r="H85" i="21"/>
  <c r="H11" i="11"/>
  <c r="O66" i="5"/>
  <c r="O66" i="21" s="1"/>
  <c r="O78" i="5"/>
  <c r="V81" i="5"/>
  <c r="V81" i="21" s="1"/>
  <c r="V78" i="5"/>
  <c r="V66" i="5"/>
  <c r="D11" i="11"/>
  <c r="L5" i="5"/>
  <c r="J5" i="21" s="1"/>
  <c r="AF97" i="13"/>
  <c r="AE97" i="13"/>
  <c r="AE260" i="13" s="1"/>
  <c r="AG97" i="13"/>
  <c r="F11" i="11"/>
  <c r="BH262" i="13"/>
  <c r="BI262" i="13" s="1"/>
  <c r="V66" i="21" l="1"/>
  <c r="V67" i="21"/>
  <c r="O67" i="21"/>
  <c r="O78" i="21"/>
  <c r="O79" i="21"/>
  <c r="V78" i="21"/>
  <c r="V79" i="21"/>
  <c r="V82" i="21"/>
  <c r="V93" i="5"/>
  <c r="V93" i="21" s="1"/>
  <c r="O93" i="5"/>
  <c r="O93" i="21" s="1"/>
  <c r="H93" i="5"/>
  <c r="H93" i="21" s="1"/>
  <c r="BJ315" i="13"/>
  <c r="BS309" i="13" s="1"/>
  <c r="AD51" i="11" s="1"/>
  <c r="BG250" i="13"/>
  <c r="BH250" i="13" s="1"/>
  <c r="P138" i="5" s="1"/>
  <c r="AY145" i="13"/>
  <c r="P138" i="21" l="1"/>
  <c r="BH145" i="13"/>
  <c r="P139" i="5" s="1"/>
  <c r="P140" i="21" s="1"/>
  <c r="BG259" i="13"/>
  <c r="BH259" i="13" s="1"/>
  <c r="BI259" i="13" s="1"/>
  <c r="BI264" i="13" s="1"/>
  <c r="BI315" i="13"/>
  <c r="BR309" i="13" s="1"/>
  <c r="AC51" i="11" s="1"/>
  <c r="BE145" i="13"/>
  <c r="P139" i="21" l="1"/>
  <c r="BK145" i="13"/>
  <c r="BJ250" i="13"/>
  <c r="BK250" i="13" s="1"/>
  <c r="W138" i="5" s="1"/>
  <c r="I139" i="5"/>
  <c r="I140" i="21" s="1"/>
  <c r="I138" i="5"/>
  <c r="S6" i="5"/>
  <c r="S6" i="21" s="1"/>
  <c r="F12" i="11"/>
  <c r="L48" i="11" s="1"/>
  <c r="W139" i="5"/>
  <c r="W140" i="21" s="1"/>
  <c r="BK315" i="13"/>
  <c r="BT309" i="13" s="1"/>
  <c r="AE51" i="11" s="1"/>
  <c r="BJ259" i="13"/>
  <c r="BK259" i="13" s="1"/>
  <c r="BH264" i="13"/>
  <c r="BH267" i="13"/>
  <c r="I139" i="21" l="1"/>
  <c r="I138" i="21"/>
  <c r="W139" i="21"/>
  <c r="W138" i="21"/>
  <c r="F10" i="11"/>
  <c r="L47" i="11" s="1"/>
  <c r="S4" i="5"/>
  <c r="S4" i="21" s="1"/>
  <c r="BL259" i="13"/>
  <c r="BL264" i="13" s="1"/>
  <c r="H12" i="11"/>
  <c r="M48" i="11" s="1"/>
  <c r="Z6" i="5"/>
  <c r="Z6" i="21" s="1"/>
  <c r="BK264" i="13" l="1"/>
  <c r="BK267" i="13"/>
  <c r="Z4" i="5" l="1"/>
  <c r="Z4" i="21" s="1"/>
  <c r="H10" i="11"/>
  <c r="M47" i="11" s="1"/>
  <c r="BI320" i="13" l="1"/>
  <c r="BE158" i="13"/>
  <c r="I153" i="5" s="1"/>
  <c r="I153" i="21" s="1"/>
  <c r="BD259" i="13"/>
  <c r="BE259" i="13" s="1"/>
  <c r="BE251" i="13"/>
  <c r="I154" i="5" s="1"/>
  <c r="I154" i="21" s="1"/>
  <c r="BI321" i="13"/>
  <c r="BR311" i="13" l="1"/>
  <c r="AC53" i="11" s="1"/>
  <c r="L6" i="5"/>
  <c r="J6" i="21" s="1"/>
  <c r="D12" i="11"/>
  <c r="K48" i="11" s="1"/>
  <c r="BF259" i="13"/>
  <c r="BF264" i="13" s="1"/>
  <c r="BE267" i="13" l="1"/>
  <c r="E8" i="5"/>
  <c r="E8" i="21" s="1"/>
  <c r="K10" i="11"/>
  <c r="BE264" i="13"/>
  <c r="D10" i="11" l="1"/>
  <c r="K47" i="11" s="1"/>
  <c r="L4" i="5"/>
  <c r="J4"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H9" authorId="0" shapeId="0" xr:uid="{30D6E5A2-4011-4BE2-B4D8-525E7394EDE5}">
      <text>
        <r>
          <rPr>
            <sz val="9"/>
            <color indexed="81"/>
            <rFont val="Tahoma"/>
            <family val="2"/>
          </rPr>
          <t>Contribution to score. 
0 c. 0% means number of credits achieved and contribution to score.</t>
        </r>
      </text>
    </comment>
    <comment ref="I9" authorId="0" shapeId="0" xr:uid="{F425A9A2-18E4-414B-9BBC-F48CC9B81F78}">
      <text>
        <r>
          <rPr>
            <sz val="9"/>
            <color indexed="81"/>
            <rFont val="Tahoma"/>
            <family val="2"/>
          </rPr>
          <t>Minimum standards level achieved</t>
        </r>
      </text>
    </comment>
    <comment ref="K9" authorId="0" shapeId="0" xr:uid="{F323149C-5FF4-4108-94F4-B5AE26B4E30F}">
      <text>
        <r>
          <rPr>
            <sz val="9"/>
            <color indexed="81"/>
            <rFont val="Tahoma"/>
            <family val="2"/>
          </rPr>
          <t>(</t>
        </r>
        <r>
          <rPr>
            <b/>
            <sz val="9"/>
            <color indexed="81"/>
            <rFont val="Tahoma"/>
            <family val="2"/>
          </rPr>
          <t>G) -</t>
        </r>
        <r>
          <rPr>
            <sz val="9"/>
            <color indexed="81"/>
            <rFont val="Tahoma"/>
            <family val="2"/>
          </rPr>
          <t xml:space="preserve"> Green - OK
</t>
        </r>
        <r>
          <rPr>
            <b/>
            <sz val="9"/>
            <color indexed="81"/>
            <rFont val="Tahoma"/>
            <family val="2"/>
          </rPr>
          <t xml:space="preserve">(Y) </t>
        </r>
        <r>
          <rPr>
            <sz val="9"/>
            <color indexed="81"/>
            <rFont val="Tahoma"/>
            <family val="2"/>
          </rPr>
          <t xml:space="preserve">- Yellow - Unsure
</t>
        </r>
        <r>
          <rPr>
            <b/>
            <sz val="9"/>
            <color indexed="81"/>
            <rFont val="Tahoma"/>
            <family val="2"/>
          </rPr>
          <t>(R) -</t>
        </r>
        <r>
          <rPr>
            <sz val="9"/>
            <color indexed="81"/>
            <rFont val="Tahoma"/>
            <family val="2"/>
          </rPr>
          <t xml:space="preserve"> Red - Not OK</t>
        </r>
        <r>
          <rPr>
            <b/>
            <sz val="9"/>
            <color indexed="81"/>
            <rFont val="Tahoma"/>
            <family val="2"/>
          </rPr>
          <t xml:space="preserve">
</t>
        </r>
        <r>
          <rPr>
            <sz val="9"/>
            <color indexed="81"/>
            <rFont val="Tahoma"/>
            <family val="2"/>
          </rPr>
          <t xml:space="preserve">
</t>
        </r>
      </text>
    </comment>
    <comment ref="O9" authorId="0" shapeId="0" xr:uid="{72353AB7-E94E-4018-A4F4-32381BCFBE23}">
      <text>
        <r>
          <rPr>
            <sz val="9"/>
            <color indexed="81"/>
            <rFont val="Tahoma"/>
            <family val="2"/>
          </rPr>
          <t>0 c. 0% means number of credits achieved and contribution to score.</t>
        </r>
        <r>
          <rPr>
            <sz val="9"/>
            <color indexed="81"/>
            <rFont val="Tahoma"/>
            <family val="2"/>
          </rPr>
          <t xml:space="preserve">
</t>
        </r>
      </text>
    </comment>
    <comment ref="V9" authorId="0" shapeId="0" xr:uid="{58D8B135-5C11-4997-A3D7-5AE08EB87F00}">
      <text>
        <r>
          <rPr>
            <sz val="9"/>
            <color indexed="81"/>
            <rFont val="Tahoma"/>
            <family val="2"/>
          </rPr>
          <t>0 c. 0% means number of credits achieved and contribution to score.</t>
        </r>
      </text>
    </comment>
    <comment ref="E47" authorId="0" shapeId="0" xr:uid="{253B3D45-5FEB-4C4D-B97C-1EE64C83FD38}">
      <text>
        <r>
          <rPr>
            <sz val="9"/>
            <color indexed="81"/>
            <rFont val="Tahoma"/>
            <family val="2"/>
          </rPr>
          <t>Requirement: Compliance with</t>
        </r>
        <r>
          <rPr>
            <b/>
            <sz val="9"/>
            <color indexed="81"/>
            <rFont val="Tahoma"/>
            <family val="2"/>
          </rPr>
          <t xml:space="preserve"> Mat 05</t>
        </r>
        <r>
          <rPr>
            <sz val="9"/>
            <color indexed="81"/>
            <rFont val="Tahoma"/>
            <family val="2"/>
          </rPr>
          <t xml:space="preserve"> </t>
        </r>
        <r>
          <rPr>
            <b/>
            <sz val="9"/>
            <color indexed="81"/>
            <rFont val="Tahoma"/>
            <family val="2"/>
          </rPr>
          <t xml:space="preserve">criteria 6–8 </t>
        </r>
        <r>
          <rPr>
            <sz val="9"/>
            <color indexed="81"/>
            <rFont val="Tahoma"/>
            <family val="2"/>
          </rPr>
          <t>Control plan and moisture measurements.</t>
        </r>
      </text>
    </comment>
    <comment ref="E67" authorId="0" shapeId="0" xr:uid="{18C746A1-0AE3-45F3-9838-043A6EA2652A}">
      <text>
        <r>
          <rPr>
            <sz val="9"/>
            <color indexed="81"/>
            <rFont val="Tahoma"/>
            <family val="2"/>
          </rPr>
          <t>Requirement: Hea 03 Thermal comfort: Thermal modelling (N/A for shell only. N/A for industrial building without an office area)</t>
        </r>
      </text>
    </comment>
    <comment ref="E135" authorId="0" shapeId="0" xr:uid="{787C9B7F-FF07-4CA5-B5ED-FC86A40CD8F7}">
      <text>
        <r>
          <rPr>
            <sz val="9"/>
            <color indexed="81"/>
            <rFont val="Tahoma"/>
            <family val="2"/>
          </rPr>
          <t xml:space="preserve">Requirement for </t>
        </r>
        <r>
          <rPr>
            <b/>
            <sz val="9"/>
            <color indexed="81"/>
            <rFont val="Tahoma"/>
            <family val="2"/>
          </rPr>
          <t xml:space="preserve">Hea 02 </t>
        </r>
        <r>
          <rPr>
            <sz val="9"/>
            <color indexed="81"/>
            <rFont val="Tahoma"/>
            <family val="2"/>
          </rPr>
          <t>Pre-requisite: A site-specific indoor air quality plan has been produced</t>
        </r>
      </text>
    </comment>
    <comment ref="E172" authorId="0" shapeId="0" xr:uid="{726317CC-8A2E-4A13-A0CB-B6320E89BAEF}">
      <text>
        <r>
          <rPr>
            <sz val="9"/>
            <color indexed="81"/>
            <rFont val="Tahoma"/>
            <family val="2"/>
          </rPr>
          <t>Requirement for LE 03 :Criteria 2–6 in LE 02 must have been achieved</t>
        </r>
      </text>
    </comment>
    <comment ref="E217" authorId="0" shapeId="0" xr:uid="{E5C9B72E-1444-4753-8B9F-4041CAE9350A}">
      <text>
        <r>
          <rPr>
            <b/>
            <sz val="9"/>
            <color indexed="81"/>
            <rFont val="Tahoma"/>
            <family val="2"/>
          </rPr>
          <t>Requirement:</t>
        </r>
        <r>
          <rPr>
            <sz val="9"/>
            <color indexed="81"/>
            <rFont val="Tahoma"/>
            <family val="2"/>
          </rPr>
          <t xml:space="preserve">
Ene 01: Prediction of operational energy consumption 
Ene 02: Energy monitoring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Oddbjørn Dahlstrøm</author>
    <author>Oddbjørn Dahlstrøm Andvik</author>
  </authors>
  <commentList>
    <comment ref="AB62" authorId="0" shapeId="0" xr:uid="{00000000-0006-0000-0300-000001000000}">
      <text>
        <r>
          <rPr>
            <sz val="9"/>
            <color indexed="81"/>
            <rFont val="Tahoma"/>
            <family val="2"/>
          </rPr>
          <t>Må være slik for å få manuell filtrering ved Bespokt til å fungere</t>
        </r>
      </text>
    </comment>
    <comment ref="F79" authorId="1" shapeId="0" xr:uid="{443B899F-3E52-4437-A113-E2063BB823B0}">
      <text>
        <r>
          <rPr>
            <b/>
            <sz val="9"/>
            <color indexed="81"/>
            <rFont val="Tahoma"/>
            <family val="2"/>
          </rPr>
          <t>Skal være 1</t>
        </r>
        <r>
          <rPr>
            <sz val="9"/>
            <color indexed="81"/>
            <rFont val="Tahoma"/>
            <family val="2"/>
          </rPr>
          <t xml:space="preserve">
</t>
        </r>
      </text>
    </comment>
    <comment ref="G79" authorId="1" shapeId="0" xr:uid="{5CF6CBF8-C714-4294-B802-308024A0E07F}">
      <text>
        <r>
          <rPr>
            <b/>
            <sz val="9"/>
            <color indexed="81"/>
            <rFont val="Tahoma"/>
            <family val="2"/>
          </rPr>
          <t>Skal være 1</t>
        </r>
        <r>
          <rPr>
            <sz val="9"/>
            <color indexed="81"/>
            <rFont val="Tahoma"/>
            <family val="2"/>
          </rPr>
          <t xml:space="preserve">
</t>
        </r>
      </text>
    </comment>
    <comment ref="H79" authorId="1" shapeId="0" xr:uid="{A7A24F0F-9C85-4CD8-9F37-A4CA70F9C766}">
      <text>
        <r>
          <rPr>
            <b/>
            <sz val="9"/>
            <color indexed="81"/>
            <rFont val="Tahoma"/>
            <family val="2"/>
          </rPr>
          <t>Skal være 1</t>
        </r>
        <r>
          <rPr>
            <sz val="9"/>
            <color indexed="81"/>
            <rFont val="Tahoma"/>
            <family val="2"/>
          </rPr>
          <t xml:space="preserve">
</t>
        </r>
      </text>
    </comment>
    <comment ref="I79" authorId="1" shapeId="0" xr:uid="{5A397767-B974-492E-BE9E-979C7004A2BC}">
      <text>
        <r>
          <rPr>
            <b/>
            <sz val="9"/>
            <color indexed="81"/>
            <rFont val="Tahoma"/>
            <family val="2"/>
          </rPr>
          <t>Skal være 1</t>
        </r>
        <r>
          <rPr>
            <sz val="9"/>
            <color indexed="81"/>
            <rFont val="Tahoma"/>
            <family val="2"/>
          </rPr>
          <t xml:space="preserve">
</t>
        </r>
      </text>
    </comment>
    <comment ref="J79" authorId="1" shapeId="0" xr:uid="{99A478BC-B705-4717-904C-B484569AD718}">
      <text>
        <r>
          <rPr>
            <b/>
            <sz val="9"/>
            <color indexed="81"/>
            <rFont val="Tahoma"/>
            <family val="2"/>
          </rPr>
          <t>Skal være 1</t>
        </r>
        <r>
          <rPr>
            <sz val="9"/>
            <color indexed="81"/>
            <rFont val="Tahoma"/>
            <family val="2"/>
          </rPr>
          <t xml:space="preserve">
</t>
        </r>
      </text>
    </comment>
    <comment ref="K79" authorId="1" shapeId="0" xr:uid="{33F3245B-923B-4646-AE09-696883125E15}">
      <text>
        <r>
          <rPr>
            <b/>
            <sz val="9"/>
            <color indexed="81"/>
            <rFont val="Tahoma"/>
            <family val="2"/>
          </rPr>
          <t>Skal være 1</t>
        </r>
        <r>
          <rPr>
            <sz val="9"/>
            <color indexed="81"/>
            <rFont val="Tahoma"/>
            <family val="2"/>
          </rPr>
          <t xml:space="preserve">
</t>
        </r>
      </text>
    </comment>
    <comment ref="L79" authorId="1" shapeId="0" xr:uid="{F8A6BD9A-25BD-4749-BAB0-7E28E7D6BC89}">
      <text>
        <r>
          <rPr>
            <b/>
            <sz val="9"/>
            <color indexed="81"/>
            <rFont val="Tahoma"/>
            <family val="2"/>
          </rPr>
          <t>Skal være 1</t>
        </r>
        <r>
          <rPr>
            <sz val="9"/>
            <color indexed="81"/>
            <rFont val="Tahoma"/>
            <family val="2"/>
          </rPr>
          <t xml:space="preserve">
</t>
        </r>
      </text>
    </comment>
    <comment ref="M79" authorId="1" shapeId="0" xr:uid="{60F5FF42-633E-4D84-BB49-9704BF9ED20C}">
      <text>
        <r>
          <rPr>
            <b/>
            <sz val="9"/>
            <color indexed="81"/>
            <rFont val="Tahoma"/>
            <family val="2"/>
          </rPr>
          <t>Skal være 1</t>
        </r>
        <r>
          <rPr>
            <sz val="9"/>
            <color indexed="81"/>
            <rFont val="Tahoma"/>
            <family val="2"/>
          </rPr>
          <t xml:space="preserve">
</t>
        </r>
      </text>
    </comment>
    <comment ref="N79" authorId="1" shapeId="0" xr:uid="{D9769830-0832-49ED-A0B4-571B9B17A365}">
      <text>
        <r>
          <rPr>
            <b/>
            <sz val="9"/>
            <color indexed="81"/>
            <rFont val="Tahoma"/>
            <family val="2"/>
          </rPr>
          <t>Skal være 1</t>
        </r>
        <r>
          <rPr>
            <sz val="9"/>
            <color indexed="81"/>
            <rFont val="Tahoma"/>
            <family val="2"/>
          </rPr>
          <t xml:space="preserve">
</t>
        </r>
      </text>
    </comment>
    <comment ref="O79" authorId="1" shapeId="0" xr:uid="{7E448815-A28D-4AE5-8953-13D2BD3643E0}">
      <text>
        <r>
          <rPr>
            <b/>
            <sz val="9"/>
            <color indexed="81"/>
            <rFont val="Tahoma"/>
            <family val="2"/>
          </rPr>
          <t>Skal være 1</t>
        </r>
        <r>
          <rPr>
            <sz val="9"/>
            <color indexed="81"/>
            <rFont val="Tahoma"/>
            <family val="2"/>
          </rPr>
          <t xml:space="preserve">
</t>
        </r>
      </text>
    </comment>
    <comment ref="P79" authorId="1" shapeId="0" xr:uid="{032BE33F-1AEF-4F1B-B478-7D777E336E32}">
      <text>
        <r>
          <rPr>
            <b/>
            <sz val="9"/>
            <color indexed="81"/>
            <rFont val="Tahoma"/>
            <family val="2"/>
          </rPr>
          <t>Skal være 1</t>
        </r>
        <r>
          <rPr>
            <sz val="9"/>
            <color indexed="81"/>
            <rFont val="Tahoma"/>
            <family val="2"/>
          </rPr>
          <t xml:space="preserve">
</t>
        </r>
      </text>
    </comment>
    <comment ref="Q79" authorId="1" shapeId="0" xr:uid="{BF3967F9-09C2-4604-BB49-7A0551D9B0EE}">
      <text>
        <r>
          <rPr>
            <b/>
            <sz val="9"/>
            <color indexed="81"/>
            <rFont val="Tahoma"/>
            <family val="2"/>
          </rPr>
          <t>Skal være 1</t>
        </r>
        <r>
          <rPr>
            <sz val="9"/>
            <color indexed="81"/>
            <rFont val="Tahoma"/>
            <family val="2"/>
          </rPr>
          <t xml:space="preserve">
</t>
        </r>
      </text>
    </comment>
    <comment ref="R79" authorId="1" shapeId="0" xr:uid="{BB8D662A-8A58-4001-94F7-FEDE9B68BCD7}">
      <text>
        <r>
          <rPr>
            <b/>
            <sz val="9"/>
            <color indexed="81"/>
            <rFont val="Tahoma"/>
            <family val="2"/>
          </rPr>
          <t>Skal være 1</t>
        </r>
        <r>
          <rPr>
            <sz val="9"/>
            <color indexed="81"/>
            <rFont val="Tahoma"/>
            <family val="2"/>
          </rPr>
          <t xml:space="preserve">
</t>
        </r>
      </text>
    </comment>
    <comment ref="U101" authorId="1" shapeId="0" xr:uid="{7A97D175-62DB-4838-A19C-59B6F0991062}">
      <text>
        <r>
          <rPr>
            <sz val="9"/>
            <color indexed="81"/>
            <rFont val="Tahoma"/>
            <family val="2"/>
          </rPr>
          <t>filter kan nok slettes (08.11.21)</t>
        </r>
      </text>
    </comment>
    <comment ref="BP114" authorId="1" shapeId="0" xr:uid="{D613F3BC-1803-4D88-82A8-5D57FEECF737}">
      <text>
        <r>
          <rPr>
            <b/>
            <sz val="9"/>
            <color indexed="81"/>
            <rFont val="Tahoma"/>
            <family val="2"/>
          </rPr>
          <t>Oddbjørn Dahlstrøm Andvik:</t>
        </r>
        <r>
          <rPr>
            <sz val="9"/>
            <color indexed="81"/>
            <rFont val="Tahoma"/>
            <family val="2"/>
          </rPr>
          <t xml:space="preserve">
setter til 0</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<sst xmlns="http://schemas.openxmlformats.org/spreadsheetml/2006/main" count="4492" uniqueCount="1155">
  <si>
    <t>BREEAM-NOR v6.0 New Construction Pre-Assessment Estimator</t>
  </si>
  <si>
    <t>Version</t>
  </si>
  <si>
    <r>
      <rPr>
        <b/>
        <sz val="11"/>
        <color theme="1"/>
        <rFont val="Calibri"/>
        <family val="2"/>
        <scheme val="minor"/>
      </rPr>
      <t xml:space="preserve">Disclaimer </t>
    </r>
    <r>
      <rPr>
        <sz val="11"/>
        <color theme="1"/>
        <rFont val="Calibri"/>
        <family val="2"/>
        <scheme val="minor"/>
      </rPr>
      <t xml:space="preserve">
Thank you for downloading and using the BREEAM-NOR Versjon 6.0. New Construction Pre-Assessment Estimator. 
If you are using the Pre-Assessment Estimator for the first time please take a few moments to read the following: 
The Pre-Assessment Estimator is the property of Grønn Byggallianse (NGBC) and BRE Global Ltd and is made publicly available for information purposes only. Its use for testing, assessment, certification or approval is not permitted. The results presented are indicative only of a building's potential performance and are based on a simplified, informal assessment and unverified commitments. The results do not represent a formal certified BREEAM-NOR assessment or rating and must not be communicated or presented as a BREEAM-NOR rating. NGBC/BRE Group Ltd. accepts no responsibility for any actions taken as a result of information presented or interpreted by the BREEAM-NOR Pre-Assessment Estimator. </t>
    </r>
  </si>
  <si>
    <r>
      <rPr>
        <b/>
        <sz val="11"/>
        <color theme="1"/>
        <rFont val="Calibri"/>
        <family val="2"/>
        <scheme val="minor"/>
      </rPr>
      <t xml:space="preserve">Starting a pre-assessment </t>
    </r>
    <r>
      <rPr>
        <sz val="11"/>
        <color theme="1"/>
        <rFont val="Calibri"/>
        <family val="2"/>
        <scheme val="minor"/>
      </rPr>
      <t xml:space="preserve">
You have downloaded and opened the template version of the BREEAM-NOR v6.0 Pre-Assessment Estimator. The template version must always be used to start a new pre-assessment of a building. 
To begin a pre-assessment of a building you must first define a few characteristics of the building requiring pre-assessment in the Assessment Details worksheet. This information ensures the Pre-Assessment Estimator selects the correct number of BREEAM-NOR issues and credits for the building. </t>
    </r>
  </si>
  <si>
    <r>
      <rPr>
        <b/>
        <sz val="11"/>
        <color theme="1"/>
        <rFont val="Calibri"/>
        <family val="2"/>
        <scheme val="minor"/>
      </rPr>
      <t xml:space="preserve">Completing a pre-assessment </t>
    </r>
    <r>
      <rPr>
        <sz val="11"/>
        <color theme="1"/>
        <rFont val="Calibri"/>
        <family val="2"/>
        <scheme val="minor"/>
      </rPr>
      <t xml:space="preserve">
These questions are arranged by assessment issue. The number of indicative BREEAM-NOR credits achieved and overall performance will depend on your response to each question. In most cases, questions are answered by entering the number of BREEAM-NOR credits you wish to award. 
Before proceeding with the pre-assessment it is recommended that you save a copy of the Pre-Assessment Estimator using the building name and date as a filename, for example: BREEAM-NOR v6.0 Pre-Assessment Estimator_v1.0 - Office HQ 1/11/16.</t>
    </r>
  </si>
  <si>
    <t>Developed for Grønn Byggallianse (Norwegian Green Building Council) by Asplan Viak</t>
  </si>
  <si>
    <t>BREEAM-NOR v6.0 New Construction Pre-Assessment Estimator: Assessment Details</t>
  </si>
  <si>
    <t>General information</t>
  </si>
  <si>
    <t>Building details</t>
  </si>
  <si>
    <t>BRE Assessment reference no.</t>
  </si>
  <si>
    <t>Building type (main description)</t>
  </si>
  <si>
    <t>Office</t>
  </si>
  <si>
    <t>New Construction</t>
  </si>
  <si>
    <t>Industrial</t>
  </si>
  <si>
    <t>Retail</t>
  </si>
  <si>
    <t>Education</t>
  </si>
  <si>
    <t>Residential</t>
  </si>
  <si>
    <t>Healthcare</t>
  </si>
  <si>
    <t>Prison</t>
  </si>
  <si>
    <t>Law Court</t>
  </si>
  <si>
    <t>Residential institution (long term stay)</t>
  </si>
  <si>
    <t>Residential institution (short term stay)</t>
  </si>
  <si>
    <t>Non-residential institution</t>
  </si>
  <si>
    <t>Assembly and leisure</t>
  </si>
  <si>
    <t>Other</t>
  </si>
  <si>
    <t>Bespoke</t>
  </si>
  <si>
    <t>Client name</t>
  </si>
  <si>
    <t>Building type (sub-group)</t>
  </si>
  <si>
    <t>General office buildings</t>
  </si>
  <si>
    <t>Warehouse, storage or distribution</t>
  </si>
  <si>
    <t>Shop or shopping centre</t>
  </si>
  <si>
    <t>Preschool</t>
  </si>
  <si>
    <t>Individual dwelling</t>
  </si>
  <si>
    <t>Teaching or specialist hospitals</t>
  </si>
  <si>
    <t>High security prison</t>
  </si>
  <si>
    <t>Law courts</t>
  </si>
  <si>
    <t>Residential care home</t>
  </si>
  <si>
    <t>Hotel, hostel, boarding and guest house</t>
  </si>
  <si>
    <t>Art gallery, museum</t>
  </si>
  <si>
    <t>Cinema</t>
  </si>
  <si>
    <t>Transportation hub (coach or bus station and above ground rail station)</t>
  </si>
  <si>
    <t>Building end user/occupier</t>
  </si>
  <si>
    <t>Project type</t>
  </si>
  <si>
    <t>New Construction (fully fitted)</t>
  </si>
  <si>
    <t>Process, manufacturing or vehicle servicing</t>
  </si>
  <si>
    <t>Offices with research and development areas (i.e. category 1 labs only)</t>
  </si>
  <si>
    <t>Retail park or warehouse</t>
  </si>
  <si>
    <t xml:space="preserve">Primary School </t>
  </si>
  <si>
    <t>Collection of individual dwellings/dwelling types</t>
  </si>
  <si>
    <t>General acute hospitals</t>
  </si>
  <si>
    <t>Standard secured prison</t>
  </si>
  <si>
    <t>Crown and criminal courts</t>
  </si>
  <si>
    <t>Sheltered accommodation</t>
  </si>
  <si>
    <t>Secure training centre</t>
  </si>
  <si>
    <t>Library</t>
  </si>
  <si>
    <t>Theatre, music or concert hall</t>
  </si>
  <si>
    <t>Research and development (category 2 or 3 laboratories - non-higher education)</t>
  </si>
  <si>
    <t>Assessor name</t>
  </si>
  <si>
    <t>BREEAM-NOR 2021</t>
  </si>
  <si>
    <t>‘Over the counter’ service provider, e.g. financial, estate and employment agencies and betting offices</t>
  </si>
  <si>
    <t>Schools and sixth form colleges</t>
  </si>
  <si>
    <t>Apartment Blocks</t>
  </si>
  <si>
    <t>Community and mental health hospitals</t>
  </si>
  <si>
    <t>Young offender institution and juvenile prisons</t>
  </si>
  <si>
    <t>County courts</t>
  </si>
  <si>
    <t>Residential college or school (halls of residence)</t>
  </si>
  <si>
    <t>Residential training centre</t>
  </si>
  <si>
    <t>Day centre, hall, civic or community centre</t>
  </si>
  <si>
    <t>Exhibition or conference hall</t>
  </si>
  <si>
    <t>Crèche</t>
  </si>
  <si>
    <t>Assessor organisation</t>
  </si>
  <si>
    <t>Showroom</t>
  </si>
  <si>
    <t>Upper Secondary School</t>
  </si>
  <si>
    <t>GP surgeries</t>
  </si>
  <si>
    <t>Local prison</t>
  </si>
  <si>
    <t>Magistrates' courts</t>
  </si>
  <si>
    <t>Local authority secure residential accommodation</t>
  </si>
  <si>
    <t>Place of worship</t>
  </si>
  <si>
    <t>Indoor or outdoor sports, fitness and recreation centre (with or without pool)</t>
  </si>
  <si>
    <t>Fire stations</t>
  </si>
  <si>
    <t>Assessor registration number</t>
  </si>
  <si>
    <t>Restaurant, café and drinking establishment</t>
  </si>
  <si>
    <t>Higher education institutions</t>
  </si>
  <si>
    <t>Health centres and clinics</t>
  </si>
  <si>
    <t>Holding centre</t>
  </si>
  <si>
    <t>Civil justice centres</t>
  </si>
  <si>
    <t>Key worker accommodation</t>
  </si>
  <si>
    <t>Visitor centres</t>
  </si>
  <si>
    <r>
      <t>Usable floor area, BRA - m</t>
    </r>
    <r>
      <rPr>
        <vertAlign val="superscript"/>
        <sz val="11"/>
        <color indexed="9"/>
        <rFont val="Calibri"/>
        <family val="2"/>
      </rPr>
      <t>2</t>
    </r>
  </si>
  <si>
    <t>Hot food takeaway</t>
  </si>
  <si>
    <t>Family courts</t>
  </si>
  <si>
    <t>Military barracks</t>
  </si>
  <si>
    <r>
      <t>Gross floor area, BTA - m</t>
    </r>
    <r>
      <rPr>
        <vertAlign val="superscript"/>
        <sz val="11"/>
        <color indexed="9"/>
        <rFont val="Calibri"/>
        <family val="2"/>
      </rPr>
      <t>2</t>
    </r>
  </si>
  <si>
    <t>Youth courts</t>
  </si>
  <si>
    <t>Building name</t>
  </si>
  <si>
    <r>
      <t>Saleable usable floor area, BRAs - m</t>
    </r>
    <r>
      <rPr>
        <vertAlign val="superscript"/>
        <sz val="11"/>
        <color indexed="9"/>
        <rFont val="Calibri"/>
        <family val="2"/>
      </rPr>
      <t>2</t>
    </r>
  </si>
  <si>
    <t>Synlig (1=ja)</t>
  </si>
  <si>
    <t>Combined courts</t>
  </si>
  <si>
    <t>Building address</t>
  </si>
  <si>
    <t>Major Refurbishment (fully fitted)</t>
  </si>
  <si>
    <r>
      <rPr>
        <b/>
        <sz val="11"/>
        <color rgb="FFFFFFFF"/>
        <rFont val="Calibri"/>
        <family val="2"/>
      </rPr>
      <t>Wat 03:</t>
    </r>
    <r>
      <rPr>
        <sz val="11"/>
        <color indexed="9"/>
        <rFont val="Calibri"/>
        <family val="2"/>
      </rPr>
      <t xml:space="preserve"> WC facilities are only provided within the residential areas?</t>
    </r>
  </si>
  <si>
    <t>Major Refurbishment (shell only)</t>
  </si>
  <si>
    <r>
      <rPr>
        <b/>
        <sz val="11"/>
        <color indexed="9"/>
        <rFont val="Calibri"/>
        <family val="2"/>
      </rPr>
      <t xml:space="preserve">Pol 05: </t>
    </r>
    <r>
      <rPr>
        <sz val="11"/>
        <color indexed="9"/>
        <rFont val="Calibri"/>
        <family val="2"/>
      </rPr>
      <t>Does the building have a need for heating, ventilation or air conditioning?</t>
    </r>
  </si>
  <si>
    <t xml:space="preserve">Pol 1 poeng går ut hvis det er industri som hverkan har treated operational area OG kontor. Dvs det må være nei på BEGGE spørsmål får å ta ut Pol 1 poeng. </t>
  </si>
  <si>
    <r>
      <rPr>
        <b/>
        <sz val="11"/>
        <color indexed="9"/>
        <rFont val="Calibri"/>
        <family val="2"/>
      </rPr>
      <t xml:space="preserve">Hea 02, Hea 03: </t>
    </r>
    <r>
      <rPr>
        <sz val="11"/>
        <color indexed="9"/>
        <rFont val="Calibri"/>
        <family val="2"/>
      </rPr>
      <t>Does this industrial building have an office area or other occupied space?</t>
    </r>
  </si>
  <si>
    <t>Pol 1 poeng går ut hvis det er industri som hverkan har treated operational area OG kontor. Dvs det må være nei på BEGGE spørsmål får å ta ut Pol 1 poeng. Hea 03 går ut hvis industri ikke har kontor</t>
  </si>
  <si>
    <t>Pol 1 UT. Pol02 og Pol 5 OK</t>
  </si>
  <si>
    <t>Date for Pre-Assessment Estimation</t>
  </si>
  <si>
    <r>
      <rPr>
        <b/>
        <sz val="11"/>
        <color rgb="FFFFFFFF"/>
        <rFont val="Calibri"/>
        <family val="2"/>
      </rPr>
      <t>Ene 03, Pol 04:</t>
    </r>
    <r>
      <rPr>
        <sz val="11"/>
        <color indexed="9"/>
        <rFont val="Calibri"/>
        <family val="2"/>
      </rPr>
      <t xml:space="preserve"> External lighting within the construction zone?</t>
    </r>
  </si>
  <si>
    <t>OK</t>
  </si>
  <si>
    <t>Pre-assessment</t>
  </si>
  <si>
    <t>Pol 1 UT. Pol 2, Hea 02, Hea 03 OK</t>
  </si>
  <si>
    <t>Date for design phase</t>
  </si>
  <si>
    <r>
      <rPr>
        <b/>
        <sz val="11"/>
        <color rgb="FFFFFFFF"/>
        <rFont val="Calibri"/>
        <family val="2"/>
      </rPr>
      <t>Ene 05:</t>
    </r>
    <r>
      <rPr>
        <sz val="11"/>
        <color indexed="9"/>
        <rFont val="Calibri"/>
        <family val="2"/>
      </rPr>
      <t xml:space="preserve"> Commercial/industrial refrigeration and cold storage systems?</t>
    </r>
  </si>
  <si>
    <t>OK. non residential only.</t>
  </si>
  <si>
    <t>Post Construction (Final, as-built)</t>
  </si>
  <si>
    <t>Completion Date</t>
  </si>
  <si>
    <r>
      <rPr>
        <b/>
        <sz val="11"/>
        <color rgb="FFFFFFFF"/>
        <rFont val="Calibri"/>
        <family val="2"/>
      </rPr>
      <t>Ene 06:</t>
    </r>
    <r>
      <rPr>
        <sz val="11"/>
        <color indexed="9"/>
        <rFont val="Calibri"/>
        <family val="2"/>
      </rPr>
      <t xml:space="preserve"> Does the building contain  lifts, escalators or moving walks?</t>
    </r>
  </si>
  <si>
    <r>
      <rPr>
        <b/>
        <sz val="11"/>
        <color rgb="FFFFFFFF"/>
        <rFont val="Calibri"/>
        <family val="2"/>
      </rPr>
      <t>Ene 07:</t>
    </r>
    <r>
      <rPr>
        <sz val="11"/>
        <color indexed="9"/>
        <rFont val="Calibri"/>
        <family val="2"/>
      </rPr>
      <t xml:space="preserve"> Laboratory function/area and size cate</t>
    </r>
    <r>
      <rPr>
        <sz val="11"/>
        <color rgb="FFFFFFFF"/>
        <rFont val="Calibri"/>
        <family val="2"/>
      </rPr>
      <t>gory:</t>
    </r>
  </si>
  <si>
    <t>Bespoke foreløpig - mulig utgå</t>
  </si>
  <si>
    <t>Project team details</t>
  </si>
  <si>
    <r>
      <rPr>
        <b/>
        <sz val="11"/>
        <color rgb="FFFFFFFF"/>
        <rFont val="Calibri"/>
        <family val="2"/>
      </rPr>
      <t>Ene 08: A</t>
    </r>
    <r>
      <rPr>
        <sz val="11"/>
        <color indexed="9"/>
        <rFont val="Calibri"/>
        <family val="2"/>
      </rPr>
      <t>ny unregulated energy loads in building?</t>
    </r>
  </si>
  <si>
    <t>This information will determine, in part, the number of credits available for BREEAM issue Hea02 when the criteria have been finalised for laboratory facilities.</t>
  </si>
  <si>
    <t>Yes</t>
  </si>
  <si>
    <t>WC facilities are only provided within the residential areas</t>
  </si>
  <si>
    <t>Developer</t>
  </si>
  <si>
    <r>
      <t xml:space="preserve">Wat 04: </t>
    </r>
    <r>
      <rPr>
        <sz val="11"/>
        <color rgb="FFFFFFFF"/>
        <rFont val="Calibri"/>
        <family val="2"/>
      </rPr>
      <t>Water demand in building (beyond Wat 01)</t>
    </r>
    <r>
      <rPr>
        <b/>
        <sz val="11"/>
        <color rgb="FFFFFFFF"/>
        <rFont val="Calibri"/>
        <family val="2"/>
      </rPr>
      <t>?</t>
    </r>
  </si>
  <si>
    <t>No</t>
  </si>
  <si>
    <t>Staff WC etc. outside the residential areas</t>
  </si>
  <si>
    <t>Principal contractor</t>
  </si>
  <si>
    <r>
      <rPr>
        <b/>
        <sz val="11"/>
        <color rgb="FFFFFFFF"/>
        <rFont val="Calibri"/>
        <family val="2"/>
      </rPr>
      <t>Pol 01:</t>
    </r>
    <r>
      <rPr>
        <sz val="11"/>
        <color indexed="9"/>
        <rFont val="Calibri"/>
        <family val="2"/>
      </rPr>
      <t xml:space="preserve"> Refrigerants in the building?</t>
    </r>
  </si>
  <si>
    <t>1: Office &amp; Industrial. Staff &amp; occasional business visitors</t>
  </si>
  <si>
    <t>Option not applicable to building type</t>
  </si>
  <si>
    <t>Architect (ARK)</t>
  </si>
  <si>
    <r>
      <rPr>
        <b/>
        <sz val="11"/>
        <color rgb="FFFFFFFF"/>
        <rFont val="Calibri"/>
        <family val="2"/>
      </rPr>
      <t xml:space="preserve">Pol 02: </t>
    </r>
    <r>
      <rPr>
        <sz val="11"/>
        <color indexed="9"/>
        <rFont val="Calibri"/>
        <family val="2"/>
      </rPr>
      <t>Heating and hot water is supplied by:</t>
    </r>
  </si>
  <si>
    <t>2: Bespoke. Staff plus reasonably constant stream of visitors</t>
  </si>
  <si>
    <t>Project management</t>
  </si>
  <si>
    <r>
      <rPr>
        <b/>
        <sz val="11"/>
        <color rgb="FFFFFFFF"/>
        <rFont val="Calibri"/>
        <family val="2"/>
      </rPr>
      <t xml:space="preserve">Mat 06: </t>
    </r>
    <r>
      <rPr>
        <sz val="11"/>
        <color indexed="9"/>
        <rFont val="Calibri"/>
        <family val="2"/>
      </rPr>
      <t>Demolition in the development area (mapping for component reuse)?</t>
    </r>
  </si>
  <si>
    <t>OK. type 3 retail and education, type 6 ta bort dwellings TA UT BESPOKE? Ta ut denne, da poeng er bestemt av bygningstype</t>
  </si>
  <si>
    <t>3: Retail and education. Staff with large numbers of visitors</t>
  </si>
  <si>
    <t>Laboratory present: &lt;10% of building's BRA</t>
  </si>
  <si>
    <t>BREEAM-NOR Accredited Professional</t>
  </si>
  <si>
    <r>
      <rPr>
        <b/>
        <sz val="11"/>
        <color rgb="FFFFFFFF"/>
        <rFont val="Calibri"/>
        <family val="2"/>
      </rPr>
      <t xml:space="preserve">Pol 05: </t>
    </r>
    <r>
      <rPr>
        <sz val="11"/>
        <color indexed="9"/>
        <rFont val="Calibri"/>
        <family val="2"/>
      </rPr>
      <t>Noise-sensitive areas?</t>
    </r>
  </si>
  <si>
    <t>4: Bespoke. Rural building with few visitors</t>
  </si>
  <si>
    <t>Laboratory present: ≥10% - &lt;25% of building's BRA</t>
  </si>
  <si>
    <t>Consulting engineer HVAC (RIV)</t>
  </si>
  <si>
    <r>
      <t>Ene 02:</t>
    </r>
    <r>
      <rPr>
        <sz val="11"/>
        <color rgb="FFFFFFFF"/>
        <rFont val="Calibri"/>
        <family val="2"/>
      </rPr>
      <t xml:space="preserve"> Sub-metering of high energy loads and tenancy areas. Is post-occupancy stage Ene 01 credits targeted?</t>
    </r>
  </si>
  <si>
    <t>5: Bespoke. Rural building with large numbers of visitors</t>
  </si>
  <si>
    <t>Laboratory present: ≥25% of building's BRA</t>
  </si>
  <si>
    <t>Consulting engineer Electrical (RIE)</t>
  </si>
  <si>
    <t>6: Residential</t>
  </si>
  <si>
    <t>No laboratory</t>
  </si>
  <si>
    <t>Consulting engineer Engineering (RIB)</t>
  </si>
  <si>
    <t>No. credits available original</t>
  </si>
  <si>
    <t>Non-combustions system</t>
  </si>
  <si>
    <t>7: Bespoke. Transport Hub</t>
  </si>
  <si>
    <t>Consulting engineer Environment (RIM)</t>
  </si>
  <si>
    <t>No. Credits not available (filter)</t>
  </si>
  <si>
    <t>Combustions plant</t>
  </si>
  <si>
    <t>Cat Level 1 only</t>
  </si>
  <si>
    <t>Others, project team</t>
  </si>
  <si>
    <t>No. credits available</t>
  </si>
  <si>
    <t>Cat Level 2</t>
  </si>
  <si>
    <t>,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t>
  </si>
  <si>
    <t>Cat Level 3</t>
  </si>
  <si>
    <t>Comment</t>
  </si>
  <si>
    <t>Building description</t>
  </si>
  <si>
    <t>The fields marked with a * are mandatory and must be completed/defined prior to beginning the pre-assessment to ensure an accurate indicative score and BREEAM rating. Note: without this information the pre-assessment tool cannot determine the applicable BREEAM issues and number of credits and data entry will not be possible for the building assessment.</t>
  </si>
  <si>
    <t>Note: If you are starting a new pre-assessment please ensure you are using the latest template version of the BREEAM-NOR v6.0 Pre-Assessment Estimator and not a version used for an existing/previous pre-assessment.</t>
  </si>
  <si>
    <t>BREEAM assessor declaration of assessment accuracy and quality</t>
  </si>
  <si>
    <t>UTGÅR</t>
  </si>
  <si>
    <t>BREEAM-NOR Assessor Signature</t>
  </si>
  <si>
    <t>Ene 02a</t>
  </si>
  <si>
    <t>Building contains multiple tenants/departments/function areas</t>
  </si>
  <si>
    <t>Date</t>
  </si>
  <si>
    <t>Fume cupboard(s) and/or other containment devices (Ene 07, Hea 02,? )</t>
  </si>
  <si>
    <t>ikke noe å si for poengfordeling.  Ikke gjør noe med denne</t>
  </si>
  <si>
    <t>Disclaimer</t>
  </si>
  <si>
    <t>(G)</t>
  </si>
  <si>
    <t>This Pre-Assessment Estimator is the property of NGBC and BRE Group Ltd. and is made publicly available for information purposes only. Its use for testing, assessment, certification or approval is not permitted. The results presented are indicative only of a building's potential performance which is based on a simplified, informal assessment and unverified commitments. The results do not represent a formal certified BREEAM-NOR assessment or rating and must not be communicated as such. NGBC/BRE Group Ltd. accepts no responsibility for any actions taken as a result of information presented or interpreted by the BREEAM-NOR Pre-Assessment Estimator. To carry out a formal BREEAM-NOR assessment contact a licensed BREEAM-NOR Assessor organisation. A list of licensed BREEAM-NOR Assessors is available from the www.byggalliansen.no and Green Book Live website: www.greenbooklive.com</t>
  </si>
  <si>
    <t>(Y)</t>
  </si>
  <si>
    <t>(R)</t>
  </si>
  <si>
    <t>Copyright</t>
  </si>
  <si>
    <t xml:space="preserve"> </t>
  </si>
  <si>
    <t xml:space="preserve">Copyright exists on the BREEAM logo and this may not be used or reproduced for any purpose without the prior written consent of the NGBC/BRE Global Ltd.
</t>
  </si>
  <si>
    <t>Please select:</t>
  </si>
  <si>
    <t>Ene 06</t>
  </si>
  <si>
    <t>Hea 02</t>
  </si>
  <si>
    <t>Man 03</t>
  </si>
  <si>
    <t>Man04</t>
  </si>
  <si>
    <t>Tra01</t>
  </si>
  <si>
    <t>Mat01</t>
  </si>
  <si>
    <t>Mat06</t>
  </si>
  <si>
    <t>Mat07</t>
  </si>
  <si>
    <t>Wst01</t>
  </si>
  <si>
    <t>The BREEAM and BREEAM-NOR name and logo are registered trademarks of the Building Research Establishment Limited.</t>
  </si>
  <si>
    <t>Yes - lifts and escalators/moving walks</t>
  </si>
  <si>
    <t>Crit. 3</t>
  </si>
  <si>
    <t>Crit. 5-6</t>
  </si>
  <si>
    <t>Crit. 1-4</t>
  </si>
  <si>
    <t>Crit. 1-2</t>
  </si>
  <si>
    <t>Crit. 5</t>
  </si>
  <si>
    <t>Yes - lifts</t>
  </si>
  <si>
    <t>Crit. 4</t>
  </si>
  <si>
    <t>Crit. 5-9</t>
  </si>
  <si>
    <t>Crit. 1-8</t>
  </si>
  <si>
    <t>Crit. 1-2, 3 (1 cre.)</t>
  </si>
  <si>
    <t>Crit. 1, 5</t>
  </si>
  <si>
    <t>Unknown</t>
  </si>
  <si>
    <t>Yes - escalators/moving walks</t>
  </si>
  <si>
    <t>Crit. 5-13</t>
  </si>
  <si>
    <t>Crit. 1, 4, 5</t>
  </si>
  <si>
    <t>Pre-Assessment Estimator, version:</t>
  </si>
  <si>
    <t>For assessment details, HEA 07</t>
  </si>
  <si>
    <t>Please select</t>
  </si>
  <si>
    <t>No, confirmed by appropriate person</t>
  </si>
  <si>
    <t>N/A</t>
  </si>
  <si>
    <t>What is the building type category (for the purpose of the Transport  section)? (Tra 1)</t>
  </si>
  <si>
    <t>Does the building require the use of refrigerants within its installed plant/systems? (Pol 01)</t>
  </si>
  <si>
    <t>Assessment stage</t>
  </si>
  <si>
    <t>BREEAM-NOR scheme</t>
  </si>
  <si>
    <t>BREEAM-NOR version</t>
  </si>
  <si>
    <t>BREEAM-NOR v6.0 New Construction Pre-Assessment Estimator: Building Performance</t>
  </si>
  <si>
    <t>Shell Core</t>
  </si>
  <si>
    <t>Initial target setting</t>
  </si>
  <si>
    <t>Design phase progression</t>
  </si>
  <si>
    <t>Construction phase progression</t>
  </si>
  <si>
    <t>Shell/core</t>
  </si>
  <si>
    <t>Shell and core</t>
  </si>
  <si>
    <t>Indicative BREEAM-NOR rating</t>
  </si>
  <si>
    <t>Option 2: Where relevant, 50% of achieved credit is subtracted from score.</t>
  </si>
  <si>
    <t>Indicative total score</t>
  </si>
  <si>
    <t>Min. standards level achieved</t>
  </si>
  <si>
    <t>Næringsbygg</t>
  </si>
  <si>
    <t xml:space="preserve">Requirements for EU taxonomy </t>
  </si>
  <si>
    <t>Available</t>
  </si>
  <si>
    <t>Velge farge på status</t>
  </si>
  <si>
    <t>N</t>
  </si>
  <si>
    <t>I</t>
  </si>
  <si>
    <t>BREEAM-NOR v6.0</t>
  </si>
  <si>
    <t>Available credits</t>
  </si>
  <si>
    <t>Credits</t>
  </si>
  <si>
    <t>Contr. to score</t>
  </si>
  <si>
    <t>Min. std. Level</t>
  </si>
  <si>
    <t>Respon-sible</t>
  </si>
  <si>
    <t>Stat.</t>
  </si>
  <si>
    <t>Comments</t>
  </si>
  <si>
    <t>IT</t>
  </si>
  <si>
    <t>DP</t>
  </si>
  <si>
    <t>CP</t>
  </si>
  <si>
    <t>Påvirker poeng</t>
  </si>
  <si>
    <t>Management</t>
  </si>
  <si>
    <t>MANAGEMENT</t>
  </si>
  <si>
    <t>Man 01</t>
  </si>
  <si>
    <t>Man 01 Project brief and design</t>
  </si>
  <si>
    <t>Man 01a</t>
  </si>
  <si>
    <t>Man 01b</t>
  </si>
  <si>
    <t>Man 01c</t>
  </si>
  <si>
    <t>Man 01d</t>
  </si>
  <si>
    <t>Man 01e</t>
  </si>
  <si>
    <t>Man 02</t>
  </si>
  <si>
    <t>Man 02 Life cycle cost and service life planning</t>
  </si>
  <si>
    <t>Man 02a</t>
  </si>
  <si>
    <t>Man 02b</t>
  </si>
  <si>
    <t>Man 03 Responsible construction practices</t>
  </si>
  <si>
    <t>Man 03a</t>
  </si>
  <si>
    <t>Man 03b</t>
  </si>
  <si>
    <t>Man 03c</t>
  </si>
  <si>
    <t>Man 03d</t>
  </si>
  <si>
    <t>Man 03e</t>
  </si>
  <si>
    <t>Man 03f</t>
  </si>
  <si>
    <t>Man 04</t>
  </si>
  <si>
    <t>Man 04 Commissioning and handover</t>
  </si>
  <si>
    <t>Option 1</t>
  </si>
  <si>
    <t>Option 2</t>
  </si>
  <si>
    <t>Option 3</t>
  </si>
  <si>
    <t>Man 04a</t>
  </si>
  <si>
    <t>Man 04b</t>
  </si>
  <si>
    <t>Man 04c</t>
  </si>
  <si>
    <t>Man 05</t>
  </si>
  <si>
    <t>Man 05 Aftercare</t>
  </si>
  <si>
    <t>Man 05a</t>
  </si>
  <si>
    <t>Man 05b</t>
  </si>
  <si>
    <t>Man 05c</t>
  </si>
  <si>
    <t>Man Sum</t>
  </si>
  <si>
    <t>Total performance management</t>
  </si>
  <si>
    <t>Health &amp; Wellbeing</t>
  </si>
  <si>
    <t>HEALTH &amp; WELLBEING</t>
  </si>
  <si>
    <t>Hea 01</t>
  </si>
  <si>
    <t>Hea 01 Visual comfort</t>
  </si>
  <si>
    <t>O1: Glare ctrl/artificial light</t>
  </si>
  <si>
    <t>O2: Glare control (-0,5 c)</t>
  </si>
  <si>
    <t>O2: Artificial lighting (-0,5 c)</t>
  </si>
  <si>
    <t>O2: Glare ctrl &amp; artif light (-1,0 c)</t>
  </si>
  <si>
    <t>O3: Glare ctrl/artif lighting</t>
  </si>
  <si>
    <t>Glare ctrl/artif lighting N/A</t>
  </si>
  <si>
    <t>Hea 01a</t>
  </si>
  <si>
    <t>Hea 01g</t>
  </si>
  <si>
    <t>Hea 01b</t>
  </si>
  <si>
    <t>Hea 01c</t>
  </si>
  <si>
    <t>Hea 01d</t>
  </si>
  <si>
    <t>Hea 01e</t>
  </si>
  <si>
    <t>Hea 01f</t>
  </si>
  <si>
    <t>O2: VOC (AC 8-9: -1,0 c)</t>
  </si>
  <si>
    <t>Hea 02 Indoor air quality</t>
  </si>
  <si>
    <t>O1: VOC</t>
  </si>
  <si>
    <t>O2: VOC (AC 6-7: -0,5 c)</t>
  </si>
  <si>
    <t>O3: VOC</t>
  </si>
  <si>
    <t>VOC N/A</t>
  </si>
  <si>
    <t>Hea 02a</t>
  </si>
  <si>
    <t>Hea 02b</t>
  </si>
  <si>
    <t>Hea 02c</t>
  </si>
  <si>
    <t>Hea 02d</t>
  </si>
  <si>
    <t>Hea 03</t>
  </si>
  <si>
    <t>Hea 03 Thermal comfort</t>
  </si>
  <si>
    <t>Option 2:  -50% credit</t>
  </si>
  <si>
    <t>Hea 03a</t>
  </si>
  <si>
    <t>Hea 03b</t>
  </si>
  <si>
    <t>Hea 03c</t>
  </si>
  <si>
    <t>Hea 05</t>
  </si>
  <si>
    <t>Hea 05 Acoustic performance</t>
  </si>
  <si>
    <t>Hea 05a</t>
  </si>
  <si>
    <t>Hea 05b</t>
  </si>
  <si>
    <t>Hea 06</t>
  </si>
  <si>
    <t>Hea 06 Safe access</t>
  </si>
  <si>
    <t>Hea 06a</t>
  </si>
  <si>
    <t>Hea 06b</t>
  </si>
  <si>
    <t>Hea 08</t>
  </si>
  <si>
    <t>Hea 08 Private space</t>
  </si>
  <si>
    <t>Hea 08a</t>
  </si>
  <si>
    <t>Hea sum</t>
  </si>
  <si>
    <t>Total performance health &amp; wellbeing</t>
  </si>
  <si>
    <t>Energy</t>
  </si>
  <si>
    <t>ENERGY</t>
  </si>
  <si>
    <t>Ene 01</t>
  </si>
  <si>
    <t>Ene 01 Energy efficiency</t>
  </si>
  <si>
    <t>Ene 01a</t>
  </si>
  <si>
    <t>Ene 01b</t>
  </si>
  <si>
    <t>Ene 01c</t>
  </si>
  <si>
    <t>Ene 01Tx</t>
  </si>
  <si>
    <t>Ene 01d</t>
  </si>
  <si>
    <t>Ene 01Tx2</t>
  </si>
  <si>
    <t>Ene 01e</t>
  </si>
  <si>
    <t>Ene 02</t>
  </si>
  <si>
    <t>O2: Sub-met. (AC 4-7: -1,0 c)</t>
  </si>
  <si>
    <t>Ene 02 Energy monitoring</t>
  </si>
  <si>
    <t>O1: Sub-metering</t>
  </si>
  <si>
    <t>O2: Sub-met. (AC 1-3: -0,5 c)</t>
  </si>
  <si>
    <t>O3: Sub-metering</t>
  </si>
  <si>
    <t>Sub-metering N/A</t>
  </si>
  <si>
    <t>Ene 02b</t>
  </si>
  <si>
    <t>Ene 02c</t>
  </si>
  <si>
    <t>Ene 03</t>
  </si>
  <si>
    <t>Ene 03 External lighting</t>
  </si>
  <si>
    <t>Ene 03a</t>
  </si>
  <si>
    <t>Ene 03b</t>
  </si>
  <si>
    <t>Ene 05</t>
  </si>
  <si>
    <t>Ene 05 Energy efficient cold storage</t>
  </si>
  <si>
    <t>Ene 05a</t>
  </si>
  <si>
    <t>Ene 05b</t>
  </si>
  <si>
    <t>Ene 06 Energy efficient transportation systems</t>
  </si>
  <si>
    <t>Ene 06a</t>
  </si>
  <si>
    <t>Ene 06b</t>
  </si>
  <si>
    <t>Ene 06c</t>
  </si>
  <si>
    <t>Ene 07</t>
  </si>
  <si>
    <t>Ene 07 Energy Efficient Laboratory Systems</t>
  </si>
  <si>
    <t>Ene 07a</t>
  </si>
  <si>
    <t>Ene 07b</t>
  </si>
  <si>
    <t>Ene 08</t>
  </si>
  <si>
    <t>Ene 08 Energy efficient equipment</t>
  </si>
  <si>
    <t>Ene 08a</t>
  </si>
  <si>
    <t>Ene sum</t>
  </si>
  <si>
    <t>Total performance energy</t>
  </si>
  <si>
    <t>Transport</t>
  </si>
  <si>
    <t>TRANSPORT</t>
  </si>
  <si>
    <t>Tra 01</t>
  </si>
  <si>
    <t>Tra 01 Public transport accessibility</t>
  </si>
  <si>
    <t>Tra 01a</t>
  </si>
  <si>
    <t>Tra 01b</t>
  </si>
  <si>
    <t>Tra 02</t>
  </si>
  <si>
    <t>Tra 02 Proximity to amenities</t>
  </si>
  <si>
    <t>Tra 02a</t>
  </si>
  <si>
    <t>Tra 02b</t>
  </si>
  <si>
    <t>Tra sum</t>
  </si>
  <si>
    <t>Total performance transport</t>
  </si>
  <si>
    <t>Water</t>
  </si>
  <si>
    <t>WATER</t>
  </si>
  <si>
    <t>Wat 01</t>
  </si>
  <si>
    <t>Wat 01 Water consumption</t>
  </si>
  <si>
    <t>Wat 01a</t>
  </si>
  <si>
    <t>Wat 01Tx</t>
  </si>
  <si>
    <t>Wat 02</t>
  </si>
  <si>
    <t>Wat 02 Water monitoring</t>
  </si>
  <si>
    <t>Wat 02a</t>
  </si>
  <si>
    <t>Wat 03</t>
  </si>
  <si>
    <t>Wat 03 Water leak detection and prevention</t>
  </si>
  <si>
    <t>O1: Flow control</t>
  </si>
  <si>
    <t>O2: Flow control (-0,5 c)</t>
  </si>
  <si>
    <t xml:space="preserve">O3: Flow control </t>
  </si>
  <si>
    <t>Flow control N/A</t>
  </si>
  <si>
    <t>Wat 03a</t>
  </si>
  <si>
    <t>Wat 03b</t>
  </si>
  <si>
    <t>Wat 03c</t>
  </si>
  <si>
    <t>Wat 04</t>
  </si>
  <si>
    <t>Wat 04 Water efficient equipment</t>
  </si>
  <si>
    <t>Wat 04a</t>
  </si>
  <si>
    <t>Wat sum</t>
  </si>
  <si>
    <t>Total performance water</t>
  </si>
  <si>
    <t>Materials</t>
  </si>
  <si>
    <t>MATERIALS</t>
  </si>
  <si>
    <t>Mat 01</t>
  </si>
  <si>
    <t>Mat 01 Life cycle impacts</t>
  </si>
  <si>
    <t>Mat 01a</t>
  </si>
  <si>
    <t>Mat 01b</t>
  </si>
  <si>
    <t>Mat 01c</t>
  </si>
  <si>
    <t>Mat 02</t>
  </si>
  <si>
    <t>Mat 02a</t>
  </si>
  <si>
    <t>Mat 02b</t>
  </si>
  <si>
    <t>Mat 02c</t>
  </si>
  <si>
    <t>Mat 03</t>
  </si>
  <si>
    <t>Mat 03 Responsible sourcing of materials</t>
  </si>
  <si>
    <t>Mat 03a</t>
  </si>
  <si>
    <t>Mat 03b</t>
  </si>
  <si>
    <t>Mat 03c</t>
  </si>
  <si>
    <t>Mat 05</t>
  </si>
  <si>
    <t>Mat 05 Designing for robustness</t>
  </si>
  <si>
    <t>Mat 05a</t>
  </si>
  <si>
    <t>Mat 05b</t>
  </si>
  <si>
    <t>Mat 05c</t>
  </si>
  <si>
    <t>Mat 05d</t>
  </si>
  <si>
    <t>Mat 05e</t>
  </si>
  <si>
    <t>Mat 06</t>
  </si>
  <si>
    <t>Mat 06d</t>
  </si>
  <si>
    <t>Mat 06a</t>
  </si>
  <si>
    <t>Mat 06b</t>
  </si>
  <si>
    <t>Mat 06c</t>
  </si>
  <si>
    <t>Mat 07</t>
  </si>
  <si>
    <t>Mat 07a</t>
  </si>
  <si>
    <t>Mat 07b</t>
  </si>
  <si>
    <t>Mat 07c</t>
  </si>
  <si>
    <t>Mat sum</t>
  </si>
  <si>
    <t>Total performance materials</t>
  </si>
  <si>
    <t>Waste</t>
  </si>
  <si>
    <t>WASTE</t>
  </si>
  <si>
    <t>Wst 01</t>
  </si>
  <si>
    <t>Wst 01 Construction waste management</t>
  </si>
  <si>
    <t>Wst 01a</t>
  </si>
  <si>
    <t>Wst 01Tx</t>
  </si>
  <si>
    <t>Wst 01b</t>
  </si>
  <si>
    <t>Wst 01c</t>
  </si>
  <si>
    <t>Wst 01d</t>
  </si>
  <si>
    <t>Wst 03a</t>
  </si>
  <si>
    <t>Wst 03 Operational waste</t>
  </si>
  <si>
    <t>Wst 03aa</t>
  </si>
  <si>
    <t>Wst 03b</t>
  </si>
  <si>
    <t>Wst 03ba</t>
  </si>
  <si>
    <t>Wst 04</t>
  </si>
  <si>
    <t>Wst 04 Speculative floor and ceiling finishes</t>
  </si>
  <si>
    <t>Wst 04a</t>
  </si>
  <si>
    <t>Wst sum</t>
  </si>
  <si>
    <t>Total performance waste</t>
  </si>
  <si>
    <t>Land Use &amp; Ecology</t>
  </si>
  <si>
    <t>LAND USE &amp; ECOLOGY</t>
  </si>
  <si>
    <t>LE 01</t>
  </si>
  <si>
    <t>LE 01 Site selection</t>
  </si>
  <si>
    <t>LE 01a</t>
  </si>
  <si>
    <t>LE 01b</t>
  </si>
  <si>
    <t>LE 02</t>
  </si>
  <si>
    <t>LE 02 Ecological value of site and protection of ecological features</t>
  </si>
  <si>
    <t>LE 02a</t>
  </si>
  <si>
    <t>LE 02b</t>
  </si>
  <si>
    <t>LE 02c</t>
  </si>
  <si>
    <t>LE 03</t>
  </si>
  <si>
    <t>LE 03a</t>
  </si>
  <si>
    <t>LE 03b</t>
  </si>
  <si>
    <t>LE 03c</t>
  </si>
  <si>
    <t>LE 04</t>
  </si>
  <si>
    <t>LE 04 Enhancing site ecology</t>
  </si>
  <si>
    <t>LE 04a</t>
  </si>
  <si>
    <t>LE 04b</t>
  </si>
  <si>
    <t>LE 04c</t>
  </si>
  <si>
    <t>LE 05</t>
  </si>
  <si>
    <t>LE 05 Long term impact on biodiversity</t>
  </si>
  <si>
    <t>LE 05a</t>
  </si>
  <si>
    <t>LE 05b</t>
  </si>
  <si>
    <t>LE 05c</t>
  </si>
  <si>
    <t>LE 06</t>
  </si>
  <si>
    <t>LE 06 Building footprint</t>
  </si>
  <si>
    <t>LE 06a</t>
  </si>
  <si>
    <t>LE 07</t>
  </si>
  <si>
    <t>LE 07a</t>
  </si>
  <si>
    <t>LE 07b</t>
  </si>
  <si>
    <t>LE 08</t>
  </si>
  <si>
    <t>LE 08a</t>
  </si>
  <si>
    <t>LE 08b</t>
  </si>
  <si>
    <t>LE 08c</t>
  </si>
  <si>
    <t>LE 08d</t>
  </si>
  <si>
    <t>LE sum</t>
  </si>
  <si>
    <t>Total performance land use and ecology</t>
  </si>
  <si>
    <t>Pollution</t>
  </si>
  <si>
    <t>POLLUTION</t>
  </si>
  <si>
    <t>POL 01</t>
  </si>
  <si>
    <t>POL 01 Impacts of refrigerants</t>
  </si>
  <si>
    <t xml:space="preserve">Naturally ventilated </t>
  </si>
  <si>
    <t>POL 01a</t>
  </si>
  <si>
    <t>POL 01b</t>
  </si>
  <si>
    <t>POL 01c</t>
  </si>
  <si>
    <t>POL 01d</t>
  </si>
  <si>
    <t>POL 02</t>
  </si>
  <si>
    <t>POL 02 NOx emissions</t>
  </si>
  <si>
    <t>POL 02a</t>
  </si>
  <si>
    <t>POL 02b</t>
  </si>
  <si>
    <t>POL 04</t>
  </si>
  <si>
    <t>POL 04 Reduction of night time light pollution</t>
  </si>
  <si>
    <t>POL 04a</t>
  </si>
  <si>
    <t>POL 04b</t>
  </si>
  <si>
    <t>POL 05</t>
  </si>
  <si>
    <t>POL 05 Noise attenuation</t>
  </si>
  <si>
    <t>POL 05a</t>
  </si>
  <si>
    <t>POL 05b</t>
  </si>
  <si>
    <t>POL sum</t>
  </si>
  <si>
    <t>Total performance pollution</t>
  </si>
  <si>
    <t>Exemplary Level</t>
  </si>
  <si>
    <t>EXEMPLARY LEVEL AND INNOVATION (max 10 credits)</t>
  </si>
  <si>
    <t>Inn 01</t>
  </si>
  <si>
    <t>Inn 01 - Man 05 Aftercare</t>
  </si>
  <si>
    <t>Inn 02</t>
  </si>
  <si>
    <t>Inn 02 - Hea 02 Indoor air quality</t>
  </si>
  <si>
    <t>Inn 03</t>
  </si>
  <si>
    <t>Inn 03 - Tra 03 Alternative modes of transport</t>
  </si>
  <si>
    <t>Inn 04</t>
  </si>
  <si>
    <t>Inn 04 - Wat 01 Water consumption</t>
  </si>
  <si>
    <t>Inn 05</t>
  </si>
  <si>
    <t>Inn 05 - Mat 01 Life cycle impacts</t>
  </si>
  <si>
    <t>Inn 06</t>
  </si>
  <si>
    <t>Inn 06 - Mat 03 Responsible sourcing of materials</t>
  </si>
  <si>
    <t>Inn 07</t>
  </si>
  <si>
    <t>Inn 07 - Wst 01 Construction site waste man.</t>
  </si>
  <si>
    <t>Inn 08</t>
  </si>
  <si>
    <t>Inn 08 - Wst 02 Recycled aggregates</t>
  </si>
  <si>
    <t>Inn 09</t>
  </si>
  <si>
    <t xml:space="preserve">Inn 09 - Approved innovation credits </t>
  </si>
  <si>
    <t>Inn 10</t>
  </si>
  <si>
    <t>Inn 11</t>
  </si>
  <si>
    <t>Inn 12</t>
  </si>
  <si>
    <t>Inn 13</t>
  </si>
  <si>
    <t>Inn 14</t>
  </si>
  <si>
    <t>Inn sum</t>
  </si>
  <si>
    <t>Total indicative environmental section performance</t>
  </si>
  <si>
    <t>Hea 01 Visual comfort - Criteria 1</t>
  </si>
  <si>
    <t>Mat 01 Life cycle impacts  - Criteria 1</t>
  </si>
  <si>
    <t>Mat 03 Responsible sourcing of mat.  - Crit 1.</t>
  </si>
  <si>
    <t>BREEAM REFERANSE</t>
  </si>
  <si>
    <t>BREEAM-Topic EMNE</t>
  </si>
  <si>
    <t>Available credits in all</t>
  </si>
  <si>
    <t>Available credits for this project</t>
  </si>
  <si>
    <t>Is credits relevant for the project? Yes/No POENG AKTUELLE FOR PROSJEKTET? JA/NEI</t>
  </si>
  <si>
    <t>Ledelse:</t>
  </si>
  <si>
    <t>Project brief &amp; design:</t>
  </si>
  <si>
    <t>Third party stakeholder consultation</t>
  </si>
  <si>
    <t>YES</t>
  </si>
  <si>
    <t>BREEAM-NOR AP (stage 2 and 3)</t>
  </si>
  <si>
    <t>BREEAM-NOR AP (stage 4)</t>
  </si>
  <si>
    <t xml:space="preserve">Climate gas calculation for whole building life cycle </t>
  </si>
  <si>
    <t>Life cycle cost and service life planning:</t>
  </si>
  <si>
    <t>Elemental life cycle cost (LCC) and capital cost reporting</t>
  </si>
  <si>
    <t>Component level life option appraisal</t>
  </si>
  <si>
    <t>Responsible construction practices</t>
  </si>
  <si>
    <t>Environmental managment</t>
  </si>
  <si>
    <t>BREEAM-NOR AP and classification level (stage 5 and 6)</t>
  </si>
  <si>
    <t>Considerate construction managment</t>
  </si>
  <si>
    <t xml:space="preserve">Reduction of climate gas emissions from activites assosiated with the construction site </t>
  </si>
  <si>
    <t>Commissioning and handover</t>
  </si>
  <si>
    <t xml:space="preserve">Commissioning - testing schedule and responsibilities </t>
  </si>
  <si>
    <t>Commissioning - design, preperation and implementation</t>
  </si>
  <si>
    <t>Prepare for good handover</t>
  </si>
  <si>
    <t>Aftercare</t>
  </si>
  <si>
    <t>Aftercare support</t>
  </si>
  <si>
    <t>Sesonal commisioning</t>
  </si>
  <si>
    <t>Post-occypancy evaluation</t>
  </si>
  <si>
    <t>Helse og innemiljø:</t>
  </si>
  <si>
    <t>Visual comfort:</t>
  </si>
  <si>
    <t>Daylighting</t>
  </si>
  <si>
    <t xml:space="preserve">Control of glare from sunlight </t>
  </si>
  <si>
    <t xml:space="preserve">View out </t>
  </si>
  <si>
    <t xml:space="preserve">Sunlight </t>
  </si>
  <si>
    <t>-</t>
  </si>
  <si>
    <t>NO</t>
  </si>
  <si>
    <t xml:space="preserve">Internal and external lighting levels, zoning and control </t>
  </si>
  <si>
    <t>Indoor air quality:</t>
  </si>
  <si>
    <t>Ventilation</t>
  </si>
  <si>
    <t xml:space="preserve">Emissions from construction products </t>
  </si>
  <si>
    <t xml:space="preserve">Post-construction indoor air quality measurement </t>
  </si>
  <si>
    <t>Thermal comfort:</t>
  </si>
  <si>
    <t xml:space="preserve">Thermal modelling </t>
  </si>
  <si>
    <t xml:space="preserve">Design for future thermal comfort </t>
  </si>
  <si>
    <t>Thermal zoning and controls</t>
  </si>
  <si>
    <t xml:space="preserve">Sound class requirements </t>
  </si>
  <si>
    <t>Safe and healthy environment:</t>
  </si>
  <si>
    <t>Inclusive design</t>
  </si>
  <si>
    <t>Biofilik design</t>
  </si>
  <si>
    <t>Private space</t>
  </si>
  <si>
    <t>Energi:</t>
  </si>
  <si>
    <t>Building energy performance:</t>
  </si>
  <si>
    <t xml:space="preserve">Passive design </t>
  </si>
  <si>
    <t xml:space="preserve">Low and zero carbon technologies </t>
  </si>
  <si>
    <t xml:space="preserve">Energy performance </t>
  </si>
  <si>
    <t xml:space="preserve">Adaptation to EU taxonomy </t>
  </si>
  <si>
    <t xml:space="preserve">Prediction of operational energy consumption </t>
  </si>
  <si>
    <t>Energy monitoring:</t>
  </si>
  <si>
    <t xml:space="preserve">Sub-metering of end-use categories </t>
  </si>
  <si>
    <t xml:space="preserve">Sub-metering of high energy load and tenancy areas </t>
  </si>
  <si>
    <t xml:space="preserve">Sub-metering of energy consumption in residential buildings </t>
  </si>
  <si>
    <t>External Lighting</t>
  </si>
  <si>
    <t>Energy efficient cold storage</t>
  </si>
  <si>
    <t xml:space="preserve">Design of energy efficient refrigeration- and freezing room </t>
  </si>
  <si>
    <t xml:space="preserve">Indirect greenhouse gas emissions </t>
  </si>
  <si>
    <t>Energy efficient transportation systems</t>
  </si>
  <si>
    <t xml:space="preserve">Energy consumption </t>
  </si>
  <si>
    <t xml:space="preserve">Energy efficient features </t>
  </si>
  <si>
    <t>Energy efficient laboratory systems</t>
  </si>
  <si>
    <t xml:space="preserve">Design specification </t>
  </si>
  <si>
    <t xml:space="preserve">Best practice energy efficient measures </t>
  </si>
  <si>
    <t>Energy efficient equipment</t>
  </si>
  <si>
    <t>Transport:</t>
  </si>
  <si>
    <t>Transport assessment and travel plan</t>
  </si>
  <si>
    <t xml:space="preserve">Transport assessment and travel plan </t>
  </si>
  <si>
    <t xml:space="preserve">Travel plan emissions evaluation </t>
  </si>
  <si>
    <t>Sustainable transport measures</t>
  </si>
  <si>
    <t>Vann:</t>
  </si>
  <si>
    <t>Water consumption</t>
  </si>
  <si>
    <t>Water monitoring</t>
  </si>
  <si>
    <t>Water leak detection and prevention</t>
  </si>
  <si>
    <t>Leak detection system</t>
  </si>
  <si>
    <t>Flow control devices (all buildings except residential)</t>
  </si>
  <si>
    <t>Leak isolation</t>
  </si>
  <si>
    <t>Water efficient equipment</t>
  </si>
  <si>
    <t>Materialer:</t>
  </si>
  <si>
    <t>Environmental impacts from construction products - LCA and greenhouse gas calculations</t>
  </si>
  <si>
    <t>Reduction of greenhouse gas emissions</t>
  </si>
  <si>
    <t>Life cycle assessment of the building</t>
  </si>
  <si>
    <t>Environmental impacts from construction products - EPDs</t>
  </si>
  <si>
    <t xml:space="preserve">EPD for construction products </t>
  </si>
  <si>
    <t xml:space="preserve">Performance requirements for construction products </t>
  </si>
  <si>
    <t>Responsible sourcing of construction products</t>
  </si>
  <si>
    <t>Enabling sustainable procurement</t>
  </si>
  <si>
    <t>Responsible sourcing of relevant materials</t>
  </si>
  <si>
    <t>Designing for robustness</t>
  </si>
  <si>
    <t>Protect vulnerable parts of the building from damage</t>
  </si>
  <si>
    <t xml:space="preserve">Protecting exposed parts of the building from material degradation </t>
  </si>
  <si>
    <t>Moisture protecion on site</t>
  </si>
  <si>
    <t>Material efficency</t>
  </si>
  <si>
    <t>Mapping for component reuse and implementation</t>
  </si>
  <si>
    <t>Reuse of extern building components</t>
  </si>
  <si>
    <t>Disassembly and adaptibility</t>
  </si>
  <si>
    <t>Material bank</t>
  </si>
  <si>
    <t xml:space="preserve">Design for disassembly and functional adaptability - recommendations </t>
  </si>
  <si>
    <t>Disassembly and functional adaptability - implementation</t>
  </si>
  <si>
    <t>Avfall:</t>
  </si>
  <si>
    <t>Construction waste management</t>
  </si>
  <si>
    <t>Resource managment plan</t>
  </si>
  <si>
    <t>Amount of construction waste</t>
  </si>
  <si>
    <t>Waste sorting, reuse and recycling</t>
  </si>
  <si>
    <t>Operational waste</t>
  </si>
  <si>
    <t>Speculative floor &amp; ceiling finishes</t>
  </si>
  <si>
    <t>Arealbruk og økologi:</t>
  </si>
  <si>
    <t>Site selection</t>
  </si>
  <si>
    <t>Ecological risks and opportunities</t>
  </si>
  <si>
    <t>Survey and evaluation</t>
  </si>
  <si>
    <t>Determin ecological possibilities</t>
  </si>
  <si>
    <t>LE03</t>
  </si>
  <si>
    <t>Managing impacts on ecology</t>
  </si>
  <si>
    <t>Planning and measures on site</t>
  </si>
  <si>
    <t>Managing negative impacts</t>
  </si>
  <si>
    <t>Ecological change and enhancement</t>
  </si>
  <si>
    <t>Ecological enhancement</t>
  </si>
  <si>
    <t>Calculation of change in biodiversity</t>
  </si>
  <si>
    <t>Long term impact on biodiversity</t>
  </si>
  <si>
    <t>Management and maintenance throughout the project</t>
  </si>
  <si>
    <t>Landscape and ecology management plan</t>
  </si>
  <si>
    <t>Climate adaption</t>
  </si>
  <si>
    <t>LE07</t>
  </si>
  <si>
    <t>Flooding and storm surge</t>
  </si>
  <si>
    <t>LE08</t>
  </si>
  <si>
    <t>Local surface water handling</t>
  </si>
  <si>
    <t>Maximum run-off</t>
  </si>
  <si>
    <t>Measures for surface-based water management</t>
  </si>
  <si>
    <t>Forurensning:</t>
  </si>
  <si>
    <t>Pol 01</t>
  </si>
  <si>
    <t>Impact of refrigerants</t>
  </si>
  <si>
    <t>Pol 02</t>
  </si>
  <si>
    <t>Local air quality</t>
  </si>
  <si>
    <t>Pol 04</t>
  </si>
  <si>
    <t xml:space="preserve">Reduction of Night Time Light Pollution </t>
  </si>
  <si>
    <t>Pol 05</t>
  </si>
  <si>
    <t>Reduction of noise pollution</t>
  </si>
  <si>
    <t>Innovasjon:</t>
  </si>
  <si>
    <t>Man03</t>
  </si>
  <si>
    <t xml:space="preserve">Reduction of direct emissions from construction sites </t>
  </si>
  <si>
    <t>Hea01</t>
  </si>
  <si>
    <t xml:space="preserve">Daylighting, high level </t>
  </si>
  <si>
    <t xml:space="preserve">View out, high level </t>
  </si>
  <si>
    <t>Hea02</t>
  </si>
  <si>
    <t xml:space="preserve">Emissions from construction products  </t>
  </si>
  <si>
    <t>Ene01</t>
  </si>
  <si>
    <t xml:space="preserve">Post-occupancy stage </t>
  </si>
  <si>
    <t xml:space="preserve">Plus house </t>
  </si>
  <si>
    <t>Wat01</t>
  </si>
  <si>
    <t>Highly water efficient components</t>
  </si>
  <si>
    <t xml:space="preserve">60% reduction of greenhouse gas emission </t>
  </si>
  <si>
    <t>FutureBuilt criteria set for circular buildings, point 2.3 reuse of building components</t>
  </si>
  <si>
    <t xml:space="preserve">Especially low amount of construction waste </t>
  </si>
  <si>
    <t>LE02</t>
  </si>
  <si>
    <t>Wider sustainability for the site</t>
  </si>
  <si>
    <t>LE04</t>
  </si>
  <si>
    <t>Significant net gain of biodiversity</t>
  </si>
  <si>
    <t>LE06</t>
  </si>
  <si>
    <t>Responding to climate change</t>
  </si>
  <si>
    <t>Wider approach to surface water management</t>
  </si>
  <si>
    <t>Felter merket mørk grønn omfattes av filtreringen</t>
  </si>
  <si>
    <t>Lim inn her</t>
  </si>
  <si>
    <t>Available credits TILGJENGELIGE POENG</t>
  </si>
  <si>
    <t>Navn</t>
  </si>
  <si>
    <t>Tilgjengelig poeng</t>
  </si>
  <si>
    <t>Hvor mange poeng skal bort?</t>
  </si>
  <si>
    <t>Sum</t>
  </si>
  <si>
    <t>BESPOKE</t>
  </si>
  <si>
    <t>TEST</t>
  </si>
  <si>
    <t>Planning project delivery</t>
  </si>
  <si>
    <t>a</t>
  </si>
  <si>
    <t>b</t>
  </si>
  <si>
    <t>c</t>
  </si>
  <si>
    <t>d</t>
  </si>
  <si>
    <t>e</t>
  </si>
  <si>
    <t>Ansvarlig byggeledelse: RTB og sjekkliste A1</t>
  </si>
  <si>
    <t>hvis 1 poeng . Sjekk type</t>
  </si>
  <si>
    <t>Ansvarlig byggeledelse: INSTA 800 og sjekkliste A1</t>
  </si>
  <si>
    <t>Energiforbruk fra aktiviteter på byggeplassen (steg 2-4)</t>
  </si>
  <si>
    <t>Hea 04</t>
  </si>
  <si>
    <t>f</t>
  </si>
  <si>
    <t>Energiforbruk tilknyttet transport av masser og avfall  (steg 2-4)</t>
  </si>
  <si>
    <t>Hea 07</t>
  </si>
  <si>
    <t>Hea 09</t>
  </si>
  <si>
    <t>Man 06</t>
  </si>
  <si>
    <t>Man 07</t>
  </si>
  <si>
    <t>Ene 04</t>
  </si>
  <si>
    <t>Ene 09</t>
  </si>
  <si>
    <t>Ene 23</t>
  </si>
  <si>
    <t xml:space="preserve">Pre-requisite: indoor air quality </t>
  </si>
  <si>
    <t>Tra 03a</t>
  </si>
  <si>
    <t>Tra 03b</t>
  </si>
  <si>
    <t>Tra 04</t>
  </si>
  <si>
    <t>Tra 05</t>
  </si>
  <si>
    <t>Tra 06</t>
  </si>
  <si>
    <t xml:space="preserve">Thermal zoning and controls </t>
  </si>
  <si>
    <t xml:space="preserve">Pre-requisite: suitably qualified acoustician </t>
  </si>
  <si>
    <t xml:space="preserve">Inclusive design </t>
  </si>
  <si>
    <t xml:space="preserve">Biofilik design </t>
  </si>
  <si>
    <t xml:space="preserve">Private outdoor spaces </t>
  </si>
  <si>
    <t>Wst 02</t>
  </si>
  <si>
    <t>No external lighting within the construction zone</t>
  </si>
  <si>
    <t>External lighting within the construction zone</t>
  </si>
  <si>
    <t>Pol 03</t>
  </si>
  <si>
    <t>Transport needs and usage patterns</t>
  </si>
  <si>
    <t>Energieffektive funksjoner heis</t>
  </si>
  <si>
    <t>Ved 1 poeng, sjekk type</t>
  </si>
  <si>
    <t>Energieffektive funksjoner rulletrapp</t>
  </si>
  <si>
    <t xml:space="preserve">Reduction of the building's significant unregulated energy consumption </t>
  </si>
  <si>
    <t>Tra 01 Transport assessment and travel plan</t>
  </si>
  <si>
    <t>Tra 02 Sustainable transport measures</t>
  </si>
  <si>
    <t>Prerequisite: Transport assessment and travel plan</t>
  </si>
  <si>
    <t xml:space="preserve">Transport options implementation </t>
  </si>
  <si>
    <t>Tra 03</t>
  </si>
  <si>
    <t>Water efficient components</t>
  </si>
  <si>
    <t>Water meter</t>
  </si>
  <si>
    <t>Flow control devices</t>
  </si>
  <si>
    <t>Mat 01 Environmental impacts from construction products - Building life cycle assessment (LCA)</t>
  </si>
  <si>
    <t>Pre-requisite: early stage greenhouse gas calculation</t>
  </si>
  <si>
    <t>Mat 02 Environmental impacts from construction products - Environmental Product Declarations (EPD)</t>
  </si>
  <si>
    <t>Minimum req -  Absence of environmental toxins</t>
  </si>
  <si>
    <t>Mat 03 Responsible sourcing of construction products</t>
  </si>
  <si>
    <t>Minimum req -  legal and sustainable timber</t>
  </si>
  <si>
    <t>Mat 05 Designing for durability and resilience</t>
  </si>
  <si>
    <t>Pre-requisite: risk analysis</t>
  </si>
  <si>
    <t xml:space="preserve">Kontrollplan og fuktmålinger </t>
  </si>
  <si>
    <t>sjekk type og rett poeng</t>
  </si>
  <si>
    <t xml:space="preserve">Bygging under tildekking  </t>
  </si>
  <si>
    <t>Mat 06 Material efficiency</t>
  </si>
  <si>
    <t>Mat 07 Endringsdyktighet og ombrukbarhet</t>
  </si>
  <si>
    <t xml:space="preserve">Disassembly and functional adaptability - implementation </t>
  </si>
  <si>
    <t>Wst 03a Operational waste</t>
  </si>
  <si>
    <t>Wst 03b Operational waste</t>
  </si>
  <si>
    <t>Sorting of waste</t>
  </si>
  <si>
    <t>Wst 04 User involvement surface finishes</t>
  </si>
  <si>
    <t xml:space="preserve">User involvement surface finishes </t>
  </si>
  <si>
    <t>Land &amp; Ecology</t>
  </si>
  <si>
    <t>Previously occupied land</t>
  </si>
  <si>
    <t>LE 02 Ecological risks and opportunities</t>
  </si>
  <si>
    <t>Pre-requisite: statutory obligations</t>
  </si>
  <si>
    <t>LE 03 Managing impacts on ecology</t>
  </si>
  <si>
    <t>Pre-requisite: ecological risks and opportunities</t>
  </si>
  <si>
    <t>LE 04 Ecological change and enhancement</t>
  </si>
  <si>
    <t>Pre-requisite: Managing negative impacts on ecology</t>
  </si>
  <si>
    <t>LE 05 Long term ecology management and maintenance</t>
  </si>
  <si>
    <t>Pre-requisite: statutory obligations, planning and site implementation</t>
  </si>
  <si>
    <t>LE 06 Climate adaption</t>
  </si>
  <si>
    <t>Risk assessment</t>
  </si>
  <si>
    <t>LE 07 Flooding and storm surge</t>
  </si>
  <si>
    <t>Pre-requisite: Flood risk assessment</t>
  </si>
  <si>
    <t>Resilience against flood and storm surge</t>
  </si>
  <si>
    <t>LE 08 Local surface water handling</t>
  </si>
  <si>
    <t>Pre-requisite risk assessment and the "three- step strategy"</t>
  </si>
  <si>
    <t>5 mm precipitation</t>
  </si>
  <si>
    <t>No refrigerants in the building</t>
  </si>
  <si>
    <t>sjekk rett</t>
  </si>
  <si>
    <t>Leak detection</t>
  </si>
  <si>
    <t>POL 02 Local air quality</t>
  </si>
  <si>
    <t>Heating and hot water is supplied by non-combustions system</t>
  </si>
  <si>
    <t>Heating and hot water is supplied by combustions plant</t>
  </si>
  <si>
    <t>POL 03</t>
  </si>
  <si>
    <t xml:space="preserve">No external lighting pollution </t>
  </si>
  <si>
    <t>Minimizing external light pollution</t>
  </si>
  <si>
    <t>POL 05 Reduction of noise pollution</t>
  </si>
  <si>
    <t>No noise-sensitive areas</t>
  </si>
  <si>
    <t>Minimizing noise pollution in noise-sensitive areas</t>
  </si>
  <si>
    <t>BREEAM innovation credits</t>
  </si>
  <si>
    <t xml:space="preserve">Inn 01 - Man 03: Reduction of direct emissions from construction sites </t>
  </si>
  <si>
    <t xml:space="preserve">Inn 02 - Hea 01: Daylighting, high level </t>
  </si>
  <si>
    <t xml:space="preserve">Inn 03 - Hea 01: View out, high level </t>
  </si>
  <si>
    <t xml:space="preserve">Inn 04 - Hea 02: Emissions from construction products  </t>
  </si>
  <si>
    <t xml:space="preserve">Inn 05 - Ene 01: Post-occupancy stage </t>
  </si>
  <si>
    <t xml:space="preserve">Inn 06 - Ene 01: Plus house </t>
  </si>
  <si>
    <t>Inn 07 - Wat 01: Highly water efficient components</t>
  </si>
  <si>
    <t xml:space="preserve">Inn 08 - Mat 01: 60% reduction of greenhouse gas emission </t>
  </si>
  <si>
    <t>Inn 09 - Mat 06: FutureBuilt criteria set for circular buildings, point 2.3 reuse of building components</t>
  </si>
  <si>
    <t xml:space="preserve">Inn 10 - Wst 01: Especially low amount of construction waste </t>
  </si>
  <si>
    <t>Inn 11 - LE 02: Wider sustainability for the site</t>
  </si>
  <si>
    <t>Inn 12 - LE 04: Significant net gain of biodiversity</t>
  </si>
  <si>
    <t>Inn 13 - LE 06: Responding to climate change</t>
  </si>
  <si>
    <t>Inn 14 - LE 08: Wider approach to surface water management</t>
  </si>
  <si>
    <t>Spesialtilfeller</t>
  </si>
  <si>
    <t>Pol 01b</t>
  </si>
  <si>
    <t>Forkrav: 2. Belastning fra kuldemedier</t>
  </si>
  <si>
    <t>Issues in BREEAM-NOR v. 1.1</t>
  </si>
  <si>
    <t>Ja</t>
  </si>
  <si>
    <t>Næring</t>
  </si>
  <si>
    <t>S/C</t>
  </si>
  <si>
    <t>Minus</t>
  </si>
  <si>
    <t>Valgt bygg</t>
  </si>
  <si>
    <t>Nei</t>
  </si>
  <si>
    <t>Offentlig bygg (ikke boligformål)</t>
  </si>
  <si>
    <t>Gange</t>
  </si>
  <si>
    <t>Boliger</t>
  </si>
  <si>
    <t>ikke sum med makspoeng</t>
  </si>
  <si>
    <t>Flerboerbygg og omsorgsboliger</t>
  </si>
  <si>
    <t>Total contribution to overall building score</t>
  </si>
  <si>
    <t>Kode</t>
  </si>
  <si>
    <t>Total credits available BREEAM-NOR 2021</t>
  </si>
  <si>
    <t xml:space="preserve">Original no. of BREEAM credits available </t>
  </si>
  <si>
    <t>Div filter</t>
  </si>
  <si>
    <t>No. of BREEAM credits available</t>
  </si>
  <si>
    <t>Available contribution to overall score</t>
  </si>
  <si>
    <t>User credits - INITIAL</t>
  </si>
  <si>
    <t>User credits - DESIGN</t>
  </si>
  <si>
    <t>User credits - CONSTRUCTION</t>
  </si>
  <si>
    <t>Non residential</t>
  </si>
  <si>
    <t>EU Taksonomi</t>
  </si>
  <si>
    <t>Innovasjon</t>
  </si>
  <si>
    <t>S/C bare næring. Ja = bare næring. Nei = kun bolig</t>
  </si>
  <si>
    <t>Hvis ikke S/C</t>
  </si>
  <si>
    <t>Påvirker minimumspoeng</t>
  </si>
  <si>
    <t>Shell core</t>
  </si>
  <si>
    <t>P</t>
  </si>
  <si>
    <t>G</t>
  </si>
  <si>
    <t>VG</t>
  </si>
  <si>
    <t>E</t>
  </si>
  <si>
    <t>O</t>
  </si>
  <si>
    <t>Level</t>
  </si>
  <si>
    <t>Minimum standard(s) level</t>
  </si>
  <si>
    <t xml:space="preserve">Ingen vesentlig skade (DNSH) </t>
  </si>
  <si>
    <t>Bidra vesentlig til å redusere klimaendringer</t>
  </si>
  <si>
    <t>Samlet</t>
  </si>
  <si>
    <t>INITIAL</t>
  </si>
  <si>
    <t>DESIGN</t>
  </si>
  <si>
    <t>CONSTRUCTION</t>
  </si>
  <si>
    <t>Endring</t>
  </si>
  <si>
    <t>Minus elelr gange</t>
  </si>
  <si>
    <t>Ny maksverdi ved nei</t>
  </si>
  <si>
    <t>Juster endring</t>
  </si>
  <si>
    <t>Climate gas calculation for whole building life cycle (EU taxonomy requirement: criterion 2-3)</t>
  </si>
  <si>
    <t>BREEAM-NOR AP and BREEAM performance targets (stage 5 and 6)</t>
  </si>
  <si>
    <t>Considerate contruction: clean and tidy building process and checklist A1 (EU taxonomy requirement: criterion 5-6)</t>
  </si>
  <si>
    <t>Considerate contruction: INSTA 800 and checklist A1 (EU taxonomy requirement: criterion 7-9)</t>
  </si>
  <si>
    <t>Energy consumption from activities on the construction site (step 2-4)</t>
  </si>
  <si>
    <t>Energy consumption from transport of masses and waste (step 2-4)</t>
  </si>
  <si>
    <t>INN</t>
  </si>
  <si>
    <t>Pre-requisite: flicker reduction and daylight calculations</t>
  </si>
  <si>
    <t>shell core</t>
  </si>
  <si>
    <t>Alle</t>
  </si>
  <si>
    <t>Pre-requisite: A site-specific indoor air quality plan has been produced</t>
  </si>
  <si>
    <t>Emissions from construction products (EU taxonomy requirement: criterion 5)</t>
  </si>
  <si>
    <t>Boliger og boliginstitusjoner: 4</t>
  </si>
  <si>
    <t>Boliger og omsorgsboliger kan oppnå 2p for Inkluderende design. Alle andre kan oppnå 1p</t>
  </si>
  <si>
    <t>Adaptation to EU taxonomy</t>
  </si>
  <si>
    <t>VALG BESPOKE</t>
  </si>
  <si>
    <t>Energy efficient features: lifts</t>
  </si>
  <si>
    <t>Energy efficient features: escalators or moving walks</t>
  </si>
  <si>
    <t>Pre-requisite: Transport assessment and travel plan</t>
  </si>
  <si>
    <t>Mat 02 Environmental impacts from construction products - product requirements</t>
  </si>
  <si>
    <t>Minimum req: legal and sustainable timber</t>
  </si>
  <si>
    <t>Mat 05 Designing for durability and climate adaption</t>
  </si>
  <si>
    <t>Control plan and moisture measurements</t>
  </si>
  <si>
    <t>Construction under cover</t>
  </si>
  <si>
    <t>Mapping for component reuse and implementation (EU taxonomy requirement: criterion 1-3)</t>
  </si>
  <si>
    <t>Mat 07 Design for disassembly and adaptability</t>
  </si>
  <si>
    <t>Resource inventory</t>
  </si>
  <si>
    <t>Design for disassembly and functional adaptability - recommendations (EU taxonomy requirement: criterion 2-3)</t>
  </si>
  <si>
    <t>Disassembly and functional adaptability - implementation (EU taxonomy requirement: criterion 4-6)</t>
  </si>
  <si>
    <t>Wst 04 Speculative finishes</t>
  </si>
  <si>
    <t>Pre-requisite: statutory obligations fulfilled</t>
  </si>
  <si>
    <t>Survey and evaluation (EU taxonomy requirement: criterion 2-4)</t>
  </si>
  <si>
    <t>Pre-requisite: managing negative impacts on ecology</t>
  </si>
  <si>
    <t>Risk assessment (EU taxonomy requirement: criterion 1-6)</t>
  </si>
  <si>
    <t>Pre-requisite: flood risk assessment</t>
  </si>
  <si>
    <t>Pre-requisite: risk assessment and the "three- step strategy"</t>
  </si>
  <si>
    <t>Non-combustion heating and hot water system</t>
  </si>
  <si>
    <t>Combustion-powered heating and hot water</t>
  </si>
  <si>
    <t>Pre-requisite: limitation of light flicker and stroboscopic effect</t>
  </si>
  <si>
    <t>Yes/No</t>
  </si>
  <si>
    <t>Pre-requisite: daylight assessments</t>
  </si>
  <si>
    <t>Minimum req: absence of environmental toxins (EU taxonomy requirement: criterion 1)</t>
  </si>
  <si>
    <t>Pre-requisite: transport assessment and travel plan</t>
  </si>
  <si>
    <t>Pre-requisite: impact of refrigerants</t>
  </si>
  <si>
    <t>Minimum req: mapping for component reuse - criterion 1</t>
  </si>
  <si>
    <t>EU taxonomy requirement: criterion 4, ready for reuse &gt;70%</t>
  </si>
  <si>
    <t>Minimum req: agricultural area / forest (EU taxonomy requirement: criterion 2)</t>
  </si>
  <si>
    <t>EU taxonomy requirements: criterion 10 - thermographic survey</t>
  </si>
  <si>
    <t>EU taxonomy requirements: criterion 1-3</t>
  </si>
  <si>
    <t>Wst 01TX</t>
  </si>
  <si>
    <t>EU taxonomy requirement: criterion 1</t>
  </si>
  <si>
    <t>EU taxonomy requirements: criterion 11-12</t>
  </si>
  <si>
    <t>Oppfyller taksonomi = nei</t>
  </si>
  <si>
    <t>Samlet poeng</t>
  </si>
  <si>
    <t>Samlet minimumstandard</t>
  </si>
  <si>
    <t>Emner med innovation credits</t>
  </si>
  <si>
    <t>Samlet sum tilgjengelig</t>
  </si>
  <si>
    <t xml:space="preserve">Man 03: Reduction of direct emissions from construction sites </t>
  </si>
  <si>
    <t>Samlet sum oppnådd</t>
  </si>
  <si>
    <t xml:space="preserve">Hea 01: View out, high level </t>
  </si>
  <si>
    <t>Samlet prosent</t>
  </si>
  <si>
    <t>&lt;</t>
  </si>
  <si>
    <t>Unclassified</t>
  </si>
  <si>
    <t>U</t>
  </si>
  <si>
    <t>Hea 02: Emissions from construction products</t>
  </si>
  <si>
    <t>&gt;=</t>
  </si>
  <si>
    <t>Pass</t>
  </si>
  <si>
    <t xml:space="preserve">Hea 06: Biofilik design </t>
  </si>
  <si>
    <t>Skal minimumstandard styre?</t>
  </si>
  <si>
    <t>1=ja, 0=nei</t>
  </si>
  <si>
    <t>Good</t>
  </si>
  <si>
    <t xml:space="preserve">Ene 01: Post-occupancy stage </t>
  </si>
  <si>
    <t>Mat 02 - Checklist A20 - Criteria 1</t>
  </si>
  <si>
    <t>Very Good</t>
  </si>
  <si>
    <t xml:space="preserve">Ene 01: Plus house </t>
  </si>
  <si>
    <t>Man 01 - Criteria 11</t>
  </si>
  <si>
    <t>The rating has been limited to the min. standards level achieved</t>
  </si>
  <si>
    <t>Excellent</t>
  </si>
  <si>
    <t>Wat 01: Highly water efficient components</t>
  </si>
  <si>
    <t>Ene 01 - Kriterium 9-10</t>
  </si>
  <si>
    <t>Outstanding</t>
  </si>
  <si>
    <t xml:space="preserve">Mat 01: 60% reduction of greenhouse gas emission </t>
  </si>
  <si>
    <t>Mat 06: FutureBuilt criteria set for circular buildings, point 2.3 reuse of building components</t>
  </si>
  <si>
    <t>Man 05 - Criteria 3</t>
  </si>
  <si>
    <t xml:space="preserve">Wst 01: Especially low amount of construction waste </t>
  </si>
  <si>
    <t>Tra 01 - Mobilitetsplan Criteria 6</t>
  </si>
  <si>
    <t>LE 02: Wider sustainability for the site</t>
  </si>
  <si>
    <t>LE 04: Significant net gain of biodiversity</t>
  </si>
  <si>
    <t>Mat 06 - Materialeffektivitet Criteria 1</t>
  </si>
  <si>
    <t>LE 06: Responding to climate change</t>
  </si>
  <si>
    <t>Mat 07 - Criteria 2-6</t>
  </si>
  <si>
    <t>LE 08: Wider approach to surface water management</t>
  </si>
  <si>
    <t xml:space="preserve">Approved innovation credits </t>
  </si>
  <si>
    <t>Mat 03 - Responsible sourcing of mat. - Crit 1.</t>
  </si>
  <si>
    <t>To activate select YES in cell S8</t>
  </si>
  <si>
    <t>To activate select YES in cell Z8</t>
  </si>
  <si>
    <t>til bruk for hea 02</t>
  </si>
  <si>
    <t>O: Outstanding</t>
  </si>
  <si>
    <t>E: Excellent</t>
  </si>
  <si>
    <t>VG: Very Good</t>
  </si>
  <si>
    <t>Faktor</t>
  </si>
  <si>
    <t>Hva</t>
  </si>
  <si>
    <t>Maks</t>
  </si>
  <si>
    <t>HEA 01</t>
  </si>
  <si>
    <t>minus</t>
  </si>
  <si>
    <t>Initial</t>
  </si>
  <si>
    <t>Design</t>
  </si>
  <si>
    <t>Construction</t>
  </si>
  <si>
    <t>Søke navn</t>
  </si>
  <si>
    <t>Man01</t>
  </si>
  <si>
    <t>Man05</t>
  </si>
  <si>
    <t>Man 05: Non residential</t>
  </si>
  <si>
    <t>HEA 02</t>
  </si>
  <si>
    <t>Ene07</t>
  </si>
  <si>
    <t>ENE 02a</t>
  </si>
  <si>
    <t>Mat02</t>
  </si>
  <si>
    <t>Mat03</t>
  </si>
  <si>
    <t>Mat05</t>
  </si>
  <si>
    <t>WAT 03</t>
  </si>
  <si>
    <t>Wst03</t>
  </si>
  <si>
    <t>Wst 03</t>
  </si>
  <si>
    <t>gange</t>
  </si>
  <si>
    <t>ledig</t>
  </si>
  <si>
    <t>Option 2: - 50% credit</t>
  </si>
  <si>
    <t>Tidligere navn:</t>
  </si>
  <si>
    <t>Hea 02 Emisjoner fra byggeprodukter - Criteria 3-4</t>
  </si>
  <si>
    <t>Mat 02 Checklist A20 - Criteria 1</t>
  </si>
  <si>
    <t>Man 01 Criteria 11</t>
  </si>
  <si>
    <t>Ene 01 Kriterium 9-10</t>
  </si>
  <si>
    <t>Man 03 Criteria 5-13</t>
  </si>
  <si>
    <t>Fully fitted</t>
  </si>
  <si>
    <t>Shell only</t>
  </si>
  <si>
    <t>Man 05 Criteria 3</t>
  </si>
  <si>
    <t>Innredet</t>
  </si>
  <si>
    <t>Uinnredet</t>
  </si>
  <si>
    <t>Råbygg</t>
  </si>
  <si>
    <t>Valg</t>
  </si>
  <si>
    <t>Tra 01 Mobilitetsplan Criteria 6</t>
  </si>
  <si>
    <t>Vekting</t>
  </si>
  <si>
    <t>Mat 01 Criteria 1 - 3</t>
  </si>
  <si>
    <t>Mat 06 Materialeffektivitet Criteria 1</t>
  </si>
  <si>
    <t>Mat 07 Criteria 2-6</t>
  </si>
  <si>
    <t>Wst 01 Criteria 1, 4, 5</t>
  </si>
  <si>
    <t>Mat 03 Responsible sourcing of mat. - Crit 1.</t>
  </si>
  <si>
    <t>Innovation</t>
  </si>
  <si>
    <t>Reduction of night time light pollution</t>
  </si>
  <si>
    <t>BREEAM-NOR v6.0 New Construction Pre-Assessment Estimator: Summary of Building Performance</t>
  </si>
  <si>
    <t>Overall Building Performance</t>
  </si>
  <si>
    <t>Design phase</t>
  </si>
  <si>
    <t>Construction phase</t>
  </si>
  <si>
    <t>Show results</t>
  </si>
  <si>
    <t>Building Performance by Environment Section</t>
  </si>
  <si>
    <t>Section score available</t>
  </si>
  <si>
    <t>Man</t>
  </si>
  <si>
    <t>Hea</t>
  </si>
  <si>
    <t>Ene</t>
  </si>
  <si>
    <t>Tra</t>
  </si>
  <si>
    <t>Wat</t>
  </si>
  <si>
    <t>Mat</t>
  </si>
  <si>
    <t>Wst</t>
  </si>
  <si>
    <t>LE</t>
  </si>
  <si>
    <t>Pol</t>
  </si>
  <si>
    <t>Inn</t>
  </si>
  <si>
    <t>Weighting</t>
  </si>
  <si>
    <t>Score</t>
  </si>
  <si>
    <t>Environmental Section</t>
  </si>
  <si>
    <t>Credits Achieved</t>
  </si>
  <si>
    <t>% credits achieved</t>
  </si>
  <si>
    <t>Minimum requirement</t>
  </si>
  <si>
    <t>Climate gas calculation for whole building life cycle: criterion 2-3</t>
  </si>
  <si>
    <t>Considerate contruction: clean and tidy building process and checklist A1: criterion 7-9</t>
  </si>
  <si>
    <t>Considerate contruction: INSTA 800 and checklist A1: criterion 7-9</t>
  </si>
  <si>
    <t/>
  </si>
  <si>
    <t>Emissions from construction products: criterion 5</t>
  </si>
  <si>
    <t>Achieved</t>
  </si>
  <si>
    <t>Thermographic survey: criterion 10</t>
  </si>
  <si>
    <t>Not achieved</t>
  </si>
  <si>
    <t>Minimum req: absence of environmental toxins: criterion 1</t>
  </si>
  <si>
    <t>Mapping for component reuse and implementation: criterion 1-3</t>
  </si>
  <si>
    <t>Design for disassembly and functional adaptability - recommendations: criterion 2-3</t>
  </si>
  <si>
    <t>Disassembly and functional adaptability - implementation: criterion 4-6</t>
  </si>
  <si>
    <t>Waste sorting ≥70%: criterion 4</t>
  </si>
  <si>
    <t>Minimum req: agricultural area / forest: criterion 2</t>
  </si>
  <si>
    <t>Survey and evaluation: criterion 2-4</t>
  </si>
  <si>
    <t>Risk assessment: criterion 1-6</t>
  </si>
  <si>
    <t>Use this sheet if you need to copy the Pre-Assessment Estimator to new Excel Workbook</t>
  </si>
  <si>
    <t>Building name:</t>
  </si>
  <si>
    <t>(G) - Green - OK</t>
  </si>
  <si>
    <t>(Y) - Yellow - Unsure</t>
  </si>
  <si>
    <t>(R) - Red - Not OK</t>
  </si>
  <si>
    <t>BREEAM-NOR v6.0 Issue</t>
  </si>
  <si>
    <t>Contribution to score</t>
  </si>
  <si>
    <t>Minimum standards level achieved</t>
  </si>
  <si>
    <t>General comments</t>
  </si>
  <si>
    <t>Land use &amp; Ecology</t>
  </si>
  <si>
    <t>Exemplary Level (Innovation)</t>
  </si>
  <si>
    <t>Exemplary level and innovation (max 10 credits)</t>
  </si>
  <si>
    <t>BREEAM-NOR v6.0 New Construction Pre-Assessment Estimator: Version Control</t>
  </si>
  <si>
    <t>Current Version</t>
  </si>
  <si>
    <t>Release Date</t>
  </si>
  <si>
    <t>Description of changes/additions made to the BREEAM Assessment Pre-Assessment Estimator</t>
  </si>
  <si>
    <t>1.6</t>
  </si>
  <si>
    <r>
      <rPr>
        <b/>
        <sz val="11"/>
        <color rgb="FF000000"/>
        <rFont val="Calibri"/>
        <family val="2"/>
      </rPr>
      <t xml:space="preserve">Ene 01: </t>
    </r>
    <r>
      <rPr>
        <sz val="11"/>
        <color rgb="FF000000"/>
        <rFont val="Calibri"/>
        <family val="2"/>
      </rPr>
      <t xml:space="preserve">Updated adaptation to EU taxonomy
</t>
    </r>
    <r>
      <rPr>
        <b/>
        <sz val="11"/>
        <color rgb="FF000000"/>
        <rFont val="Calibri"/>
        <family val="2"/>
      </rPr>
      <t>Hea 01:</t>
    </r>
    <r>
      <rPr>
        <sz val="11"/>
        <color rgb="FF000000"/>
        <rFont val="Calibri"/>
        <family val="2"/>
      </rPr>
      <t xml:space="preserve"> Control of glare from sunlight og internal and external lighting levels, zoning and control not available for residential
</t>
    </r>
    <r>
      <rPr>
        <b/>
        <sz val="11"/>
        <color rgb="FF000000"/>
        <rFont val="Calibri"/>
        <family val="2"/>
      </rPr>
      <t>Hea 02</t>
    </r>
    <r>
      <rPr>
        <sz val="11"/>
        <color rgb="FF000000"/>
        <rFont val="Calibri"/>
        <family val="2"/>
      </rPr>
      <t xml:space="preserve">: Corrected calculation for construction phase
</t>
    </r>
    <r>
      <rPr>
        <b/>
        <sz val="11"/>
        <color rgb="FF000000"/>
        <rFont val="Calibri"/>
        <family val="2"/>
      </rPr>
      <t xml:space="preserve">Wat 01: </t>
    </r>
    <r>
      <rPr>
        <sz val="11"/>
        <color rgb="FF000000"/>
        <rFont val="Calibri"/>
        <family val="2"/>
      </rPr>
      <t xml:space="preserve">EU taxonomy available for residential
</t>
    </r>
    <r>
      <rPr>
        <b/>
        <sz val="11"/>
        <color rgb="FF000000"/>
        <rFont val="Calibri"/>
        <family val="2"/>
      </rPr>
      <t>Wst 01:</t>
    </r>
    <r>
      <rPr>
        <sz val="11"/>
        <color rgb="FF000000"/>
        <rFont val="Calibri"/>
        <family val="2"/>
      </rPr>
      <t xml:space="preserve"> Updated calculations</t>
    </r>
  </si>
  <si>
    <t>Previous Versions</t>
  </si>
  <si>
    <t>1.5</t>
  </si>
  <si>
    <r>
      <rPr>
        <b/>
        <sz val="11"/>
        <color rgb="FF000000"/>
        <rFont val="Calibri"/>
        <family val="2"/>
      </rPr>
      <t>Hea 02:</t>
    </r>
    <r>
      <rPr>
        <sz val="11"/>
        <color rgb="FF000000"/>
        <rFont val="Calibri"/>
        <family val="2"/>
      </rPr>
      <t xml:space="preserve"> Updated requirement Hea 02: Compliance with Mat 05 criteria 6–8 Control plan and moisture measurements (no need for Mat 05 Pre-requisite: risk analysis)
</t>
    </r>
    <r>
      <rPr>
        <b/>
        <sz val="11"/>
        <color rgb="FF000000"/>
        <rFont val="Calibri"/>
        <family val="2"/>
      </rPr>
      <t xml:space="preserve">Hea 01:  </t>
    </r>
    <r>
      <rPr>
        <sz val="11"/>
        <color rgb="FF000000"/>
        <rFont val="Calibri"/>
        <family val="2"/>
      </rPr>
      <t xml:space="preserve">Control of glare from sunlight available for commercial buildings and public buildings only
</t>
    </r>
    <r>
      <rPr>
        <b/>
        <sz val="11"/>
        <color rgb="FF000000"/>
        <rFont val="Calibri"/>
        <family val="2"/>
      </rPr>
      <t>Hea 01:</t>
    </r>
    <r>
      <rPr>
        <sz val="11"/>
        <color rgb="FF000000"/>
        <rFont val="Calibri"/>
        <family val="2"/>
      </rPr>
      <t xml:space="preserve"> Updated available credits (2 credits) for Residential institution (long term stay) - sheltered home
</t>
    </r>
    <r>
      <rPr>
        <b/>
        <sz val="11"/>
        <color rgb="FF000000"/>
        <rFont val="Calibri"/>
        <family val="2"/>
      </rPr>
      <t>Wat 01:</t>
    </r>
    <r>
      <rPr>
        <sz val="11"/>
        <color rgb="FF000000"/>
        <rFont val="Calibri"/>
        <family val="2"/>
      </rPr>
      <t xml:space="preserve"> Single dwellings - criterion 3 only applicable
</t>
    </r>
    <r>
      <rPr>
        <b/>
        <sz val="11"/>
        <color rgb="FF000000"/>
        <rFont val="Calibri"/>
        <family val="2"/>
      </rPr>
      <t>Wat 03:</t>
    </r>
    <r>
      <rPr>
        <sz val="11"/>
        <color rgb="FF000000"/>
        <rFont val="Calibri"/>
        <family val="2"/>
      </rPr>
      <t xml:space="preserve"> Added function for</t>
    </r>
    <r>
      <rPr>
        <i/>
        <sz val="11"/>
        <color rgb="FF000000"/>
        <rFont val="Calibri"/>
        <family val="2"/>
      </rPr>
      <t xml:space="preserve"> WC facilities are only provided within the residential areas</t>
    </r>
    <r>
      <rPr>
        <sz val="11"/>
        <color rgb="FF000000"/>
        <rFont val="Calibri"/>
        <family val="2"/>
      </rPr>
      <t xml:space="preserve">, for Residential institution (long term stay)
</t>
    </r>
    <r>
      <rPr>
        <b/>
        <sz val="11"/>
        <color rgb="FF000000"/>
        <rFont val="Calibri"/>
        <family val="2"/>
      </rPr>
      <t xml:space="preserve">EU taxonomy requirement: </t>
    </r>
    <r>
      <rPr>
        <sz val="11"/>
        <color rgb="FF000000"/>
        <rFont val="Calibri"/>
        <family val="2"/>
      </rPr>
      <t>updated Wat 01 (residential), Mat 06 and Hea 02: if no credits  available: EU taxonomy requirement is N/A</t>
    </r>
  </si>
  <si>
    <t>1.4</t>
  </si>
  <si>
    <r>
      <t xml:space="preserve">EU taxonomy requirement: </t>
    </r>
    <r>
      <rPr>
        <sz val="11"/>
        <color rgb="FF000000"/>
        <rFont val="Calibri"/>
        <family val="2"/>
      </rPr>
      <t>Ene 01, Wat 01, Wst 01 requirement for all building types</t>
    </r>
    <r>
      <rPr>
        <b/>
        <sz val="11"/>
        <color rgb="FF000000"/>
        <rFont val="Calibri"/>
        <family val="2"/>
      </rPr>
      <t xml:space="preserve">
Ene 01, Mat 07: </t>
    </r>
    <r>
      <rPr>
        <sz val="11"/>
        <color rgb="FF000000"/>
        <rFont val="Calibri"/>
        <family val="2"/>
      </rPr>
      <t>Updated Assessment text</t>
    </r>
    <r>
      <rPr>
        <b/>
        <sz val="11"/>
        <color rgb="FF000000"/>
        <rFont val="Calibri"/>
        <family val="2"/>
      </rPr>
      <t xml:space="preserve">
LE03: </t>
    </r>
    <r>
      <rPr>
        <sz val="11"/>
        <color rgb="FF000000"/>
        <rFont val="Calibri"/>
        <family val="2"/>
      </rPr>
      <t xml:space="preserve">Removed EU taxonomy requirement
</t>
    </r>
    <r>
      <rPr>
        <b/>
        <sz val="11"/>
        <color rgb="FF000000"/>
        <rFont val="Calibri"/>
        <family val="2"/>
      </rPr>
      <t>Ene 07 and Ene 08:</t>
    </r>
    <r>
      <rPr>
        <sz val="11"/>
        <color rgb="FF000000"/>
        <rFont val="Calibri"/>
        <family val="2"/>
      </rPr>
      <t xml:space="preserve"> Not available when New Construction (shell and core).
</t>
    </r>
    <r>
      <rPr>
        <b/>
        <sz val="11"/>
        <color rgb="FF000000"/>
        <rFont val="Calibri"/>
        <family val="2"/>
      </rPr>
      <t>Hea 06:</t>
    </r>
    <r>
      <rPr>
        <sz val="11"/>
        <color rgb="FF000000"/>
        <rFont val="Calibri"/>
        <family val="2"/>
      </rPr>
      <t xml:space="preserve"> Inclusive design. 1 credit available when Residental long and short term stay, except residental care home with 2 credits available.
</t>
    </r>
    <r>
      <rPr>
        <b/>
        <sz val="11"/>
        <color rgb="FF000000"/>
        <rFont val="Calibri"/>
        <family val="2"/>
      </rPr>
      <t>LE03:</t>
    </r>
    <r>
      <rPr>
        <sz val="11"/>
        <color rgb="FF000000"/>
        <rFont val="Calibri"/>
        <family val="2"/>
      </rPr>
      <t xml:space="preserve"> Added Pre-requisite: Ecological risks and opportunities under Pre-Assessment Estimator
</t>
    </r>
    <r>
      <rPr>
        <b/>
        <sz val="11"/>
        <color rgb="FF000000"/>
        <rFont val="Calibri"/>
        <family val="2"/>
      </rPr>
      <t>Ene 07:</t>
    </r>
    <r>
      <rPr>
        <sz val="11"/>
        <color rgb="FF000000"/>
        <rFont val="Calibri"/>
        <family val="2"/>
      </rPr>
      <t xml:space="preserve"> Available for industrial buildings</t>
    </r>
  </si>
  <si>
    <t>1.3</t>
  </si>
  <si>
    <r>
      <rPr>
        <b/>
        <sz val="11"/>
        <color rgb="FF000000"/>
        <rFont val="Calibri"/>
        <family val="2"/>
      </rPr>
      <t xml:space="preserve">EU taxonomy requirement: </t>
    </r>
    <r>
      <rPr>
        <sz val="11"/>
        <color rgb="FF000000"/>
        <rFont val="Calibri"/>
        <family val="2"/>
      </rPr>
      <t xml:space="preserve">Updtated all requirements, added table under Summary of Building Performance
</t>
    </r>
    <r>
      <rPr>
        <b/>
        <sz val="11"/>
        <color rgb="FF000000"/>
        <rFont val="Calibri"/>
        <family val="2"/>
      </rPr>
      <t>Hea 01</t>
    </r>
    <r>
      <rPr>
        <sz val="11"/>
        <color rgb="FF000000"/>
        <rFont val="Calibri"/>
        <family val="2"/>
      </rPr>
      <t xml:space="preserve">: Pre-requisite requirement splitted in two: </t>
    </r>
    <r>
      <rPr>
        <i/>
        <sz val="11"/>
        <color rgb="FF000000"/>
        <rFont val="Calibri"/>
        <family val="2"/>
      </rPr>
      <t>limitation of light flicker and stroboscopic effect</t>
    </r>
    <r>
      <rPr>
        <sz val="11"/>
        <color rgb="FF000000"/>
        <rFont val="Calibri"/>
        <family val="2"/>
      </rPr>
      <t xml:space="preserve"> and </t>
    </r>
    <r>
      <rPr>
        <i/>
        <sz val="11"/>
        <color rgb="FF000000"/>
        <rFont val="Calibri"/>
        <family val="2"/>
      </rPr>
      <t>daylight assessments</t>
    </r>
    <r>
      <rPr>
        <b/>
        <sz val="11"/>
        <color rgb="FF000000"/>
        <rFont val="Calibri"/>
        <family val="2"/>
      </rPr>
      <t xml:space="preserve">
General</t>
    </r>
    <r>
      <rPr>
        <sz val="11"/>
        <color rgb="FF000000"/>
        <rFont val="Calibri"/>
        <family val="2"/>
      </rPr>
      <t>: Fixed general issues, added filter PAE available for copy.</t>
    </r>
  </si>
  <si>
    <t>1.2</t>
  </si>
  <si>
    <r>
      <rPr>
        <b/>
        <sz val="11"/>
        <color rgb="FF000000"/>
        <rFont val="Calibri"/>
        <family val="2"/>
      </rPr>
      <t xml:space="preserve">Le 01: </t>
    </r>
    <r>
      <rPr>
        <sz val="11"/>
        <color rgb="FF000000"/>
        <rFont val="Calibri"/>
        <family val="2"/>
      </rPr>
      <t xml:space="preserve">Fixed Minimum req: agricultural area / forest - criterion 2 for EU taxonomy
</t>
    </r>
    <r>
      <rPr>
        <b/>
        <sz val="11"/>
        <color rgb="FF000000"/>
        <rFont val="Calibri"/>
        <family val="2"/>
      </rPr>
      <t>Mat 06:</t>
    </r>
    <r>
      <rPr>
        <sz val="11"/>
        <color rgb="FF000000"/>
        <rFont val="Calibri"/>
        <family val="2"/>
      </rPr>
      <t xml:space="preserve"> If no Demolition in the development area (mapping for component reuse): criteria is filtered out of the assessment.
</t>
    </r>
    <r>
      <rPr>
        <b/>
        <sz val="11"/>
        <color rgb="FF000000"/>
        <rFont val="Calibri"/>
        <family val="2"/>
      </rPr>
      <t>Man 03:</t>
    </r>
    <r>
      <rPr>
        <sz val="11"/>
        <color rgb="FF000000"/>
        <rFont val="Calibri"/>
        <family val="2"/>
      </rPr>
      <t xml:space="preserve"> Added Considerate contruction: INSTA 800 and checklist A1 for EU taxonomy.
</t>
    </r>
    <r>
      <rPr>
        <b/>
        <sz val="11"/>
        <color rgb="FF000000"/>
        <rFont val="Calibri"/>
        <family val="2"/>
      </rPr>
      <t>Hea 02</t>
    </r>
    <r>
      <rPr>
        <sz val="11"/>
        <color rgb="FF000000"/>
        <rFont val="Calibri"/>
        <family val="2"/>
      </rPr>
      <t xml:space="preserve">: - Requirement: The project must have achieved credits in </t>
    </r>
    <r>
      <rPr>
        <b/>
        <sz val="11"/>
        <color rgb="FF000000"/>
        <rFont val="Calibri"/>
        <family val="2"/>
      </rPr>
      <t xml:space="preserve">Mat 05 </t>
    </r>
    <r>
      <rPr>
        <sz val="11"/>
        <color rgb="FF000000"/>
        <rFont val="Calibri"/>
        <family val="2"/>
      </rPr>
      <t xml:space="preserve">criteria 6–8
</t>
    </r>
    <r>
      <rPr>
        <b/>
        <sz val="11"/>
        <color rgb="FF000000"/>
        <rFont val="Calibri"/>
        <family val="2"/>
      </rPr>
      <t xml:space="preserve">Ene 07: </t>
    </r>
    <r>
      <rPr>
        <sz val="11"/>
        <color rgb="FF000000"/>
        <rFont val="Calibri"/>
        <family val="2"/>
      </rPr>
      <t>Fixed This issue is not applicable to school buildings (primary and secondary level).</t>
    </r>
  </si>
  <si>
    <t>1.1</t>
  </si>
  <si>
    <r>
      <rPr>
        <b/>
        <sz val="11"/>
        <color rgb="FF000000"/>
        <rFont val="Calibri"/>
        <family val="2"/>
      </rPr>
      <t>Wat 01, Wst 01, Ene 01</t>
    </r>
    <r>
      <rPr>
        <sz val="11"/>
        <color indexed="8"/>
        <rFont val="Calibri"/>
        <family val="2"/>
      </rPr>
      <t xml:space="preserve">: EU taxonomy requirement added
</t>
    </r>
    <r>
      <rPr>
        <b/>
        <sz val="11"/>
        <color rgb="FF000000"/>
        <rFont val="Calibri"/>
        <family val="2"/>
      </rPr>
      <t xml:space="preserve">Mat 06: </t>
    </r>
    <r>
      <rPr>
        <sz val="11"/>
        <color indexed="8"/>
        <rFont val="Calibri"/>
        <family val="2"/>
      </rPr>
      <t xml:space="preserve">Added minimum req: mapping for component reuse  - criterion 1
</t>
    </r>
    <r>
      <rPr>
        <b/>
        <sz val="11"/>
        <color rgb="FF000000"/>
        <rFont val="Calibri"/>
        <family val="2"/>
      </rPr>
      <t>Wat 01:</t>
    </r>
    <r>
      <rPr>
        <sz val="11"/>
        <color indexed="8"/>
        <rFont val="Calibri"/>
        <family val="2"/>
      </rPr>
      <t xml:space="preserve"> Updated Minimum requirements
</t>
    </r>
    <r>
      <rPr>
        <b/>
        <sz val="11"/>
        <color rgb="FF000000"/>
        <rFont val="Calibri"/>
        <family val="2"/>
      </rPr>
      <t>LE 01:</t>
    </r>
    <r>
      <rPr>
        <sz val="11"/>
        <color indexed="8"/>
        <rFont val="Calibri"/>
        <family val="2"/>
      </rPr>
      <t xml:space="preserve"> Updated Minimum requirements 
</t>
    </r>
    <r>
      <rPr>
        <b/>
        <sz val="11"/>
        <color rgb="FF000000"/>
        <rFont val="Calibri"/>
        <family val="2"/>
      </rPr>
      <t>Hea 02:</t>
    </r>
    <r>
      <rPr>
        <sz val="11"/>
        <color indexed="8"/>
        <rFont val="Calibri"/>
        <family val="2"/>
      </rPr>
      <t xml:space="preserve"> Updated pre-requisite for industrial building without office
</t>
    </r>
    <r>
      <rPr>
        <b/>
        <sz val="11"/>
        <color rgb="FF000000"/>
        <rFont val="Calibri"/>
        <family val="2"/>
      </rPr>
      <t xml:space="preserve">Pol 05: </t>
    </r>
    <r>
      <rPr>
        <sz val="11"/>
        <color indexed="8"/>
        <rFont val="Calibri"/>
        <family val="2"/>
      </rPr>
      <t>Updated building categories</t>
    </r>
  </si>
  <si>
    <t>1.0</t>
  </si>
  <si>
    <t>Initial Release Version of BREEAM-NOR v0.6 New Construction Pre-Assessment Tool.</t>
  </si>
  <si>
    <t>endret tabell F253R253 for tax ene, wat og wst</t>
  </si>
  <si>
    <t>endret ene 01.  Adaptation to EU taxonomy (criterion 12) til Adaptation to EU taxonomy. Både under poeng og tax tabell</t>
  </si>
  <si>
    <t>la inn under tabell tax at hvis poeng høyere enn krav, så sort</t>
  </si>
  <si>
    <t>fikset tekst mat 07 (2-3 og 4-6)</t>
  </si>
  <si>
    <t>fikset - tatt bort tax le 03</t>
  </si>
  <si>
    <t>Fikset, celle Z91, 92, z 94 under poeng. 
2.	I manualen står det på både Ene 07 og Ene 08 at gjeldende vurderingskriterier er «Ikke tilgjengelig» om man har et uinnredet bygg. Men i pre-analysen er det mulig å velge både Ene 07 og Ene 08 selv om man har valgt prosjekt-type «New Construction (shell and core). You fix?</t>
  </si>
  <si>
    <t>H16 assessment details. Bytta ADIND_option02 uder poeng med ADIND_option02n</t>
  </si>
  <si>
    <t>N60 poeng - hea 06 short term 1 poeng. U 60 poeng er filter</t>
  </si>
  <si>
    <t>legg inn rad på LE03 - pre req under pre ass estimatro og pae availabe fo ropy</t>
  </si>
  <si>
    <t>Ene 087 indiustri er tilgjengelig</t>
  </si>
  <si>
    <t>lagt til ene 07 på industri. Både unde poeng og juster filter under aa details</t>
  </si>
  <si>
    <t>Må fikses bespoke og sr</t>
  </si>
  <si>
    <t>Assessmet issue scoringE823 mat 05 control plan må ikke være grået ut selv om no er valgt</t>
  </si>
  <si>
    <t>endre navn under poeng fanen hea 02 pre : Pre-requisite: A site-specific indoor air quality plan has been produced</t>
  </si>
  <si>
    <t>i ass iss scor. Hea 02. når pre req er no ller please blir likevel summen og poeng tilgjengelig. Mpå rettes</t>
  </si>
  <si>
    <t>hea 06 incluseinve poeng fane, celle U60. endre fra Z6 til Z7. skal gi 2 poeng for sheltered - omsorgsbolig</t>
  </si>
  <si>
    <t>wat 01 For boligbygg så kommer det ikke opp samsvar med EU taks fordi krit 2 kun er for næringsbygg. Fikset under poeg taks fane og summary building fase</t>
  </si>
  <si>
    <t>mat 06 ved filter ut pga ikke oråde som skal kartelgges filterres ikke taks ut. Fikset under poeg taks fane og summary building fase</t>
  </si>
  <si>
    <t>hea 02 ved filter ut pga ikke industri - ta ut fra taksonomi . Fikset under poeg taks fane og summary building fase</t>
  </si>
  <si>
    <t>wat 03Skal kun være mulig å oppnå kriterium 3 for enebolig. Pt går det an å oppfylle kriterium 1 også.</t>
  </si>
  <si>
    <t>Oppdatert kommentar Ene 01 under ore assesment estimator</t>
  </si>
  <si>
    <t>oppdatert ai70 til ak70 under poeng - nå bør det fubgere ene 01 hea 03</t>
  </si>
  <si>
    <t>flyttet spørsmål ass det opp et hakk e11</t>
  </si>
  <si>
    <t>la til spørsmål wat 03 ass det for langtid bolig</t>
  </si>
  <si>
    <t>V1.6</t>
  </si>
  <si>
    <t>legg til yes no under adaptio to eu tax</t>
  </si>
  <si>
    <t>oppdater tabell poeng</t>
  </si>
  <si>
    <t>fiks kobling mot krav taksonomi</t>
  </si>
  <si>
    <t>I dag filtreres kriteriene for control of glare from sunlight og internal and external lighting levels, zoning and control ut for en rekke bygningskategorier. Dette skal kun filtreres ut for bygningskategori residential.</t>
  </si>
  <si>
    <t>rette opp under fane poeng</t>
  </si>
  <si>
    <r>
      <t xml:space="preserve">Poengoppnåelse i Hea 02 er avhengig av at prosjektene har gjennomført forkravet, som inkluderer kriterier for </t>
    </r>
    <r>
      <rPr>
        <i/>
        <sz val="11"/>
        <color theme="1"/>
        <rFont val="Calibri"/>
        <family val="2"/>
      </rPr>
      <t xml:space="preserve">Control plan and moisture measurements </t>
    </r>
    <r>
      <rPr>
        <sz val="11"/>
        <color theme="1"/>
        <rFont val="Calibri"/>
        <family val="2"/>
      </rPr>
      <t>(uten poengoppnåelse)</t>
    </r>
    <r>
      <rPr>
        <i/>
        <sz val="11"/>
        <color theme="1"/>
        <rFont val="Calibri"/>
        <family val="2"/>
      </rPr>
      <t xml:space="preserve">. </t>
    </r>
    <r>
      <rPr>
        <sz val="11"/>
        <color theme="1"/>
        <rFont val="Calibri"/>
        <family val="2"/>
      </rPr>
      <t xml:space="preserve">I Construction phase progression er det koblet feil, slik at det det er kriteriet </t>
    </r>
    <r>
      <rPr>
        <i/>
        <sz val="11"/>
        <color theme="1"/>
        <rFont val="Calibri"/>
        <family val="2"/>
      </rPr>
      <t xml:space="preserve">Construction under cover </t>
    </r>
    <r>
      <rPr>
        <sz val="11"/>
        <color theme="1"/>
        <rFont val="Calibri"/>
        <family val="2"/>
      </rPr>
      <t>som er knyttet til forkravet. Initial target og design phase har riktig kriterium.</t>
    </r>
  </si>
  <si>
    <t>fane poeng: AK281 rettet til 35 og ikke 36</t>
  </si>
  <si>
    <r>
      <t xml:space="preserve">Hvis man skal ta forkravet i HEA02, dvs </t>
    </r>
    <r>
      <rPr>
        <i/>
        <sz val="11"/>
        <color theme="1"/>
        <rFont val="Calibri"/>
        <family val="2"/>
        <scheme val="minor"/>
      </rPr>
      <t>indoor air quality plan</t>
    </r>
    <r>
      <rPr>
        <sz val="11"/>
        <color theme="1"/>
        <rFont val="Calibri"/>
        <family val="2"/>
        <scheme val="minor"/>
      </rPr>
      <t xml:space="preserve"> og kriteriene 6-8 </t>
    </r>
    <r>
      <rPr>
        <i/>
        <sz val="11"/>
        <color theme="1"/>
        <rFont val="Calibri"/>
        <family val="2"/>
        <scheme val="minor"/>
      </rPr>
      <t>Control plan and moisture measurements</t>
    </r>
    <r>
      <rPr>
        <sz val="11"/>
        <color theme="1"/>
        <rFont val="Calibri"/>
        <family val="2"/>
        <scheme val="minor"/>
      </rPr>
      <t xml:space="preserve"> i MAT05, men ikke forkravet, må man slik det er nå aktivt velge «No» i spørsmålet om forkrav, og så legge inn 1 poeng i krit 6-8. Poenget blir da ikke telt med i scoren.</t>
    </r>
  </si>
  <si>
    <t>Hvis man derimot ikke skriver noe i forkravet, men fortsatt legger inn 1 poeng i krit 6-8 blir poenget tellende med. Dette er uheldig. Vi ønsker dette endret til at poenget kun tildeles dersom det aktivt velges «yes» under forkravet i Mat 05. Slik kan man legge inn 1 under kriterium 6-8 for å vise samsvar med forkravet i Hea 02, men ikke ta poenget i Mat 05.</t>
  </si>
  <si>
    <t>Gir det mening?</t>
  </si>
  <si>
    <t>EU taxonomy requirements skal ikke filtreres ut for bygningskategori Residential. Kriteriet gjelder alle bygningskategorier</t>
  </si>
  <si>
    <t>Fane poeng, H254 - la til Yes/nop</t>
  </si>
  <si>
    <t>Waste sorting, reuse, and recycling</t>
  </si>
  <si>
    <t>endret BD, BF og BJ i rad 158 poeng</t>
  </si>
  <si>
    <t>endret rad 251 BD til BK poeng</t>
  </si>
  <si>
    <t>endret navn til ready for reuse &gt;70%”</t>
  </si>
  <si>
    <t>Mat 05 og Hea 02</t>
  </si>
  <si>
    <t>Sammenhengen mellom forkravet i Hea 02 og Mat 05 skurrer:</t>
  </si>
  <si>
    <t>endret i fane poeng: ai48:ak50 - lagt til =0 i OR</t>
  </si>
  <si>
    <t>Considerate contruction: clean and tidy building process and checklist A1 (EU taxonomy requirement: criterion 7-9)</t>
  </si>
  <si>
    <t>Endre til Considerate contruction: clean and tidy building process and checklist A1 (EU taxonomy requirement: criterion 5-6)</t>
  </si>
  <si>
    <t xml:space="preserve">I Hea 02 er det en feilkobling av poeng og sertifiseringsnivå. For emissions from construction products (EU taxonomy requirement: criterion 5) skal 0 poeng tilsvare sertifiseringsnivå Good, 1 poeng Very Good og 2 poeng Outstanding. </t>
  </si>
  <si>
    <t>lagt til clle BA 49 poeng</t>
  </si>
  <si>
    <t>assessment details</t>
  </si>
  <si>
    <t>R22 R23 endre 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</si>
</sst>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F800]dddd\,\ mmmm\ dd\,\ yyyy"/>
    <numFmt numFmtId="166" formatCode="0.0"/>
  </numFmts>
  <fonts count="96">
    <font>
      <sz val="11"/>
      <color theme="1"/>
      <name val="Calibri"/>
      <family val="2"/>
      <scheme val="minor"/>
    </font>
    <font>
      <sz val="11"/>
      <color indexed="8"/>
      <name val="Calibri"/>
      <family val="2"/>
    </font>
    <font>
      <sz val="10"/>
      <name val="Arial"/>
      <family val="2"/>
    </font>
    <font>
      <sz val="9"/>
      <color indexed="8"/>
      <name val="Calibri"/>
      <family val="2"/>
    </font>
    <font>
      <sz val="12"/>
      <color indexed="8"/>
      <name val="Calibri"/>
      <family val="2"/>
    </font>
    <font>
      <sz val="12"/>
      <name val="Calibri"/>
      <family val="2"/>
    </font>
    <font>
      <sz val="11"/>
      <color indexed="8"/>
      <name val="Calibri"/>
      <family val="2"/>
    </font>
    <font>
      <sz val="11"/>
      <color indexed="9"/>
      <name val="Calibri"/>
      <family val="2"/>
    </font>
    <font>
      <b/>
      <sz val="11"/>
      <color indexed="9"/>
      <name val="Calibri"/>
      <family val="2"/>
    </font>
    <font>
      <sz val="11"/>
      <name val="Calibri"/>
      <family val="2"/>
    </font>
    <font>
      <b/>
      <sz val="12"/>
      <color indexed="8"/>
      <name val="Calibri"/>
      <family val="2"/>
    </font>
    <font>
      <sz val="11"/>
      <color indexed="57"/>
      <name val="Calibri"/>
      <family val="2"/>
    </font>
    <font>
      <i/>
      <sz val="11"/>
      <color indexed="23"/>
      <name val="Calibri"/>
      <family val="2"/>
    </font>
    <font>
      <b/>
      <sz val="11"/>
      <color indexed="10"/>
      <name val="Calibri"/>
      <family val="2"/>
    </font>
    <font>
      <sz val="12"/>
      <color indexed="9"/>
      <name val="Calibri"/>
      <family val="2"/>
    </font>
    <font>
      <i/>
      <sz val="12"/>
      <name val="Calibri"/>
      <family val="2"/>
    </font>
    <font>
      <b/>
      <sz val="14"/>
      <color indexed="9"/>
      <name val="Calibri"/>
      <family val="2"/>
    </font>
    <font>
      <sz val="16"/>
      <color indexed="9"/>
      <name val="Calibri"/>
      <family val="2"/>
    </font>
    <font>
      <b/>
      <sz val="16"/>
      <color indexed="9"/>
      <name val="Calibri"/>
      <family val="2"/>
    </font>
    <font>
      <sz val="8"/>
      <name val="Calibri"/>
      <family val="2"/>
    </font>
    <font>
      <sz val="11"/>
      <color theme="0"/>
      <name val="Calibri"/>
      <family val="2"/>
      <scheme val="minor"/>
    </font>
    <font>
      <sz val="11"/>
      <color rgb="FFFF0000"/>
      <name val="Calibri"/>
      <family val="2"/>
      <scheme val="minor"/>
    </font>
    <font>
      <b/>
      <sz val="14"/>
      <color rgb="FF3D6864"/>
      <name val="Calibri"/>
      <family val="2"/>
      <scheme val="minor"/>
    </font>
    <font>
      <sz val="11"/>
      <name val="Calibri"/>
      <family val="2"/>
      <scheme val="minor"/>
    </font>
    <font>
      <sz val="11"/>
      <color rgb="FFFF0000"/>
      <name val="Calibri"/>
      <family val="2"/>
    </font>
    <font>
      <b/>
      <sz val="14"/>
      <color theme="0"/>
      <name val="Calibri"/>
      <family val="2"/>
      <scheme val="minor"/>
    </font>
    <font>
      <sz val="11"/>
      <color rgb="FF406564"/>
      <name val="Calibri"/>
      <family val="2"/>
      <scheme val="minor"/>
    </font>
    <font>
      <b/>
      <sz val="12"/>
      <color theme="0"/>
      <name val="Calibri"/>
      <family val="2"/>
    </font>
    <font>
      <b/>
      <sz val="16"/>
      <color theme="0"/>
      <name val="Calibri"/>
      <family val="2"/>
      <scheme val="minor"/>
    </font>
    <font>
      <b/>
      <sz val="11"/>
      <color theme="1"/>
      <name val="Calibri"/>
      <family val="2"/>
      <scheme val="minor"/>
    </font>
    <font>
      <i/>
      <sz val="11"/>
      <name val="Calibri"/>
      <family val="2"/>
    </font>
    <font>
      <vertAlign val="superscript"/>
      <sz val="11"/>
      <color indexed="9"/>
      <name val="Calibri"/>
      <family val="2"/>
    </font>
    <font>
      <sz val="11"/>
      <color theme="1"/>
      <name val="Calibri"/>
      <family val="2"/>
    </font>
    <font>
      <b/>
      <sz val="14"/>
      <color rgb="FF406564"/>
      <name val="Calibri"/>
      <family val="2"/>
      <scheme val="minor"/>
    </font>
    <font>
      <b/>
      <sz val="11"/>
      <name val="Calibri"/>
      <family val="2"/>
      <scheme val="minor"/>
    </font>
    <font>
      <i/>
      <sz val="11"/>
      <color theme="1" tint="0.499984740745262"/>
      <name val="Calibri"/>
      <family val="2"/>
      <scheme val="minor"/>
    </font>
    <font>
      <b/>
      <sz val="11"/>
      <color theme="0"/>
      <name val="Calibri"/>
      <family val="2"/>
    </font>
    <font>
      <i/>
      <sz val="11"/>
      <color indexed="9"/>
      <name val="Calibri"/>
      <family val="2"/>
    </font>
    <font>
      <b/>
      <sz val="11"/>
      <color rgb="FF406564"/>
      <name val="Calibri"/>
      <family val="2"/>
      <scheme val="minor"/>
    </font>
    <font>
      <i/>
      <sz val="11"/>
      <color theme="1"/>
      <name val="Calibri"/>
      <family val="2"/>
      <scheme val="minor"/>
    </font>
    <font>
      <i/>
      <sz val="11"/>
      <color rgb="FFFF0000"/>
      <name val="Calibri"/>
      <family val="2"/>
    </font>
    <font>
      <sz val="18"/>
      <color rgb="FF406564"/>
      <name val="Calibri"/>
      <family val="2"/>
      <scheme val="minor"/>
    </font>
    <font>
      <i/>
      <sz val="11"/>
      <color theme="1"/>
      <name val="Calibri"/>
      <family val="2"/>
    </font>
    <font>
      <b/>
      <sz val="11"/>
      <color rgb="FFFF0000"/>
      <name val="Calibri"/>
      <family val="2"/>
      <scheme val="minor"/>
    </font>
    <font>
      <b/>
      <sz val="12"/>
      <color rgb="FFFF0000"/>
      <name val="Calibri"/>
      <family val="2"/>
    </font>
    <font>
      <sz val="20"/>
      <color rgb="FFFF0000"/>
      <name val="Calibri"/>
      <family val="2"/>
      <scheme val="minor"/>
    </font>
    <font>
      <sz val="18"/>
      <color rgb="FFFF0000"/>
      <name val="Calibri"/>
      <family val="2"/>
      <scheme val="minor"/>
    </font>
    <font>
      <sz val="8"/>
      <color theme="1"/>
      <name val="Calibri"/>
      <family val="2"/>
      <scheme val="minor"/>
    </font>
    <font>
      <b/>
      <sz val="8"/>
      <color theme="1"/>
      <name val="Calibri"/>
      <family val="2"/>
      <scheme val="minor"/>
    </font>
    <font>
      <sz val="8"/>
      <name val="Calibri"/>
      <family val="2"/>
      <scheme val="minor"/>
    </font>
    <font>
      <sz val="10"/>
      <color rgb="FF006100"/>
      <name val="Calibri Light"/>
      <family val="2"/>
    </font>
    <font>
      <sz val="9"/>
      <color theme="1"/>
      <name val="Calibri"/>
      <family val="2"/>
      <scheme val="minor"/>
    </font>
    <font>
      <b/>
      <sz val="9"/>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b/>
      <sz val="12"/>
      <color indexed="9"/>
      <name val="Calibri"/>
      <family val="2"/>
    </font>
    <font>
      <sz val="12"/>
      <color rgb="FF3D6864"/>
      <name val="Calibri"/>
      <family val="2"/>
    </font>
    <font>
      <sz val="11"/>
      <color rgb="FF3D6864"/>
      <name val="Calibri"/>
      <family val="2"/>
      <scheme val="minor"/>
    </font>
    <font>
      <sz val="12"/>
      <color theme="1"/>
      <name val="Calibri"/>
      <family val="2"/>
      <scheme val="minor"/>
    </font>
    <font>
      <b/>
      <sz val="12"/>
      <color rgb="FF3D6864"/>
      <name val="Calibri"/>
      <family val="2"/>
    </font>
    <font>
      <sz val="12"/>
      <color rgb="FF406564"/>
      <name val="Calibri"/>
      <family val="2"/>
    </font>
    <font>
      <sz val="11"/>
      <name val="Calibri"/>
      <family val="2"/>
      <scheme val="minor"/>
    </font>
    <font>
      <sz val="12"/>
      <color theme="1"/>
      <name val="Calibri"/>
      <family val="2"/>
    </font>
    <font>
      <sz val="9"/>
      <color indexed="8"/>
      <name val="Calibri"/>
      <family val="2"/>
    </font>
    <font>
      <sz val="9"/>
      <color theme="1"/>
      <name val="Calibri"/>
      <family val="2"/>
    </font>
    <font>
      <sz val="8"/>
      <color indexed="8"/>
      <name val="Calibri"/>
      <family val="2"/>
    </font>
    <font>
      <b/>
      <sz val="14"/>
      <color theme="0"/>
      <name val="Calibri"/>
      <family val="2"/>
    </font>
    <font>
      <sz val="9"/>
      <color indexed="81"/>
      <name val="Tahoma"/>
      <family val="2"/>
    </font>
    <font>
      <sz val="11"/>
      <color theme="1"/>
      <name val="Calibri"/>
      <family val="2"/>
      <scheme val="minor"/>
    </font>
    <font>
      <b/>
      <sz val="16"/>
      <color theme="0"/>
      <name val="Calibri"/>
      <family val="2"/>
    </font>
    <font>
      <b/>
      <sz val="11"/>
      <color theme="0"/>
      <name val="Calibri"/>
      <family val="2"/>
      <scheme val="minor"/>
    </font>
    <font>
      <sz val="18"/>
      <color theme="0"/>
      <name val="Calibri"/>
      <family val="2"/>
      <scheme val="minor"/>
    </font>
    <font>
      <sz val="9"/>
      <name val="Calibri"/>
      <family val="2"/>
      <scheme val="minor"/>
    </font>
    <font>
      <sz val="12"/>
      <color rgb="FFFF0000"/>
      <name val="Calibri"/>
      <family val="2"/>
    </font>
    <font>
      <sz val="11"/>
      <color rgb="FF00B050"/>
      <name val="Calibri"/>
      <family val="2"/>
      <scheme val="minor"/>
    </font>
    <font>
      <sz val="11"/>
      <color rgb="FFFFFFFF"/>
      <name val="Calibri"/>
      <family val="2"/>
    </font>
    <font>
      <sz val="14"/>
      <color theme="0"/>
      <name val="Calibri"/>
      <family val="2"/>
      <scheme val="minor"/>
    </font>
    <font>
      <sz val="8"/>
      <color theme="0" tint="-0.34998626667073579"/>
      <name val="Calibri"/>
      <family val="2"/>
      <scheme val="minor"/>
    </font>
    <font>
      <b/>
      <sz val="8"/>
      <color theme="0" tint="-0.34998626667073579"/>
      <name val="Calibri"/>
      <family val="2"/>
      <scheme val="minor"/>
    </font>
    <font>
      <sz val="10"/>
      <color theme="0" tint="-0.34998626667073579"/>
      <name val="Calibri Light"/>
      <family val="2"/>
    </font>
    <font>
      <b/>
      <sz val="10"/>
      <color rgb="FF006100"/>
      <name val="Calibri Light"/>
      <family val="2"/>
    </font>
    <font>
      <b/>
      <sz val="10"/>
      <color rgb="FFFF0000"/>
      <name val="Calibri Light"/>
      <family val="2"/>
    </font>
    <font>
      <b/>
      <sz val="8"/>
      <name val="Calibri"/>
      <family val="2"/>
      <scheme val="minor"/>
    </font>
    <font>
      <sz val="11"/>
      <color theme="0" tint="-0.14999847407452621"/>
      <name val="Calibri"/>
      <family val="2"/>
      <scheme val="minor"/>
    </font>
    <font>
      <b/>
      <sz val="11"/>
      <color theme="0" tint="-0.14999847407452621"/>
      <name val="Calibri"/>
      <family val="2"/>
      <scheme val="minor"/>
    </font>
    <font>
      <b/>
      <sz val="9"/>
      <color indexed="81"/>
      <name val="Tahoma"/>
      <family val="2"/>
    </font>
    <font>
      <b/>
      <sz val="11"/>
      <color rgb="FFFFFFFF"/>
      <name val="Calibri"/>
      <family val="2"/>
    </font>
    <font>
      <b/>
      <sz val="14"/>
      <color rgb="FFFF0000"/>
      <name val="Calibri"/>
      <family val="2"/>
    </font>
    <font>
      <sz val="9"/>
      <color rgb="FF00B050"/>
      <name val="Calibri"/>
      <family val="2"/>
      <scheme val="minor"/>
    </font>
    <font>
      <b/>
      <sz val="9"/>
      <color rgb="FF00B050"/>
      <name val="Calibri"/>
      <family val="2"/>
      <scheme val="minor"/>
    </font>
    <font>
      <sz val="11"/>
      <color rgb="FF56B146"/>
      <name val="Calibri"/>
      <family val="2"/>
      <scheme val="minor"/>
    </font>
    <font>
      <b/>
      <sz val="11"/>
      <color rgb="FF000000"/>
      <name val="Calibri"/>
      <family val="2"/>
    </font>
    <font>
      <sz val="11"/>
      <color rgb="FF000000"/>
      <name val="Calibri"/>
      <family val="2"/>
    </font>
    <font>
      <i/>
      <sz val="11"/>
      <color rgb="FF000000"/>
      <name val="Calibri"/>
      <family val="2"/>
    </font>
    <font>
      <b/>
      <u/>
      <sz val="11"/>
      <color theme="1"/>
      <name val="Calibri"/>
      <family val="2"/>
    </font>
  </fonts>
  <fills count="28">
    <fill>
      <patternFill patternType="none"/>
    </fill>
    <fill>
      <patternFill patternType="gray125"/>
    </fill>
    <fill>
      <patternFill patternType="solid">
        <fgColor indexed="9"/>
        <bgColor indexed="64"/>
      </patternFill>
    </fill>
    <fill>
      <patternFill patternType="solid">
        <fgColor rgb="FF3D6864"/>
        <bgColor indexed="64"/>
      </patternFill>
    </fill>
    <fill>
      <patternFill patternType="solid">
        <fgColor theme="0"/>
        <bgColor indexed="64"/>
      </patternFill>
    </fill>
    <fill>
      <patternFill patternType="solid">
        <fgColor theme="0" tint="-0.14999847407452621"/>
        <bgColor indexed="64"/>
      </patternFill>
    </fill>
    <fill>
      <patternFill patternType="solid">
        <fgColor rgb="FF406564"/>
        <bgColor indexed="64"/>
      </patternFill>
    </fill>
    <fill>
      <patternFill patternType="solid">
        <fgColor rgb="FFFFC000"/>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56B146"/>
        <bgColor indexed="64"/>
      </patternFill>
    </fill>
    <fill>
      <patternFill patternType="solid">
        <fgColor rgb="FFFFD146"/>
        <bgColor indexed="64"/>
      </patternFill>
    </fill>
    <fill>
      <patternFill patternType="solid">
        <fgColor rgb="FFF16161"/>
        <bgColor indexed="64"/>
      </patternFill>
    </fill>
    <fill>
      <patternFill patternType="solid">
        <fgColor rgb="FFC6EFCE"/>
      </patternFill>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tint="-0.249977111117893"/>
        <bgColor indexed="64"/>
      </patternFill>
    </fill>
  </fills>
  <borders count="1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0"/>
      </right>
      <top/>
      <bottom style="thin">
        <color theme="0"/>
      </bottom>
      <diagonal/>
    </border>
    <border>
      <left/>
      <right style="medium">
        <color rgb="FF3D6864"/>
      </right>
      <top/>
      <bottom/>
      <diagonal/>
    </border>
    <border>
      <left style="thin">
        <color indexed="64"/>
      </left>
      <right style="medium">
        <color rgb="FF3D6864"/>
      </right>
      <top style="thin">
        <color indexed="64"/>
      </top>
      <bottom style="thin">
        <color indexed="64"/>
      </bottom>
      <diagonal/>
    </border>
    <border>
      <left style="thin">
        <color theme="0"/>
      </left>
      <right style="medium">
        <color rgb="FF3D6864"/>
      </right>
      <top style="thin">
        <color theme="0"/>
      </top>
      <bottom style="thin">
        <color theme="0"/>
      </bottom>
      <diagonal/>
    </border>
    <border>
      <left style="thin">
        <color theme="0"/>
      </left>
      <right style="medium">
        <color rgb="FF3D6864"/>
      </right>
      <top/>
      <bottom style="thin">
        <color theme="0"/>
      </bottom>
      <diagonal/>
    </border>
    <border>
      <left/>
      <right style="medium">
        <color rgb="FF3D6864"/>
      </right>
      <top/>
      <bottom style="thin">
        <color theme="0"/>
      </bottom>
      <diagonal/>
    </border>
    <border>
      <left style="medium">
        <color rgb="FF3D6864"/>
      </left>
      <right/>
      <top/>
      <bottom/>
      <diagonal/>
    </border>
    <border>
      <left/>
      <right style="medium">
        <color rgb="FF3D6864"/>
      </right>
      <top/>
      <bottom style="thin">
        <color indexed="64"/>
      </bottom>
      <diagonal/>
    </border>
    <border>
      <left style="medium">
        <color rgb="FF3D6864"/>
      </left>
      <right style="thin">
        <color theme="0"/>
      </right>
      <top/>
      <bottom style="thin">
        <color theme="0"/>
      </bottom>
      <diagonal/>
    </border>
    <border>
      <left style="medium">
        <color rgb="FF3D6864"/>
      </left>
      <right style="thin">
        <color indexed="64"/>
      </right>
      <top style="thin">
        <color indexed="64"/>
      </top>
      <bottom style="thin">
        <color indexed="64"/>
      </bottom>
      <diagonal/>
    </border>
    <border>
      <left style="medium">
        <color rgb="FF3D6864"/>
      </left>
      <right style="thin">
        <color theme="0"/>
      </right>
      <top style="thin">
        <color theme="0"/>
      </top>
      <bottom style="thin">
        <color theme="0"/>
      </bottom>
      <diagonal/>
    </border>
    <border>
      <left/>
      <right/>
      <top/>
      <bottom style="thin">
        <color theme="0"/>
      </bottom>
      <diagonal/>
    </border>
    <border>
      <left style="medium">
        <color rgb="FF3D6864"/>
      </left>
      <right/>
      <top/>
      <bottom style="thin">
        <color theme="0"/>
      </bottom>
      <diagonal/>
    </border>
    <border>
      <left style="medium">
        <color rgb="FF3D6864"/>
      </left>
      <right/>
      <top style="thin">
        <color theme="0"/>
      </top>
      <bottom style="thin">
        <color theme="0"/>
      </bottom>
      <diagonal/>
    </border>
    <border>
      <left style="medium">
        <color rgb="FF3D6864"/>
      </left>
      <right style="medium">
        <color rgb="FF3D6864"/>
      </right>
      <top/>
      <bottom style="thin">
        <color indexed="64"/>
      </bottom>
      <diagonal/>
    </border>
    <border>
      <left style="medium">
        <color rgb="FF3D6864"/>
      </left>
      <right style="medium">
        <color rgb="FF3D6864"/>
      </right>
      <top/>
      <bottom style="thin">
        <color theme="0"/>
      </bottom>
      <diagonal/>
    </border>
    <border>
      <left style="medium">
        <color rgb="FF3D6864"/>
      </left>
      <right style="medium">
        <color rgb="FF3D6864"/>
      </right>
      <top style="thin">
        <color indexed="64"/>
      </top>
      <bottom style="thin">
        <color indexed="64"/>
      </bottom>
      <diagonal/>
    </border>
    <border>
      <left style="medium">
        <color rgb="FF3D68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theme="0"/>
      </left>
      <right style="thin">
        <color theme="0"/>
      </right>
      <top style="thin">
        <color theme="0"/>
      </top>
      <bottom style="medium">
        <color rgb="FF3D6864"/>
      </bottom>
      <diagonal/>
    </border>
    <border>
      <left style="thin">
        <color theme="0"/>
      </left>
      <right style="medium">
        <color rgb="FF3D6864"/>
      </right>
      <top style="thin">
        <color theme="0"/>
      </top>
      <bottom style="medium">
        <color rgb="FF3D6864"/>
      </bottom>
      <diagonal/>
    </border>
    <border>
      <left/>
      <right style="thin">
        <color theme="0"/>
      </right>
      <top style="thin">
        <color theme="0"/>
      </top>
      <bottom style="medium">
        <color rgb="FF3D6864"/>
      </bottom>
      <diagonal/>
    </border>
    <border>
      <left style="thin">
        <color theme="0"/>
      </left>
      <right/>
      <top style="thin">
        <color theme="0"/>
      </top>
      <bottom style="medium">
        <color rgb="FF3D6864"/>
      </bottom>
      <diagonal/>
    </border>
    <border>
      <left/>
      <right style="medium">
        <color rgb="FF3D6864"/>
      </right>
      <top style="thin">
        <color theme="0"/>
      </top>
      <bottom style="medium">
        <color rgb="FF3D6864"/>
      </bottom>
      <diagonal/>
    </border>
    <border>
      <left/>
      <right/>
      <top style="thin">
        <color theme="0"/>
      </top>
      <bottom style="medium">
        <color rgb="FF3D6864"/>
      </bottom>
      <diagonal/>
    </border>
    <border>
      <left/>
      <right/>
      <top style="thin">
        <color indexed="64"/>
      </top>
      <bottom style="medium">
        <color rgb="FF3D6864"/>
      </bottom>
      <diagonal/>
    </border>
    <border>
      <left/>
      <right style="medium">
        <color rgb="FF3D6864"/>
      </right>
      <top style="thin">
        <color indexed="64"/>
      </top>
      <bottom style="medium">
        <color rgb="FF3D6864"/>
      </bottom>
      <diagonal/>
    </border>
    <border>
      <left style="medium">
        <color rgb="FF3D6864"/>
      </left>
      <right style="thin">
        <color rgb="FF3D6864"/>
      </right>
      <top/>
      <bottom/>
      <diagonal/>
    </border>
    <border>
      <left style="thin">
        <color rgb="FF3D6864"/>
      </left>
      <right style="thin">
        <color rgb="FF3D6864"/>
      </right>
      <top/>
      <bottom/>
      <diagonal/>
    </border>
    <border>
      <left/>
      <right style="thin">
        <color theme="0"/>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right/>
      <top style="medium">
        <color indexed="64"/>
      </top>
      <bottom style="thin">
        <color indexed="64"/>
      </bottom>
      <diagonal/>
    </border>
    <border>
      <left/>
      <right style="thin">
        <color indexed="64"/>
      </right>
      <top style="thin">
        <color indexed="64"/>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theme="0"/>
      </bottom>
      <diagonal/>
    </border>
    <border>
      <left style="thin">
        <color rgb="FF3D6864"/>
      </left>
      <right style="thin">
        <color rgb="FF3D6864"/>
      </right>
      <top/>
      <bottom style="thin">
        <color indexed="64"/>
      </bottom>
      <diagonal/>
    </border>
    <border>
      <left style="thin">
        <color rgb="FF3D6864"/>
      </left>
      <right style="medium">
        <color rgb="FF3D6864"/>
      </right>
      <top/>
      <bottom/>
      <diagonal/>
    </border>
    <border>
      <left style="thin">
        <color theme="0"/>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medium">
        <color rgb="FF3D68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style="thin">
        <color theme="0"/>
      </top>
      <bottom/>
      <diagonal/>
    </border>
    <border>
      <left/>
      <right style="thin">
        <color rgb="FF3D6864"/>
      </right>
      <top/>
      <bottom/>
      <diagonal/>
    </border>
    <border>
      <left style="thin">
        <color rgb="FF3D6864"/>
      </left>
      <right style="thin">
        <color indexed="64"/>
      </right>
      <top/>
      <bottom/>
      <diagonal/>
    </border>
    <border>
      <left style="thin">
        <color rgb="FF3D6864"/>
      </left>
      <right/>
      <top/>
      <bottom/>
      <diagonal/>
    </border>
    <border>
      <left style="thin">
        <color theme="0"/>
      </left>
      <right/>
      <top style="thin">
        <color theme="0" tint="-0.14996795556505021"/>
      </top>
      <bottom style="thin">
        <color indexed="64"/>
      </bottom>
      <diagonal/>
    </border>
    <border>
      <left style="medium">
        <color rgb="FF3D6864"/>
      </left>
      <right/>
      <top style="thin">
        <color indexed="64"/>
      </top>
      <bottom style="medium">
        <color rgb="FF3D68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medium">
        <color rgb="FF3D6864"/>
      </left>
      <right style="medium">
        <color rgb="FF3D6864"/>
      </right>
      <top/>
      <bottom/>
      <diagonal/>
    </border>
    <border>
      <left style="medium">
        <color rgb="FF3D6864"/>
      </left>
      <right style="medium">
        <color rgb="FF3D6864"/>
      </right>
      <top style="thin">
        <color indexed="64"/>
      </top>
      <bottom style="medium">
        <color rgb="FF3D6864"/>
      </bottom>
      <diagonal/>
    </border>
    <border>
      <left style="medium">
        <color rgb="FF3D6864"/>
      </left>
      <right style="medium">
        <color rgb="FF3D6864"/>
      </right>
      <top style="thin">
        <color indexed="64"/>
      </top>
      <bottom/>
      <diagonal/>
    </border>
    <border>
      <left style="thin">
        <color theme="0"/>
      </left>
      <right style="thin">
        <color theme="0"/>
      </right>
      <top style="thin">
        <color theme="0"/>
      </top>
      <bottom/>
      <diagonal/>
    </border>
    <border>
      <left style="thin">
        <color theme="0"/>
      </left>
      <right style="medium">
        <color rgb="FF3D6864"/>
      </right>
      <top style="thin">
        <color theme="0"/>
      </top>
      <bottom/>
      <diagonal/>
    </border>
    <border>
      <left style="thin">
        <color indexed="64"/>
      </left>
      <right style="medium">
        <color rgb="FF3D6864"/>
      </right>
      <top style="thin">
        <color theme="0"/>
      </top>
      <bottom style="thin">
        <color indexed="64"/>
      </bottom>
      <diagonal/>
    </border>
    <border>
      <left style="medium">
        <color rgb="FF3D6864"/>
      </left>
      <right style="thin">
        <color theme="0"/>
      </right>
      <top style="thin">
        <color indexed="64"/>
      </top>
      <bottom style="thin">
        <color indexed="64"/>
      </bottom>
      <diagonal/>
    </border>
    <border>
      <left style="medium">
        <color rgb="FF3D6864"/>
      </left>
      <right style="thin">
        <color theme="0"/>
      </right>
      <top style="thin">
        <color theme="0"/>
      </top>
      <bottom style="thin">
        <color indexed="64"/>
      </bottom>
      <diagonal/>
    </border>
    <border>
      <left style="medium">
        <color rgb="FF3D6864"/>
      </left>
      <right style="thin">
        <color rgb="FF3D6864"/>
      </right>
      <top style="thin">
        <color theme="0"/>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bottom/>
      <diagonal/>
    </border>
    <border>
      <left style="thin">
        <color indexed="64"/>
      </left>
      <right/>
      <top style="medium">
        <color indexed="64"/>
      </top>
      <bottom/>
      <diagonal/>
    </border>
    <border>
      <left/>
      <right style="thin">
        <color theme="0"/>
      </right>
      <top style="thin">
        <color indexed="64"/>
      </top>
      <bottom style="thin">
        <color theme="0"/>
      </bottom>
      <diagonal/>
    </border>
    <border>
      <left/>
      <right/>
      <top/>
      <bottom style="thin">
        <color theme="0" tint="-0.249977111117893"/>
      </bottom>
      <diagonal/>
    </border>
    <border>
      <left style="medium">
        <color indexed="64"/>
      </left>
      <right style="medium">
        <color indexed="64"/>
      </right>
      <top style="thin">
        <color indexed="64"/>
      </top>
      <bottom/>
      <diagonal/>
    </border>
    <border>
      <left style="thin">
        <color indexed="64"/>
      </left>
      <right style="medium">
        <color rgb="FF3D6864"/>
      </right>
      <top/>
      <bottom style="thin">
        <color indexed="64"/>
      </bottom>
      <diagonal/>
    </border>
    <border>
      <left/>
      <right style="thin">
        <color theme="1"/>
      </right>
      <top style="thin">
        <color indexed="64"/>
      </top>
      <bottom style="thin">
        <color theme="0"/>
      </bottom>
      <diagonal/>
    </border>
    <border>
      <left/>
      <right style="thin">
        <color theme="1"/>
      </right>
      <top style="thin">
        <color theme="0"/>
      </top>
      <bottom style="thin">
        <color theme="0"/>
      </bottom>
      <diagonal/>
    </border>
    <border>
      <left/>
      <right/>
      <top style="thin">
        <color theme="0"/>
      </top>
      <bottom/>
      <diagonal/>
    </border>
    <border>
      <left/>
      <right style="thin">
        <color indexed="64"/>
      </right>
      <top style="thin">
        <color theme="0"/>
      </top>
      <bottom/>
      <diagonal/>
    </border>
    <border>
      <left/>
      <right style="thin">
        <color theme="0"/>
      </right>
      <top style="thin">
        <color theme="0"/>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rgb="FF3D6864"/>
      </left>
      <right/>
      <top style="thin">
        <color indexed="64"/>
      </top>
      <bottom style="thin">
        <color indexed="64"/>
      </bottom>
      <diagonal/>
    </border>
  </borders>
  <cellStyleXfs count="5">
    <xf numFmtId="0" fontId="0" fillId="0" borderId="0"/>
    <xf numFmtId="0" fontId="2" fillId="0" borderId="0"/>
    <xf numFmtId="9" fontId="6" fillId="0" borderId="0" applyFont="0" applyFill="0" applyBorder="0" applyAlignment="0" applyProtection="0"/>
    <xf numFmtId="0" fontId="50" fillId="17" borderId="0" applyNumberFormat="0" applyBorder="0" applyAlignment="0" applyProtection="0"/>
    <xf numFmtId="9" fontId="1" fillId="0" borderId="0" applyFont="0" applyFill="0" applyBorder="0" applyAlignment="0" applyProtection="0"/>
  </cellStyleXfs>
  <cellXfs count="1188">
    <xf numFmtId="0" fontId="0" fillId="0" borderId="0" xfId="0"/>
    <xf numFmtId="0" fontId="0" fillId="2" borderId="0" xfId="0" applyFill="1" applyProtection="1">
      <protection hidden="1"/>
    </xf>
    <xf numFmtId="0" fontId="9" fillId="2" borderId="0" xfId="0" applyFont="1" applyFill="1" applyProtection="1">
      <protection hidden="1"/>
    </xf>
    <xf numFmtId="0" fontId="11" fillId="2" borderId="0" xfId="0" applyFont="1" applyFill="1" applyAlignment="1" applyProtection="1">
      <alignment horizontal="center" wrapText="1"/>
      <protection hidden="1"/>
    </xf>
    <xf numFmtId="0" fontId="0" fillId="2" borderId="1" xfId="0" applyFill="1" applyBorder="1" applyProtection="1">
      <protection hidden="1"/>
    </xf>
    <xf numFmtId="0" fontId="0" fillId="2" borderId="0" xfId="0" applyFill="1" applyAlignment="1" applyProtection="1">
      <alignment wrapText="1"/>
      <protection hidden="1"/>
    </xf>
    <xf numFmtId="0" fontId="9" fillId="2" borderId="0" xfId="0" applyFont="1" applyFill="1" applyAlignment="1" applyProtection="1">
      <alignment vertical="top" wrapText="1"/>
      <protection hidden="1"/>
    </xf>
    <xf numFmtId="0" fontId="0" fillId="2" borderId="0" xfId="0" applyFill="1" applyAlignment="1" applyProtection="1">
      <alignment horizontal="left" vertical="top" wrapText="1"/>
      <protection hidden="1"/>
    </xf>
    <xf numFmtId="0" fontId="10" fillId="2" borderId="0" xfId="0" applyFont="1" applyFill="1" applyAlignment="1" applyProtection="1">
      <alignment horizontal="left" vertical="top" wrapText="1"/>
      <protection hidden="1"/>
    </xf>
    <xf numFmtId="0" fontId="15" fillId="2" borderId="0" xfId="0" applyFont="1" applyFill="1" applyProtection="1">
      <protection hidden="1"/>
    </xf>
    <xf numFmtId="0" fontId="15" fillId="2" borderId="0" xfId="0" applyFont="1" applyFill="1" applyAlignment="1" applyProtection="1">
      <alignment vertical="top" wrapText="1"/>
      <protection hidden="1"/>
    </xf>
    <xf numFmtId="0" fontId="15" fillId="2" borderId="0" xfId="0" applyFont="1" applyFill="1" applyAlignment="1" applyProtection="1">
      <alignment horizontal="left" vertical="top" wrapText="1"/>
      <protection hidden="1"/>
    </xf>
    <xf numFmtId="0" fontId="0" fillId="0" borderId="0" xfId="0" applyProtection="1">
      <protection hidden="1"/>
    </xf>
    <xf numFmtId="0" fontId="0" fillId="4" borderId="0" xfId="0" applyFill="1" applyProtection="1">
      <protection hidden="1"/>
    </xf>
    <xf numFmtId="0" fontId="21" fillId="2" borderId="0" xfId="0" applyFont="1" applyFill="1" applyProtection="1">
      <protection hidden="1"/>
    </xf>
    <xf numFmtId="0" fontId="1" fillId="4" borderId="0" xfId="0" applyFont="1" applyFill="1" applyProtection="1">
      <protection hidden="1"/>
    </xf>
    <xf numFmtId="0" fontId="4" fillId="2" borderId="0" xfId="0" applyFont="1" applyFill="1" applyAlignment="1" applyProtection="1">
      <alignment vertical="top" wrapText="1"/>
      <protection hidden="1"/>
    </xf>
    <xf numFmtId="0" fontId="0" fillId="4" borderId="0" xfId="0" applyFill="1"/>
    <xf numFmtId="0" fontId="9" fillId="8" borderId="2" xfId="0" applyFont="1" applyFill="1" applyBorder="1" applyProtection="1">
      <protection hidden="1"/>
    </xf>
    <xf numFmtId="0" fontId="20" fillId="4" borderId="0" xfId="0" applyFont="1" applyFill="1" applyAlignment="1" applyProtection="1">
      <alignment horizontal="right"/>
      <protection hidden="1"/>
    </xf>
    <xf numFmtId="0" fontId="20" fillId="4" borderId="0" xfId="0" applyFont="1" applyFill="1" applyAlignment="1" applyProtection="1">
      <alignment horizontal="left"/>
      <protection hidden="1"/>
    </xf>
    <xf numFmtId="0" fontId="0" fillId="4" borderId="0" xfId="0" applyFill="1" applyAlignment="1" applyProtection="1">
      <alignment horizontal="left"/>
      <protection hidden="1"/>
    </xf>
    <xf numFmtId="0" fontId="14" fillId="4" borderId="0" xfId="0" applyFont="1" applyFill="1" applyAlignment="1" applyProtection="1">
      <alignment horizontal="right" vertical="center"/>
      <protection hidden="1"/>
    </xf>
    <xf numFmtId="0" fontId="0" fillId="4" borderId="0" xfId="0" applyFill="1" applyAlignment="1" applyProtection="1">
      <alignment horizontal="left" vertical="top" wrapText="1"/>
      <protection hidden="1"/>
    </xf>
    <xf numFmtId="0" fontId="9" fillId="4" borderId="0" xfId="0" applyFont="1" applyFill="1" applyAlignment="1" applyProtection="1">
      <alignment horizontal="left" vertical="center" wrapText="1"/>
      <protection hidden="1"/>
    </xf>
    <xf numFmtId="0" fontId="30" fillId="2" borderId="0" xfId="0" applyFont="1" applyFill="1" applyProtection="1">
      <protection hidden="1"/>
    </xf>
    <xf numFmtId="0" fontId="0" fillId="2" borderId="0" xfId="0" applyFill="1" applyAlignment="1" applyProtection="1">
      <alignment vertical="top"/>
      <protection hidden="1"/>
    </xf>
    <xf numFmtId="0" fontId="30" fillId="2" borderId="0" xfId="0" applyFont="1" applyFill="1" applyAlignment="1" applyProtection="1">
      <alignment vertical="top" wrapText="1"/>
      <protection hidden="1"/>
    </xf>
    <xf numFmtId="0" fontId="20" fillId="6" borderId="34" xfId="0" applyFont="1" applyFill="1" applyBorder="1" applyProtection="1">
      <protection hidden="1"/>
    </xf>
    <xf numFmtId="0" fontId="23" fillId="4" borderId="7" xfId="0" applyFont="1" applyFill="1" applyBorder="1" applyAlignment="1" applyProtection="1">
      <alignment horizontal="center" vertical="center"/>
      <protection locked="0"/>
    </xf>
    <xf numFmtId="0" fontId="0" fillId="5" borderId="0" xfId="0" applyFill="1" applyAlignment="1" applyProtection="1">
      <alignment horizontal="center" vertical="center"/>
      <protection hidden="1"/>
    </xf>
    <xf numFmtId="0" fontId="0" fillId="2" borderId="0" xfId="0" applyFill="1" applyAlignment="1" applyProtection="1">
      <alignment horizontal="left"/>
      <protection hidden="1"/>
    </xf>
    <xf numFmtId="0" fontId="0" fillId="8" borderId="0" xfId="0" applyFill="1" applyProtection="1">
      <protection hidden="1"/>
    </xf>
    <xf numFmtId="0" fontId="7" fillId="3" borderId="27" xfId="0" applyFont="1" applyFill="1" applyBorder="1" applyAlignment="1" applyProtection="1">
      <alignment horizontal="right" vertical="center"/>
      <protection hidden="1"/>
    </xf>
    <xf numFmtId="0" fontId="7" fillId="3" borderId="27" xfId="0" applyFont="1" applyFill="1" applyBorder="1" applyAlignment="1" applyProtection="1">
      <alignment horizontal="right" vertical="center" wrapText="1"/>
      <protection hidden="1"/>
    </xf>
    <xf numFmtId="0" fontId="0" fillId="0" borderId="2" xfId="0" applyBorder="1"/>
    <xf numFmtId="0" fontId="0" fillId="12" borderId="2" xfId="0" applyFill="1" applyBorder="1"/>
    <xf numFmtId="0" fontId="0" fillId="0" borderId="5" xfId="0" applyBorder="1"/>
    <xf numFmtId="0" fontId="0" fillId="12" borderId="5" xfId="0" applyFill="1" applyBorder="1"/>
    <xf numFmtId="0" fontId="20" fillId="10" borderId="64" xfId="0" applyFont="1" applyFill="1" applyBorder="1"/>
    <xf numFmtId="0" fontId="0" fillId="0" borderId="3" xfId="0" applyBorder="1"/>
    <xf numFmtId="0" fontId="0" fillId="12" borderId="3" xfId="0" applyFill="1" applyBorder="1"/>
    <xf numFmtId="0" fontId="29" fillId="13" borderId="64" xfId="0" applyFont="1" applyFill="1" applyBorder="1"/>
    <xf numFmtId="0" fontId="20" fillId="10" borderId="52" xfId="0" applyFont="1" applyFill="1" applyBorder="1" applyAlignment="1" applyProtection="1">
      <alignment wrapText="1"/>
      <protection hidden="1"/>
    </xf>
    <xf numFmtId="0" fontId="0" fillId="8" borderId="63" xfId="0" applyFill="1" applyBorder="1"/>
    <xf numFmtId="0" fontId="20" fillId="10" borderId="10" xfId="0" applyFont="1" applyFill="1" applyBorder="1" applyAlignment="1" applyProtection="1">
      <alignment wrapText="1"/>
      <protection hidden="1"/>
    </xf>
    <xf numFmtId="0" fontId="20" fillId="6" borderId="0" xfId="0" applyFont="1" applyFill="1" applyProtection="1">
      <protection hidden="1"/>
    </xf>
    <xf numFmtId="0" fontId="0" fillId="8" borderId="64" xfId="0" applyFill="1" applyBorder="1"/>
    <xf numFmtId="0" fontId="1" fillId="5" borderId="52" xfId="0" applyFont="1" applyFill="1" applyBorder="1" applyAlignment="1" applyProtection="1">
      <alignment vertical="center"/>
      <protection hidden="1"/>
    </xf>
    <xf numFmtId="0" fontId="1" fillId="5" borderId="65" xfId="0" applyFont="1" applyFill="1" applyBorder="1" applyAlignment="1" applyProtection="1">
      <alignment horizontal="left" vertical="center"/>
      <protection hidden="1"/>
    </xf>
    <xf numFmtId="0" fontId="20" fillId="2" borderId="0" xfId="0" applyFont="1" applyFill="1" applyProtection="1">
      <protection hidden="1"/>
    </xf>
    <xf numFmtId="0" fontId="20" fillId="10" borderId="84" xfId="0" applyFont="1" applyFill="1" applyBorder="1"/>
    <xf numFmtId="0" fontId="0" fillId="8" borderId="65" xfId="0" applyFill="1" applyBorder="1"/>
    <xf numFmtId="0" fontId="0" fillId="8" borderId="2" xfId="0" applyFill="1" applyBorder="1"/>
    <xf numFmtId="0" fontId="0" fillId="8" borderId="0" xfId="0" applyFill="1"/>
    <xf numFmtId="0" fontId="0" fillId="0" borderId="15" xfId="0" applyBorder="1"/>
    <xf numFmtId="0" fontId="0" fillId="2" borderId="2" xfId="0" applyFill="1" applyBorder="1" applyProtection="1">
      <protection hidden="1"/>
    </xf>
    <xf numFmtId="0" fontId="0" fillId="3" borderId="0" xfId="0" applyFill="1" applyAlignment="1" applyProtection="1">
      <alignment horizontal="center"/>
      <protection hidden="1"/>
    </xf>
    <xf numFmtId="0" fontId="0" fillId="3" borderId="40" xfId="0" applyFill="1" applyBorder="1" applyAlignment="1" applyProtection="1">
      <alignment horizontal="center"/>
      <protection hidden="1"/>
    </xf>
    <xf numFmtId="0" fontId="0" fillId="2" borderId="55" xfId="0" applyFill="1" applyBorder="1" applyProtection="1">
      <protection hidden="1"/>
    </xf>
    <xf numFmtId="0" fontId="0" fillId="2" borderId="57" xfId="0" applyFill="1" applyBorder="1" applyProtection="1">
      <protection hidden="1"/>
    </xf>
    <xf numFmtId="0" fontId="0" fillId="2" borderId="58" xfId="0" applyFill="1" applyBorder="1" applyProtection="1">
      <protection hidden="1"/>
    </xf>
    <xf numFmtId="0" fontId="0" fillId="2" borderId="60" xfId="0" applyFill="1" applyBorder="1" applyProtection="1">
      <protection hidden="1"/>
    </xf>
    <xf numFmtId="0" fontId="20" fillId="6" borderId="98" xfId="0" applyFont="1" applyFill="1" applyBorder="1" applyProtection="1">
      <protection hidden="1"/>
    </xf>
    <xf numFmtId="0" fontId="23" fillId="5" borderId="34" xfId="0" applyFont="1" applyFill="1" applyBorder="1" applyAlignment="1" applyProtection="1">
      <alignment horizontal="center" vertical="center"/>
      <protection hidden="1"/>
    </xf>
    <xf numFmtId="0" fontId="3" fillId="4" borderId="2" xfId="0" applyFont="1" applyFill="1" applyBorder="1" applyProtection="1">
      <protection hidden="1"/>
    </xf>
    <xf numFmtId="0" fontId="23" fillId="4" borderId="2" xfId="0" applyFont="1" applyFill="1" applyBorder="1" applyAlignment="1" applyProtection="1">
      <alignment horizontal="left" vertical="center" wrapText="1"/>
      <protection locked="0"/>
    </xf>
    <xf numFmtId="0" fontId="23" fillId="4" borderId="4" xfId="0" applyFont="1" applyFill="1" applyBorder="1" applyAlignment="1" applyProtection="1">
      <alignment horizontal="left" vertical="center" wrapText="1"/>
      <protection locked="0"/>
    </xf>
    <xf numFmtId="0" fontId="0" fillId="4" borderId="0" xfId="0" applyFill="1" applyAlignment="1">
      <alignment wrapText="1"/>
    </xf>
    <xf numFmtId="0" fontId="23" fillId="4" borderId="43" xfId="0" applyFont="1" applyFill="1" applyBorder="1" applyAlignment="1" applyProtection="1">
      <alignment horizontal="center" vertical="center" wrapText="1"/>
      <protection locked="0"/>
    </xf>
    <xf numFmtId="0" fontId="1" fillId="5" borderId="54" xfId="0" applyFont="1" applyFill="1" applyBorder="1" applyAlignment="1" applyProtection="1">
      <alignment vertical="center"/>
      <protection hidden="1"/>
    </xf>
    <xf numFmtId="0" fontId="1" fillId="5" borderId="55" xfId="0" applyFont="1" applyFill="1" applyBorder="1" applyAlignment="1" applyProtection="1">
      <alignment vertical="center"/>
      <protection hidden="1"/>
    </xf>
    <xf numFmtId="0" fontId="1" fillId="5" borderId="59" xfId="0" applyFont="1" applyFill="1" applyBorder="1" applyAlignment="1" applyProtection="1">
      <alignment horizontal="left" vertical="center"/>
      <protection hidden="1"/>
    </xf>
    <xf numFmtId="0" fontId="1" fillId="5" borderId="60" xfId="0" applyFont="1" applyFill="1" applyBorder="1" applyAlignment="1" applyProtection="1">
      <alignment vertical="center"/>
      <protection hidden="1"/>
    </xf>
    <xf numFmtId="10" fontId="9" fillId="5" borderId="99" xfId="2" applyNumberFormat="1" applyFont="1" applyFill="1" applyBorder="1" applyAlignment="1" applyProtection="1">
      <alignment horizontal="left" vertical="center"/>
      <protection hidden="1"/>
    </xf>
    <xf numFmtId="0" fontId="29" fillId="0" borderId="0" xfId="0" applyFont="1" applyProtection="1">
      <protection hidden="1"/>
    </xf>
    <xf numFmtId="0" fontId="37" fillId="3" borderId="101" xfId="0" applyFont="1" applyFill="1" applyBorder="1" applyAlignment="1" applyProtection="1">
      <alignment horizontal="left" vertical="center"/>
      <protection hidden="1"/>
    </xf>
    <xf numFmtId="0" fontId="0" fillId="8" borderId="2" xfId="0" applyFill="1" applyBorder="1" applyProtection="1">
      <protection hidden="1"/>
    </xf>
    <xf numFmtId="0" fontId="12" fillId="0" borderId="0" xfId="0" applyFont="1" applyAlignment="1" applyProtection="1">
      <alignment vertical="center"/>
      <protection hidden="1"/>
    </xf>
    <xf numFmtId="0" fontId="0" fillId="2" borderId="0" xfId="0" applyFill="1"/>
    <xf numFmtId="0" fontId="27" fillId="2" borderId="0" xfId="0" applyFont="1" applyFill="1" applyAlignment="1">
      <alignment horizontal="left" vertical="center"/>
    </xf>
    <xf numFmtId="0" fontId="36" fillId="2" borderId="0" xfId="0" applyFont="1" applyFill="1" applyAlignment="1">
      <alignment horizontal="left" vertical="center"/>
    </xf>
    <xf numFmtId="0" fontId="7" fillId="3" borderId="34" xfId="0" applyFont="1" applyFill="1" applyBorder="1" applyAlignment="1">
      <alignment horizontal="left" vertical="center"/>
    </xf>
    <xf numFmtId="0" fontId="7" fillId="3" borderId="42" xfId="0" applyFont="1" applyFill="1" applyBorder="1" applyAlignment="1">
      <alignment horizontal="left" vertical="center"/>
    </xf>
    <xf numFmtId="0" fontId="7" fillId="3" borderId="31" xfId="0" applyFont="1" applyFill="1" applyBorder="1" applyAlignment="1">
      <alignment horizontal="left" vertical="center"/>
    </xf>
    <xf numFmtId="0" fontId="1" fillId="5" borderId="31" xfId="0" applyFont="1" applyFill="1" applyBorder="1" applyAlignment="1">
      <alignment horizontal="left" vertical="center"/>
    </xf>
    <xf numFmtId="0" fontId="1" fillId="5" borderId="27" xfId="0" applyFont="1" applyFill="1" applyBorder="1" applyAlignment="1">
      <alignment horizontal="left" vertical="center"/>
    </xf>
    <xf numFmtId="0" fontId="7" fillId="3" borderId="44" xfId="0" applyFont="1" applyFill="1" applyBorder="1" applyAlignment="1">
      <alignment horizontal="left" vertical="center"/>
    </xf>
    <xf numFmtId="0" fontId="7" fillId="3" borderId="26" xfId="0" applyFont="1" applyFill="1" applyBorder="1" applyAlignment="1">
      <alignment horizontal="left" vertical="center"/>
    </xf>
    <xf numFmtId="0" fontId="7" fillId="3" borderId="28" xfId="0" applyFont="1" applyFill="1" applyBorder="1" applyAlignment="1">
      <alignment horizontal="left" vertical="center"/>
    </xf>
    <xf numFmtId="0" fontId="1" fillId="5" borderId="26" xfId="0" applyFont="1" applyFill="1" applyBorder="1" applyAlignment="1">
      <alignment vertical="center"/>
    </xf>
    <xf numFmtId="0" fontId="35" fillId="2" borderId="40" xfId="0" applyFont="1" applyFill="1" applyBorder="1"/>
    <xf numFmtId="0" fontId="38" fillId="2" borderId="96" xfId="0" applyFont="1" applyFill="1" applyBorder="1" applyAlignment="1">
      <alignment horizontal="left" vertical="top" wrapText="1"/>
    </xf>
    <xf numFmtId="0" fontId="26" fillId="2" borderId="0" xfId="0" applyFont="1" applyFill="1" applyAlignment="1">
      <alignment horizontal="left" wrapText="1"/>
    </xf>
    <xf numFmtId="0" fontId="26" fillId="2" borderId="97" xfId="0" applyFont="1" applyFill="1" applyBorder="1" applyAlignment="1">
      <alignment horizontal="left" wrapText="1"/>
    </xf>
    <xf numFmtId="0" fontId="26" fillId="2" borderId="97" xfId="0" applyFont="1" applyFill="1" applyBorder="1" applyAlignment="1">
      <alignment vertical="top" wrapText="1"/>
    </xf>
    <xf numFmtId="0" fontId="26" fillId="2" borderId="35" xfId="0" applyFont="1" applyFill="1" applyBorder="1" applyAlignment="1">
      <alignment horizontal="center" vertical="top" wrapText="1"/>
    </xf>
    <xf numFmtId="0" fontId="0" fillId="4" borderId="0" xfId="0" applyFill="1" applyAlignment="1">
      <alignment vertical="top" wrapText="1"/>
    </xf>
    <xf numFmtId="0" fontId="23" fillId="5" borderId="37" xfId="0" applyFont="1" applyFill="1" applyBorder="1" applyAlignment="1">
      <alignment horizontal="center" vertical="center"/>
    </xf>
    <xf numFmtId="164" fontId="23" fillId="5" borderId="24" xfId="0" applyNumberFormat="1" applyFont="1" applyFill="1" applyBorder="1" applyAlignment="1">
      <alignment horizontal="center" vertical="center"/>
    </xf>
    <xf numFmtId="0" fontId="0" fillId="5" borderId="24" xfId="0" applyFill="1" applyBorder="1" applyAlignment="1">
      <alignment vertical="center"/>
    </xf>
    <xf numFmtId="0" fontId="34" fillId="5" borderId="89" xfId="0" applyFont="1" applyFill="1" applyBorder="1" applyAlignment="1">
      <alignment horizontal="center" vertical="center"/>
    </xf>
    <xf numFmtId="164" fontId="34" fillId="5" borderId="88" xfId="0" applyNumberFormat="1" applyFont="1" applyFill="1" applyBorder="1" applyAlignment="1">
      <alignment horizontal="center" vertical="center"/>
    </xf>
    <xf numFmtId="0" fontId="0" fillId="5" borderId="26" xfId="0" applyFill="1" applyBorder="1" applyAlignment="1">
      <alignment horizontal="left" vertical="center"/>
    </xf>
    <xf numFmtId="0" fontId="23" fillId="5" borderId="26" xfId="0" applyFont="1" applyFill="1" applyBorder="1" applyAlignment="1">
      <alignment vertical="center"/>
    </xf>
    <xf numFmtId="0" fontId="0" fillId="5" borderId="26" xfId="0" applyFill="1" applyBorder="1" applyAlignment="1">
      <alignment vertical="center"/>
    </xf>
    <xf numFmtId="0" fontId="34" fillId="5" borderId="90" xfId="0" applyFont="1" applyFill="1" applyBorder="1" applyAlignment="1" applyProtection="1">
      <alignment horizontal="center" vertical="center"/>
      <protection locked="0"/>
    </xf>
    <xf numFmtId="0" fontId="0" fillId="4" borderId="0" xfId="0" applyFill="1" applyProtection="1">
      <protection locked="0"/>
    </xf>
    <xf numFmtId="0" fontId="0" fillId="4" borderId="0" xfId="0" applyFill="1" applyAlignment="1" applyProtection="1">
      <alignment wrapText="1"/>
      <protection locked="0"/>
    </xf>
    <xf numFmtId="0" fontId="23" fillId="5" borderId="93" xfId="0" applyFont="1" applyFill="1" applyBorder="1" applyAlignment="1" applyProtection="1">
      <alignment horizontal="left" vertical="center" wrapText="1"/>
      <protection locked="0"/>
    </xf>
    <xf numFmtId="0" fontId="23" fillId="5" borderId="94" xfId="0" applyFont="1" applyFill="1" applyBorder="1" applyAlignment="1" applyProtection="1">
      <alignment horizontal="center" vertical="center" wrapText="1"/>
      <protection locked="0"/>
    </xf>
    <xf numFmtId="0" fontId="23" fillId="5" borderId="93" xfId="0" applyFont="1" applyFill="1" applyBorder="1" applyAlignment="1" applyProtection="1">
      <alignment horizontal="center" vertical="center" wrapText="1"/>
      <protection locked="0"/>
    </xf>
    <xf numFmtId="0" fontId="29" fillId="0" borderId="0" xfId="0" applyFont="1"/>
    <xf numFmtId="0" fontId="20" fillId="10" borderId="52" xfId="0" applyFont="1" applyFill="1" applyBorder="1"/>
    <xf numFmtId="1" fontId="0" fillId="0" borderId="0" xfId="0" applyNumberFormat="1"/>
    <xf numFmtId="0" fontId="29" fillId="9" borderId="52" xfId="0" applyFont="1" applyFill="1" applyBorder="1" applyAlignment="1">
      <alignment horizontal="center"/>
    </xf>
    <xf numFmtId="0" fontId="0" fillId="0" borderId="0" xfId="0" applyAlignment="1">
      <alignment horizontal="right"/>
    </xf>
    <xf numFmtId="0" fontId="0" fillId="8" borderId="52" xfId="0" applyFill="1" applyBorder="1" applyAlignment="1">
      <alignment horizontal="center" vertical="center"/>
    </xf>
    <xf numFmtId="0" fontId="20" fillId="10" borderId="63" xfId="0" applyFont="1" applyFill="1" applyBorder="1"/>
    <xf numFmtId="0" fontId="20" fillId="10" borderId="72" xfId="0" applyFont="1" applyFill="1" applyBorder="1"/>
    <xf numFmtId="0" fontId="0" fillId="10" borderId="53" xfId="0" applyFill="1" applyBorder="1"/>
    <xf numFmtId="0" fontId="0" fillId="10" borderId="54" xfId="0" applyFill="1" applyBorder="1"/>
    <xf numFmtId="0" fontId="0" fillId="8" borderId="68" xfId="0" applyFill="1" applyBorder="1"/>
    <xf numFmtId="0" fontId="20" fillId="10" borderId="80" xfId="0" applyFont="1" applyFill="1" applyBorder="1"/>
    <xf numFmtId="0" fontId="20" fillId="10" borderId="81" xfId="0" applyFont="1" applyFill="1" applyBorder="1"/>
    <xf numFmtId="0" fontId="20" fillId="10" borderId="82" xfId="0" applyFont="1" applyFill="1" applyBorder="1"/>
    <xf numFmtId="0" fontId="20" fillId="10" borderId="65" xfId="0" applyFont="1" applyFill="1" applyBorder="1"/>
    <xf numFmtId="0" fontId="20" fillId="10" borderId="83" xfId="0" applyFont="1" applyFill="1" applyBorder="1"/>
    <xf numFmtId="0" fontId="20" fillId="10" borderId="66" xfId="0" applyFont="1" applyFill="1" applyBorder="1"/>
    <xf numFmtId="0" fontId="20" fillId="10" borderId="9" xfId="0" applyFont="1" applyFill="1" applyBorder="1"/>
    <xf numFmtId="0" fontId="20" fillId="10" borderId="58" xfId="0" applyFont="1" applyFill="1" applyBorder="1"/>
    <xf numFmtId="0" fontId="20" fillId="10" borderId="59" xfId="0" applyFont="1" applyFill="1" applyBorder="1"/>
    <xf numFmtId="0" fontId="0" fillId="10" borderId="60" xfId="0" applyFill="1" applyBorder="1"/>
    <xf numFmtId="0" fontId="20" fillId="10" borderId="99" xfId="0" applyFont="1" applyFill="1" applyBorder="1"/>
    <xf numFmtId="0" fontId="20" fillId="10" borderId="60" xfId="0" applyFont="1" applyFill="1" applyBorder="1"/>
    <xf numFmtId="0" fontId="0" fillId="0" borderId="61" xfId="0" applyBorder="1"/>
    <xf numFmtId="0" fontId="0" fillId="0" borderId="75" xfId="0" applyBorder="1"/>
    <xf numFmtId="0" fontId="0" fillId="0" borderId="56" xfId="0" applyBorder="1"/>
    <xf numFmtId="0" fontId="0" fillId="0" borderId="4" xfId="0" applyBorder="1"/>
    <xf numFmtId="0" fontId="0" fillId="0" borderId="69" xfId="0" applyBorder="1"/>
    <xf numFmtId="0" fontId="0" fillId="0" borderId="76" xfId="0" applyBorder="1"/>
    <xf numFmtId="10" fontId="0" fillId="12" borderId="0" xfId="0" applyNumberFormat="1" applyFill="1"/>
    <xf numFmtId="0" fontId="23" fillId="12" borderId="2" xfId="0" applyFont="1" applyFill="1" applyBorder="1" applyAlignment="1">
      <alignment horizontal="center" vertical="center"/>
    </xf>
    <xf numFmtId="1" fontId="0" fillId="12" borderId="53" xfId="0" applyNumberFormat="1" applyFill="1" applyBorder="1" applyAlignment="1">
      <alignment horizontal="right"/>
    </xf>
    <xf numFmtId="0" fontId="0" fillId="0" borderId="53" xfId="0" applyBorder="1" applyAlignment="1">
      <alignment horizontal="right"/>
    </xf>
    <xf numFmtId="0" fontId="0" fillId="0" borderId="54" xfId="0" applyBorder="1" applyAlignment="1">
      <alignment horizontal="right"/>
    </xf>
    <xf numFmtId="1" fontId="0" fillId="0" borderId="4" xfId="0" applyNumberFormat="1" applyBorder="1" applyAlignment="1">
      <alignment horizontal="right"/>
    </xf>
    <xf numFmtId="0" fontId="0" fillId="0" borderId="54" xfId="0" applyBorder="1"/>
    <xf numFmtId="0" fontId="0" fillId="0" borderId="55" xfId="0" applyBorder="1"/>
    <xf numFmtId="0" fontId="0" fillId="12" borderId="57" xfId="0" applyFill="1" applyBorder="1"/>
    <xf numFmtId="1" fontId="0" fillId="12" borderId="2" xfId="0" applyNumberFormat="1" applyFill="1" applyBorder="1" applyAlignment="1">
      <alignment horizontal="right"/>
    </xf>
    <xf numFmtId="0" fontId="0" fillId="0" borderId="56" xfId="0" applyBorder="1" applyAlignment="1">
      <alignment horizontal="right"/>
    </xf>
    <xf numFmtId="0" fontId="0" fillId="0" borderId="2" xfId="0" applyBorder="1" applyAlignment="1">
      <alignment horizontal="right"/>
    </xf>
    <xf numFmtId="1" fontId="0" fillId="0" borderId="4" xfId="0" applyNumberFormat="1" applyBorder="1"/>
    <xf numFmtId="0" fontId="0" fillId="0" borderId="57" xfId="0" applyBorder="1"/>
    <xf numFmtId="1" fontId="0" fillId="12" borderId="57" xfId="0" applyNumberFormat="1" applyFill="1" applyBorder="1" applyAlignment="1">
      <alignment horizontal="right"/>
    </xf>
    <xf numFmtId="0" fontId="0" fillId="0" borderId="4" xfId="0" applyBorder="1" applyAlignment="1">
      <alignment horizontal="right"/>
    </xf>
    <xf numFmtId="10" fontId="0" fillId="0" borderId="2" xfId="0" applyNumberFormat="1" applyBorder="1"/>
    <xf numFmtId="0" fontId="0" fillId="0" borderId="66" xfId="0" applyBorder="1"/>
    <xf numFmtId="0" fontId="0" fillId="0" borderId="58" xfId="0" applyBorder="1"/>
    <xf numFmtId="10" fontId="0" fillId="0" borderId="59" xfId="0" applyNumberFormat="1" applyBorder="1"/>
    <xf numFmtId="0" fontId="0" fillId="0" borderId="59" xfId="0" applyBorder="1"/>
    <xf numFmtId="0" fontId="0" fillId="0" borderId="78" xfId="0" applyBorder="1"/>
    <xf numFmtId="0" fontId="0" fillId="0" borderId="58" xfId="0" applyBorder="1" applyAlignment="1">
      <alignment horizontal="right"/>
    </xf>
    <xf numFmtId="0" fontId="0" fillId="0" borderId="60" xfId="0" applyBorder="1"/>
    <xf numFmtId="0" fontId="29" fillId="13" borderId="63" xfId="0" applyFont="1" applyFill="1" applyBorder="1"/>
    <xf numFmtId="0" fontId="29" fillId="13" borderId="72" xfId="0" applyFont="1" applyFill="1" applyBorder="1"/>
    <xf numFmtId="0" fontId="0" fillId="13" borderId="58" xfId="0" applyFill="1" applyBorder="1"/>
    <xf numFmtId="0" fontId="0" fillId="13" borderId="59" xfId="0" applyFill="1" applyBorder="1"/>
    <xf numFmtId="0" fontId="0" fillId="13" borderId="78" xfId="0" applyFill="1" applyBorder="1"/>
    <xf numFmtId="0" fontId="0" fillId="13" borderId="70" xfId="0" applyFill="1" applyBorder="1"/>
    <xf numFmtId="10" fontId="0" fillId="13" borderId="0" xfId="0" applyNumberFormat="1" applyFill="1"/>
    <xf numFmtId="10" fontId="0" fillId="0" borderId="0" xfId="0" applyNumberFormat="1"/>
    <xf numFmtId="0" fontId="0" fillId="9" borderId="53" xfId="0" applyFill="1" applyBorder="1"/>
    <xf numFmtId="0" fontId="0" fillId="9" borderId="54" xfId="0" applyFill="1" applyBorder="1"/>
    <xf numFmtId="0" fontId="0" fillId="0" borderId="71" xfId="0" applyBorder="1"/>
    <xf numFmtId="0" fontId="23" fillId="12" borderId="7" xfId="0" applyFont="1" applyFill="1" applyBorder="1" applyAlignment="1">
      <alignment horizontal="center" vertical="center"/>
    </xf>
    <xf numFmtId="0" fontId="0" fillId="12" borderId="53" xfId="0" applyFill="1" applyBorder="1"/>
    <xf numFmtId="0" fontId="0" fillId="12" borderId="54" xfId="0" applyFill="1" applyBorder="1"/>
    <xf numFmtId="0" fontId="0" fillId="12" borderId="55" xfId="0" applyFill="1" applyBorder="1"/>
    <xf numFmtId="0" fontId="0" fillId="0" borderId="53" xfId="0" applyBorder="1"/>
    <xf numFmtId="0" fontId="0" fillId="0" borderId="77" xfId="0" applyBorder="1"/>
    <xf numFmtId="0" fontId="0" fillId="8" borderId="56" xfId="0" applyFill="1" applyBorder="1"/>
    <xf numFmtId="0" fontId="39" fillId="0" borderId="0" xfId="0" applyFont="1"/>
    <xf numFmtId="0" fontId="0" fillId="0" borderId="59" xfId="0" applyBorder="1" applyAlignment="1">
      <alignment horizontal="right"/>
    </xf>
    <xf numFmtId="0" fontId="0" fillId="0" borderId="78" xfId="0" applyBorder="1" applyAlignment="1">
      <alignment horizontal="right"/>
    </xf>
    <xf numFmtId="0" fontId="29" fillId="13" borderId="52" xfId="0" applyFont="1" applyFill="1" applyBorder="1"/>
    <xf numFmtId="0" fontId="0" fillId="8" borderId="52" xfId="0" applyFill="1" applyBorder="1"/>
    <xf numFmtId="0" fontId="0" fillId="0" borderId="77" xfId="0" applyBorder="1" applyAlignment="1">
      <alignment horizontal="right"/>
    </xf>
    <xf numFmtId="0" fontId="0" fillId="0" borderId="85" xfId="0" applyBorder="1"/>
    <xf numFmtId="0" fontId="0" fillId="12" borderId="15" xfId="0" applyFill="1" applyBorder="1"/>
    <xf numFmtId="0" fontId="0" fillId="12" borderId="86" xfId="0" applyFill="1" applyBorder="1"/>
    <xf numFmtId="10" fontId="0" fillId="11" borderId="0" xfId="0" applyNumberFormat="1" applyFill="1"/>
    <xf numFmtId="0" fontId="0" fillId="9" borderId="68" xfId="0" applyFill="1" applyBorder="1"/>
    <xf numFmtId="0" fontId="0" fillId="9" borderId="79" xfId="0" applyFill="1" applyBorder="1"/>
    <xf numFmtId="0" fontId="0" fillId="0" borderId="7" xfId="0" applyBorder="1"/>
    <xf numFmtId="10" fontId="0" fillId="12" borderId="0" xfId="0" applyNumberFormat="1" applyFill="1" applyAlignment="1">
      <alignment horizontal="center"/>
    </xf>
    <xf numFmtId="0" fontId="0" fillId="0" borderId="70" xfId="0" applyBorder="1"/>
    <xf numFmtId="0" fontId="0" fillId="8" borderId="79" xfId="0" applyFill="1" applyBorder="1"/>
    <xf numFmtId="0" fontId="0" fillId="0" borderId="21" xfId="0" applyBorder="1"/>
    <xf numFmtId="9" fontId="0" fillId="0" borderId="22" xfId="0" applyNumberFormat="1" applyBorder="1"/>
    <xf numFmtId="0" fontId="0" fillId="0" borderId="22" xfId="0" applyBorder="1"/>
    <xf numFmtId="0" fontId="0" fillId="0" borderId="23" xfId="0" applyBorder="1"/>
    <xf numFmtId="0" fontId="0" fillId="0" borderId="16" xfId="0" applyBorder="1"/>
    <xf numFmtId="9" fontId="0" fillId="0" borderId="0" xfId="0" applyNumberFormat="1"/>
    <xf numFmtId="0" fontId="0" fillId="0" borderId="17" xfId="0" applyBorder="1"/>
    <xf numFmtId="0" fontId="20" fillId="10" borderId="0" xfId="0" applyFont="1" applyFill="1"/>
    <xf numFmtId="0" fontId="0" fillId="0" borderId="72" xfId="0" applyBorder="1"/>
    <xf numFmtId="0" fontId="0" fillId="0" borderId="73" xfId="0" applyBorder="1"/>
    <xf numFmtId="0" fontId="0" fillId="0" borderId="74" xfId="0" applyBorder="1"/>
    <xf numFmtId="0" fontId="0" fillId="0" borderId="52" xfId="0" applyBorder="1"/>
    <xf numFmtId="0" fontId="0" fillId="0" borderId="18" xfId="0" applyBorder="1"/>
    <xf numFmtId="9" fontId="0" fillId="0" borderId="19" xfId="0" applyNumberFormat="1" applyBorder="1"/>
    <xf numFmtId="0" fontId="0" fillId="0" borderId="19" xfId="0" applyBorder="1"/>
    <xf numFmtId="0" fontId="0" fillId="0" borderId="20" xfId="0" applyBorder="1"/>
    <xf numFmtId="0" fontId="0" fillId="10" borderId="0" xfId="0" applyFill="1"/>
    <xf numFmtId="0" fontId="0" fillId="2" borderId="0" xfId="0" applyFill="1" applyProtection="1">
      <protection locked="0" hidden="1"/>
    </xf>
    <xf numFmtId="0" fontId="0" fillId="2" borderId="0" xfId="0" applyFill="1" applyAlignment="1" applyProtection="1">
      <alignment wrapText="1"/>
      <protection locked="0" hidden="1"/>
    </xf>
    <xf numFmtId="0" fontId="11" fillId="2" borderId="0" xfId="0" applyFont="1" applyFill="1" applyAlignment="1" applyProtection="1">
      <alignment horizontal="center" wrapText="1"/>
      <protection locked="0" hidden="1"/>
    </xf>
    <xf numFmtId="0" fontId="5" fillId="16" borderId="0" xfId="0" applyFont="1" applyFill="1" applyAlignment="1" applyProtection="1">
      <alignment vertical="top" wrapText="1"/>
      <protection hidden="1"/>
    </xf>
    <xf numFmtId="0" fontId="5" fillId="15" borderId="0" xfId="0" applyFont="1" applyFill="1" applyAlignment="1" applyProtection="1">
      <alignment vertical="top" wrapText="1"/>
      <protection hidden="1"/>
    </xf>
    <xf numFmtId="0" fontId="5" fillId="14" borderId="0" xfId="0" applyFont="1" applyFill="1" applyAlignment="1" applyProtection="1">
      <alignment vertical="top" wrapText="1"/>
      <protection hidden="1"/>
    </xf>
    <xf numFmtId="0" fontId="16" fillId="3" borderId="1" xfId="0" applyFont="1" applyFill="1" applyBorder="1" applyAlignment="1">
      <alignment vertical="top"/>
    </xf>
    <xf numFmtId="0" fontId="16" fillId="3" borderId="1" xfId="0" applyFont="1" applyFill="1" applyBorder="1" applyAlignment="1">
      <alignment vertical="top" wrapText="1"/>
    </xf>
    <xf numFmtId="0" fontId="26" fillId="2" borderId="111" xfId="0" applyFont="1" applyFill="1" applyBorder="1" applyAlignment="1">
      <alignment vertical="top" wrapText="1"/>
    </xf>
    <xf numFmtId="0" fontId="26" fillId="2" borderId="112" xfId="0" applyFont="1" applyFill="1" applyBorder="1" applyAlignment="1">
      <alignment horizontal="left" wrapText="1"/>
    </xf>
    <xf numFmtId="164" fontId="9" fillId="5" borderId="26" xfId="2" applyNumberFormat="1" applyFont="1" applyFill="1" applyBorder="1" applyAlignment="1" applyProtection="1">
      <alignment horizontal="left" vertical="center"/>
    </xf>
    <xf numFmtId="0" fontId="36" fillId="2" borderId="0" xfId="0" applyFont="1" applyFill="1" applyAlignment="1" applyProtection="1">
      <alignment horizontal="left" vertical="center"/>
      <protection hidden="1"/>
    </xf>
    <xf numFmtId="0" fontId="9" fillId="4" borderId="0" xfId="0" applyFont="1" applyFill="1" applyAlignment="1">
      <alignment horizontal="left" vertical="top" wrapText="1"/>
    </xf>
    <xf numFmtId="0" fontId="20" fillId="6" borderId="0" xfId="0" applyFont="1" applyFill="1" applyAlignment="1" applyProtection="1">
      <alignment horizontal="right"/>
      <protection hidden="1"/>
    </xf>
    <xf numFmtId="0" fontId="23" fillId="5" borderId="93" xfId="0" applyFont="1" applyFill="1" applyBorder="1" applyAlignment="1" applyProtection="1">
      <alignment horizontal="right" vertical="center"/>
      <protection hidden="1"/>
    </xf>
    <xf numFmtId="0" fontId="0" fillId="2" borderId="0" xfId="0" applyFill="1" applyAlignment="1" applyProtection="1">
      <alignment horizontal="right"/>
      <protection hidden="1"/>
    </xf>
    <xf numFmtId="0" fontId="0" fillId="2" borderId="0" xfId="0" applyFill="1" applyAlignment="1" applyProtection="1">
      <alignment horizontal="left" wrapText="1"/>
      <protection hidden="1"/>
    </xf>
    <xf numFmtId="0" fontId="23" fillId="4" borderId="6" xfId="0" applyFont="1" applyFill="1" applyBorder="1" applyAlignment="1" applyProtection="1">
      <alignment horizontal="left" vertical="center"/>
      <protection locked="0"/>
    </xf>
    <xf numFmtId="0" fontId="23" fillId="5" borderId="93" xfId="0" applyFont="1" applyFill="1" applyBorder="1" applyAlignment="1" applyProtection="1">
      <alignment horizontal="center" vertical="center"/>
      <protection locked="0"/>
    </xf>
    <xf numFmtId="0" fontId="26" fillId="2" borderId="1" xfId="0" applyFont="1" applyFill="1" applyBorder="1" applyAlignment="1">
      <alignment vertical="top" wrapText="1"/>
    </xf>
    <xf numFmtId="0" fontId="26" fillId="2" borderId="112" xfId="0" applyFont="1" applyFill="1" applyBorder="1" applyAlignment="1">
      <alignment horizontal="center" vertical="top" wrapText="1"/>
    </xf>
    <xf numFmtId="0" fontId="45" fillId="4" borderId="1" xfId="0" applyFont="1" applyFill="1" applyBorder="1" applyAlignment="1">
      <alignment horizontal="left"/>
    </xf>
    <xf numFmtId="0" fontId="43" fillId="4" borderId="0" xfId="0" applyFont="1" applyFill="1" applyAlignment="1" applyProtection="1">
      <alignment horizontal="left"/>
      <protection hidden="1"/>
    </xf>
    <xf numFmtId="0" fontId="21" fillId="0" borderId="2" xfId="0" applyFont="1" applyBorder="1"/>
    <xf numFmtId="0" fontId="21" fillId="0" borderId="5" xfId="0" applyFont="1" applyBorder="1"/>
    <xf numFmtId="1" fontId="0" fillId="12" borderId="54" xfId="0" applyNumberFormat="1" applyFill="1" applyBorder="1" applyAlignment="1">
      <alignment horizontal="right"/>
    </xf>
    <xf numFmtId="1" fontId="0" fillId="12" borderId="56" xfId="0" applyNumberFormat="1" applyFill="1" applyBorder="1" applyAlignment="1">
      <alignment horizontal="right"/>
    </xf>
    <xf numFmtId="1" fontId="0" fillId="12" borderId="56" xfId="0" applyNumberFormat="1" applyFill="1" applyBorder="1"/>
    <xf numFmtId="1" fontId="0" fillId="12" borderId="2" xfId="0" applyNumberFormat="1" applyFill="1" applyBorder="1"/>
    <xf numFmtId="1" fontId="0" fillId="12" borderId="57" xfId="0" applyNumberFormat="1" applyFill="1" applyBorder="1"/>
    <xf numFmtId="1" fontId="0" fillId="12" borderId="58" xfId="0" applyNumberFormat="1" applyFill="1" applyBorder="1"/>
    <xf numFmtId="1" fontId="0" fillId="12" borderId="59" xfId="0" applyNumberFormat="1" applyFill="1" applyBorder="1"/>
    <xf numFmtId="1" fontId="0" fillId="12" borderId="60" xfId="0" applyNumberFormat="1" applyFill="1" applyBorder="1"/>
    <xf numFmtId="1" fontId="0" fillId="12" borderId="53" xfId="0" applyNumberFormat="1" applyFill="1" applyBorder="1"/>
    <xf numFmtId="1" fontId="0" fillId="12" borderId="54" xfId="0" applyNumberFormat="1" applyFill="1" applyBorder="1"/>
    <xf numFmtId="1" fontId="0" fillId="12" borderId="55" xfId="0" applyNumberFormat="1" applyFill="1" applyBorder="1"/>
    <xf numFmtId="1" fontId="0" fillId="12" borderId="58" xfId="0" applyNumberFormat="1" applyFill="1" applyBorder="1" applyAlignment="1">
      <alignment horizontal="right"/>
    </xf>
    <xf numFmtId="1" fontId="0" fillId="12" borderId="59" xfId="0" applyNumberFormat="1" applyFill="1" applyBorder="1" applyAlignment="1">
      <alignment horizontal="right"/>
    </xf>
    <xf numFmtId="1" fontId="0" fillId="12" borderId="60" xfId="0" applyNumberFormat="1" applyFill="1" applyBorder="1" applyAlignment="1">
      <alignment horizontal="right"/>
    </xf>
    <xf numFmtId="1" fontId="21" fillId="12" borderId="2" xfId="0" applyNumberFormat="1" applyFont="1" applyFill="1" applyBorder="1" applyAlignment="1">
      <alignment horizontal="right"/>
    </xf>
    <xf numFmtId="1" fontId="21" fillId="12" borderId="56" xfId="0" applyNumberFormat="1" applyFont="1" applyFill="1" applyBorder="1"/>
    <xf numFmtId="1" fontId="21" fillId="12" borderId="2" xfId="0" applyNumberFormat="1" applyFont="1" applyFill="1" applyBorder="1"/>
    <xf numFmtId="1" fontId="21" fillId="12" borderId="57" xfId="0" applyNumberFormat="1" applyFont="1" applyFill="1" applyBorder="1"/>
    <xf numFmtId="1" fontId="21" fillId="12" borderId="54" xfId="0" applyNumberFormat="1" applyFont="1" applyFill="1" applyBorder="1"/>
    <xf numFmtId="0" fontId="0" fillId="12" borderId="116" xfId="0" applyFill="1" applyBorder="1"/>
    <xf numFmtId="0" fontId="0" fillId="12" borderId="84" xfId="0" applyFill="1" applyBorder="1"/>
    <xf numFmtId="0" fontId="0" fillId="12" borderId="117" xfId="0" applyFill="1" applyBorder="1"/>
    <xf numFmtId="0" fontId="0" fillId="12" borderId="56" xfId="0" applyFill="1" applyBorder="1"/>
    <xf numFmtId="0" fontId="20" fillId="6" borderId="45" xfId="0" applyFont="1" applyFill="1" applyBorder="1" applyAlignment="1">
      <alignment vertical="center"/>
    </xf>
    <xf numFmtId="0" fontId="20" fillId="6" borderId="45" xfId="0" applyFont="1" applyFill="1" applyBorder="1" applyAlignment="1" applyProtection="1">
      <alignment vertical="center"/>
      <protection locked="0"/>
    </xf>
    <xf numFmtId="0" fontId="20" fillId="6" borderId="48" xfId="0" applyFont="1" applyFill="1" applyBorder="1" applyAlignment="1" applyProtection="1">
      <alignment horizontal="left" vertical="center"/>
      <protection locked="0"/>
    </xf>
    <xf numFmtId="0" fontId="0" fillId="5" borderId="24" xfId="0" applyFill="1" applyBorder="1" applyAlignment="1">
      <alignment horizontal="left" vertical="center"/>
    </xf>
    <xf numFmtId="0" fontId="0" fillId="4" borderId="0" xfId="0" applyFill="1" applyAlignment="1" applyProtection="1">
      <alignment vertical="center" wrapText="1"/>
      <protection locked="0"/>
    </xf>
    <xf numFmtId="0" fontId="29" fillId="5" borderId="88" xfId="0" applyFont="1"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pplyProtection="1">
      <alignment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vertical="center" wrapText="1"/>
      <protection locked="0"/>
    </xf>
    <xf numFmtId="0" fontId="25" fillId="6" borderId="0" xfId="0" applyFont="1" applyFill="1" applyAlignment="1">
      <alignment horizontal="left" vertical="center"/>
    </xf>
    <xf numFmtId="0" fontId="20" fillId="6" borderId="45" xfId="0" applyFont="1" applyFill="1" applyBorder="1" applyAlignment="1" applyProtection="1">
      <alignment horizontal="left" vertical="center" wrapText="1"/>
      <protection locked="0"/>
    </xf>
    <xf numFmtId="0" fontId="20" fillId="6" borderId="39" xfId="0" applyFont="1" applyFill="1" applyBorder="1" applyAlignment="1" applyProtection="1">
      <alignment vertical="center"/>
      <protection locked="0"/>
    </xf>
    <xf numFmtId="0" fontId="20" fillId="6" borderId="48" xfId="0" applyFont="1" applyFill="1" applyBorder="1" applyAlignment="1" applyProtection="1">
      <alignment horizontal="left" vertical="center" wrapText="1"/>
      <protection locked="0"/>
    </xf>
    <xf numFmtId="0" fontId="20" fillId="6" borderId="1" xfId="0" applyFont="1" applyFill="1" applyBorder="1" applyAlignment="1" applyProtection="1">
      <alignment horizontal="left" vertical="center" wrapText="1"/>
      <protection locked="0"/>
    </xf>
    <xf numFmtId="0" fontId="20" fillId="6" borderId="1" xfId="0" applyFont="1" applyFill="1" applyBorder="1" applyAlignment="1" applyProtection="1">
      <alignment vertical="center" wrapText="1"/>
      <protection locked="0"/>
    </xf>
    <xf numFmtId="0" fontId="20" fillId="6" borderId="51" xfId="0" applyFont="1" applyFill="1" applyBorder="1" applyAlignment="1" applyProtection="1">
      <alignment vertical="center" wrapText="1"/>
      <protection locked="0"/>
    </xf>
    <xf numFmtId="0" fontId="0" fillId="2" borderId="0" xfId="0" applyFill="1" applyAlignment="1">
      <alignment horizontal="left" vertical="center" wrapText="1"/>
    </xf>
    <xf numFmtId="0" fontId="25" fillId="6" borderId="0" xfId="0" applyFont="1" applyFill="1" applyAlignment="1">
      <alignment horizontal="left" vertical="center" wrapText="1"/>
    </xf>
    <xf numFmtId="164" fontId="20" fillId="6" borderId="45" xfId="0" applyNumberFormat="1" applyFont="1" applyFill="1" applyBorder="1" applyAlignment="1">
      <alignment vertical="center"/>
    </xf>
    <xf numFmtId="0" fontId="20" fillId="6" borderId="49" xfId="0" applyFont="1" applyFill="1" applyBorder="1" applyAlignment="1" applyProtection="1">
      <alignment horizontal="left" vertical="center" wrapText="1"/>
      <protection locked="0"/>
    </xf>
    <xf numFmtId="0" fontId="20" fillId="6" borderId="45" xfId="0" applyFont="1" applyFill="1" applyBorder="1" applyAlignment="1" applyProtection="1">
      <alignment vertical="center" wrapText="1"/>
      <protection locked="0"/>
    </xf>
    <xf numFmtId="0" fontId="20" fillId="6" borderId="46" xfId="0" applyFont="1" applyFill="1" applyBorder="1" applyAlignment="1" applyProtection="1">
      <alignment vertical="center" wrapText="1"/>
      <protection locked="0"/>
    </xf>
    <xf numFmtId="0" fontId="0" fillId="5" borderId="24" xfId="0" applyFill="1" applyBorder="1" applyAlignment="1">
      <alignment horizontal="left" vertical="center" wrapText="1"/>
    </xf>
    <xf numFmtId="0" fontId="29" fillId="5" borderId="88" xfId="0" applyFont="1" applyFill="1" applyBorder="1" applyAlignment="1">
      <alignment horizontal="left" vertical="center" wrapText="1"/>
    </xf>
    <xf numFmtId="0" fontId="0" fillId="0" borderId="2" xfId="0" applyBorder="1" applyProtection="1">
      <protection hidden="1"/>
    </xf>
    <xf numFmtId="0" fontId="0" fillId="2" borderId="0" xfId="0" applyFill="1" applyAlignment="1" applyProtection="1">
      <alignment horizontal="left" vertical="center"/>
      <protection hidden="1"/>
    </xf>
    <xf numFmtId="0" fontId="23" fillId="4" borderId="74" xfId="0" applyFont="1" applyFill="1" applyBorder="1" applyAlignment="1" applyProtection="1">
      <alignment horizontal="center" vertical="center"/>
      <protection locked="0"/>
    </xf>
    <xf numFmtId="0" fontId="0" fillId="18" borderId="72" xfId="0" applyFill="1" applyBorder="1"/>
    <xf numFmtId="0" fontId="0" fillId="18" borderId="74" xfId="0" applyFill="1" applyBorder="1"/>
    <xf numFmtId="0" fontId="20" fillId="10" borderId="77" xfId="0" applyFont="1" applyFill="1" applyBorder="1"/>
    <xf numFmtId="0" fontId="48" fillId="4" borderId="0" xfId="0" applyFont="1" applyFill="1" applyAlignment="1">
      <alignment horizontal="left" vertical="top" wrapText="1"/>
    </xf>
    <xf numFmtId="0" fontId="47" fillId="0" borderId="0" xfId="0" applyFont="1"/>
    <xf numFmtId="0" fontId="48" fillId="0" borderId="0" xfId="0" applyFont="1"/>
    <xf numFmtId="0" fontId="51" fillId="0" borderId="119" xfId="0" applyFont="1" applyBorder="1" applyProtection="1">
      <protection locked="0"/>
    </xf>
    <xf numFmtId="0" fontId="51" fillId="0" borderId="123" xfId="0" applyFont="1" applyBorder="1" applyProtection="1">
      <protection locked="0"/>
    </xf>
    <xf numFmtId="49" fontId="51" fillId="0" borderId="123" xfId="0" applyNumberFormat="1" applyFont="1" applyBorder="1" applyProtection="1">
      <protection locked="0"/>
    </xf>
    <xf numFmtId="0" fontId="51" fillId="0" borderId="120" xfId="0" applyFont="1" applyBorder="1" applyAlignment="1" applyProtection="1">
      <alignment horizontal="left" vertical="center"/>
      <protection locked="0"/>
    </xf>
    <xf numFmtId="0" fontId="51" fillId="0" borderId="121" xfId="0" applyFont="1" applyBorder="1" applyAlignment="1" applyProtection="1">
      <alignment horizontal="left" vertical="center"/>
      <protection locked="0"/>
    </xf>
    <xf numFmtId="0" fontId="51" fillId="0" borderId="122" xfId="0" applyFont="1" applyBorder="1" applyAlignment="1" applyProtection="1">
      <alignment horizontal="left" vertical="center"/>
      <protection locked="0"/>
    </xf>
    <xf numFmtId="0" fontId="48" fillId="19" borderId="63" xfId="0" applyFont="1" applyFill="1" applyBorder="1" applyAlignment="1">
      <alignment horizontal="center" vertical="top" wrapText="1"/>
    </xf>
    <xf numFmtId="0" fontId="48" fillId="19" borderId="64" xfId="0" applyFont="1" applyFill="1" applyBorder="1" applyAlignment="1">
      <alignment horizontal="left" vertical="top" wrapText="1"/>
    </xf>
    <xf numFmtId="0" fontId="48" fillId="19" borderId="65" xfId="0" applyFont="1" applyFill="1" applyBorder="1" applyAlignment="1">
      <alignment horizontal="center" vertical="top" wrapText="1"/>
    </xf>
    <xf numFmtId="0" fontId="0" fillId="8" borderId="108" xfId="0" applyFill="1" applyBorder="1"/>
    <xf numFmtId="0" fontId="0" fillId="8" borderId="72" xfId="0" applyFill="1" applyBorder="1"/>
    <xf numFmtId="0" fontId="16" fillId="3" borderId="0" xfId="0" applyFont="1" applyFill="1" applyAlignment="1" applyProtection="1">
      <alignment vertical="top"/>
      <protection hidden="1"/>
    </xf>
    <xf numFmtId="0" fontId="0" fillId="0" borderId="0" xfId="0" applyAlignment="1">
      <alignment horizontal="center" vertical="center"/>
    </xf>
    <xf numFmtId="0" fontId="0" fillId="18" borderId="5" xfId="0" applyFill="1" applyBorder="1"/>
    <xf numFmtId="0" fontId="23" fillId="4" borderId="2" xfId="0" applyFont="1" applyFill="1" applyBorder="1" applyAlignment="1" applyProtection="1">
      <alignment horizontal="left" vertical="center"/>
      <protection hidden="1"/>
    </xf>
    <xf numFmtId="0" fontId="53" fillId="2" borderId="1" xfId="0" applyFont="1" applyFill="1" applyBorder="1" applyAlignment="1" applyProtection="1">
      <alignment horizontal="left"/>
      <protection hidden="1"/>
    </xf>
    <xf numFmtId="0" fontId="1" fillId="5" borderId="2" xfId="0" applyFont="1" applyFill="1" applyBorder="1" applyAlignment="1" applyProtection="1">
      <alignment horizontal="left" vertical="center"/>
      <protection hidden="1"/>
    </xf>
    <xf numFmtId="0" fontId="32" fillId="4" borderId="4" xfId="0" applyFont="1" applyFill="1" applyBorder="1" applyAlignment="1" applyProtection="1">
      <alignment horizontal="left" vertical="center"/>
      <protection hidden="1"/>
    </xf>
    <xf numFmtId="0" fontId="32" fillId="4" borderId="6" xfId="0" applyFont="1" applyFill="1" applyBorder="1" applyAlignment="1" applyProtection="1">
      <alignment horizontal="left" vertical="center"/>
      <protection hidden="1"/>
    </xf>
    <xf numFmtId="0" fontId="32" fillId="4" borderId="7" xfId="0" applyFont="1" applyFill="1" applyBorder="1" applyAlignment="1" applyProtection="1">
      <alignment horizontal="left" vertical="center"/>
      <protection hidden="1"/>
    </xf>
    <xf numFmtId="0" fontId="1" fillId="5" borderId="4" xfId="0" applyFont="1" applyFill="1" applyBorder="1" applyAlignment="1" applyProtection="1">
      <alignment horizontal="left" vertical="center"/>
      <protection hidden="1"/>
    </xf>
    <xf numFmtId="0" fontId="1" fillId="5" borderId="7" xfId="0" applyFont="1" applyFill="1" applyBorder="1" applyAlignment="1" applyProtection="1">
      <alignment horizontal="left" vertical="center"/>
      <protection hidden="1"/>
    </xf>
    <xf numFmtId="164" fontId="9" fillId="5" borderId="4" xfId="2" applyNumberFormat="1" applyFont="1" applyFill="1" applyBorder="1" applyAlignment="1" applyProtection="1">
      <alignment horizontal="left" vertical="center"/>
      <protection hidden="1"/>
    </xf>
    <xf numFmtId="10" fontId="9" fillId="5" borderId="7" xfId="2" applyNumberFormat="1" applyFont="1" applyFill="1" applyBorder="1" applyAlignment="1" applyProtection="1">
      <alignment horizontal="left" vertical="center"/>
      <protection hidden="1"/>
    </xf>
    <xf numFmtId="0" fontId="1" fillId="5" borderId="7" xfId="0" applyFont="1" applyFill="1" applyBorder="1" applyAlignment="1" applyProtection="1">
      <alignment vertical="center"/>
      <protection hidden="1"/>
    </xf>
    <xf numFmtId="0" fontId="0" fillId="4" borderId="6" xfId="0" applyFill="1" applyBorder="1" applyAlignment="1" applyProtection="1">
      <alignment horizontal="center"/>
      <protection hidden="1"/>
    </xf>
    <xf numFmtId="0" fontId="23" fillId="5" borderId="94" xfId="0" applyFont="1" applyFill="1" applyBorder="1" applyAlignment="1" applyProtection="1">
      <alignment horizontal="left" vertical="center" wrapText="1"/>
      <protection locked="0"/>
    </xf>
    <xf numFmtId="0" fontId="34" fillId="5" borderId="129" xfId="0" applyFont="1" applyFill="1" applyBorder="1" applyAlignment="1" applyProtection="1">
      <alignment horizontal="center" vertical="center" wrapText="1"/>
      <protection locked="0"/>
    </xf>
    <xf numFmtId="0" fontId="16" fillId="4" borderId="0" xfId="0" applyFont="1" applyFill="1" applyAlignment="1" applyProtection="1">
      <alignment vertical="top"/>
      <protection hidden="1"/>
    </xf>
    <xf numFmtId="0" fontId="16" fillId="3" borderId="1" xfId="0" applyFont="1" applyFill="1" applyBorder="1" applyAlignment="1" applyProtection="1">
      <alignment vertical="top"/>
      <protection hidden="1"/>
    </xf>
    <xf numFmtId="0" fontId="53" fillId="2" borderId="1" xfId="0" applyFont="1" applyFill="1" applyBorder="1" applyAlignment="1" applyProtection="1">
      <alignment horizontal="center"/>
      <protection hidden="1"/>
    </xf>
    <xf numFmtId="0" fontId="41" fillId="2" borderId="1" xfId="0" applyFont="1" applyFill="1" applyBorder="1" applyAlignment="1" applyProtection="1">
      <alignment horizontal="center"/>
      <protection hidden="1"/>
    </xf>
    <xf numFmtId="0" fontId="46" fillId="2" borderId="1" xfId="0" applyFont="1" applyFill="1" applyBorder="1" applyAlignment="1" applyProtection="1">
      <alignment horizontal="center"/>
      <protection hidden="1"/>
    </xf>
    <xf numFmtId="0" fontId="41" fillId="2" borderId="5" xfId="0" applyFont="1" applyFill="1" applyBorder="1" applyAlignment="1" applyProtection="1">
      <alignment horizontal="center"/>
      <protection hidden="1"/>
    </xf>
    <xf numFmtId="0" fontId="53" fillId="2" borderId="14" xfId="0" applyFont="1" applyFill="1" applyBorder="1" applyAlignment="1" applyProtection="1">
      <alignment horizontal="center"/>
      <protection hidden="1"/>
    </xf>
    <xf numFmtId="0" fontId="41" fillId="2" borderId="0" xfId="0" applyFont="1" applyFill="1" applyAlignment="1" applyProtection="1">
      <alignment horizontal="center"/>
      <protection hidden="1"/>
    </xf>
    <xf numFmtId="0" fontId="0" fillId="2" borderId="12" xfId="0" applyFill="1" applyBorder="1" applyProtection="1">
      <protection hidden="1"/>
    </xf>
    <xf numFmtId="0" fontId="0" fillId="4" borderId="15" xfId="0" applyFill="1" applyBorder="1" applyProtection="1">
      <protection hidden="1"/>
    </xf>
    <xf numFmtId="0" fontId="9" fillId="4" borderId="0" xfId="0" applyFont="1" applyFill="1" applyAlignment="1" applyProtection="1">
      <alignment horizontal="left" vertical="top"/>
      <protection hidden="1"/>
    </xf>
    <xf numFmtId="0" fontId="35" fillId="2" borderId="0" xfId="0" applyFont="1" applyFill="1" applyProtection="1">
      <protection hidden="1"/>
    </xf>
    <xf numFmtId="0" fontId="54" fillId="2" borderId="0" xfId="0" applyFont="1" applyFill="1" applyAlignment="1" applyProtection="1">
      <alignment horizontal="left"/>
      <protection hidden="1"/>
    </xf>
    <xf numFmtId="0" fontId="3" fillId="4" borderId="0" xfId="0" applyFont="1" applyFill="1" applyProtection="1">
      <protection hidden="1"/>
    </xf>
    <xf numFmtId="0" fontId="20" fillId="5" borderId="14" xfId="0" applyFont="1" applyFill="1" applyBorder="1" applyAlignment="1" applyProtection="1">
      <alignment horizontal="left" vertical="center"/>
      <protection hidden="1"/>
    </xf>
    <xf numFmtId="0" fontId="0" fillId="2" borderId="0" xfId="0" applyFill="1" applyAlignment="1" applyProtection="1">
      <alignment horizontal="left" vertical="top"/>
      <protection hidden="1"/>
    </xf>
    <xf numFmtId="0" fontId="20" fillId="4" borderId="0" xfId="0" applyFont="1" applyFill="1" applyProtection="1">
      <protection hidden="1"/>
    </xf>
    <xf numFmtId="0" fontId="11" fillId="2" borderId="0" xfId="0" applyFont="1" applyFill="1" applyAlignment="1" applyProtection="1">
      <alignment horizontal="center"/>
      <protection hidden="1"/>
    </xf>
    <xf numFmtId="0" fontId="13" fillId="2" borderId="0" xfId="0" applyFont="1" applyFill="1" applyAlignment="1" applyProtection="1">
      <alignment vertical="center" wrapText="1"/>
      <protection hidden="1"/>
    </xf>
    <xf numFmtId="0" fontId="55" fillId="2" borderId="0" xfId="0" applyFont="1" applyFill="1" applyProtection="1">
      <protection hidden="1"/>
    </xf>
    <xf numFmtId="0" fontId="55" fillId="4" borderId="0" xfId="0" applyFont="1" applyFill="1"/>
    <xf numFmtId="0" fontId="56" fillId="3" borderId="6" xfId="0" applyFont="1" applyFill="1" applyBorder="1" applyProtection="1">
      <protection hidden="1"/>
    </xf>
    <xf numFmtId="0" fontId="55" fillId="5" borderId="6" xfId="0" applyFont="1" applyFill="1" applyBorder="1" applyProtection="1">
      <protection hidden="1"/>
    </xf>
    <xf numFmtId="0" fontId="55" fillId="5" borderId="7" xfId="0" applyFont="1" applyFill="1" applyBorder="1" applyProtection="1">
      <protection hidden="1"/>
    </xf>
    <xf numFmtId="0" fontId="55" fillId="5" borderId="4" xfId="0" applyFont="1" applyFill="1" applyBorder="1" applyAlignment="1" applyProtection="1">
      <alignment horizontal="right"/>
      <protection hidden="1"/>
    </xf>
    <xf numFmtId="0" fontId="55" fillId="5" borderId="6" xfId="0" applyFont="1" applyFill="1" applyBorder="1" applyAlignment="1" applyProtection="1">
      <alignment horizontal="right"/>
      <protection hidden="1"/>
    </xf>
    <xf numFmtId="14" fontId="55" fillId="5" borderId="7" xfId="0" applyNumberFormat="1" applyFont="1" applyFill="1" applyBorder="1" applyAlignment="1" applyProtection="1">
      <alignment horizontal="left"/>
      <protection hidden="1"/>
    </xf>
    <xf numFmtId="0" fontId="56" fillId="4" borderId="0" xfId="0" applyFont="1" applyFill="1" applyProtection="1">
      <protection hidden="1"/>
    </xf>
    <xf numFmtId="0" fontId="55" fillId="4" borderId="0" xfId="0" applyFont="1" applyFill="1" applyProtection="1">
      <protection hidden="1"/>
    </xf>
    <xf numFmtId="0" fontId="55" fillId="2" borderId="11" xfId="0" applyFont="1" applyFill="1" applyBorder="1" applyProtection="1">
      <protection hidden="1"/>
    </xf>
    <xf numFmtId="0" fontId="55" fillId="2" borderId="53" xfId="0" applyFont="1" applyFill="1" applyBorder="1" applyProtection="1">
      <protection hidden="1"/>
    </xf>
    <xf numFmtId="0" fontId="55" fillId="4" borderId="54" xfId="0" applyFont="1" applyFill="1" applyBorder="1"/>
    <xf numFmtId="0" fontId="55" fillId="4" borderId="55" xfId="0" applyFont="1" applyFill="1" applyBorder="1"/>
    <xf numFmtId="0" fontId="55" fillId="2" borderId="56" xfId="0" applyFont="1" applyFill="1" applyBorder="1" applyProtection="1">
      <protection hidden="1"/>
    </xf>
    <xf numFmtId="9" fontId="55" fillId="4" borderId="2" xfId="0" applyNumberFormat="1" applyFont="1" applyFill="1" applyBorder="1"/>
    <xf numFmtId="9" fontId="55" fillId="4" borderId="57" xfId="0" applyNumberFormat="1" applyFont="1" applyFill="1" applyBorder="1"/>
    <xf numFmtId="0" fontId="55" fillId="2" borderId="58" xfId="0" applyFont="1" applyFill="1" applyBorder="1" applyProtection="1">
      <protection hidden="1"/>
    </xf>
    <xf numFmtId="9" fontId="55" fillId="4" borderId="59" xfId="0" applyNumberFormat="1" applyFont="1" applyFill="1" applyBorder="1"/>
    <xf numFmtId="9" fontId="55" fillId="4" borderId="60" xfId="0" applyNumberFormat="1" applyFont="1" applyFill="1" applyBorder="1"/>
    <xf numFmtId="0" fontId="60" fillId="2" borderId="15" xfId="0" applyFont="1" applyFill="1" applyBorder="1" applyAlignment="1" applyProtection="1">
      <alignment horizontal="center" wrapText="1"/>
      <protection hidden="1"/>
    </xf>
    <xf numFmtId="0" fontId="61" fillId="2" borderId="14" xfId="0" applyFont="1" applyFill="1" applyBorder="1" applyAlignment="1" applyProtection="1">
      <alignment horizontal="left"/>
      <protection hidden="1"/>
    </xf>
    <xf numFmtId="0" fontId="57" fillId="2" borderId="1" xfId="0" applyFont="1" applyFill="1" applyBorder="1" applyAlignment="1" applyProtection="1">
      <alignment horizontal="center" wrapText="1"/>
      <protection hidden="1"/>
    </xf>
    <xf numFmtId="0" fontId="57" fillId="2" borderId="13" xfId="0" applyFont="1" applyFill="1" applyBorder="1" applyAlignment="1" applyProtection="1">
      <alignment horizontal="center" wrapText="1"/>
      <protection hidden="1"/>
    </xf>
    <xf numFmtId="0" fontId="57" fillId="2" borderId="14" xfId="0" applyFont="1" applyFill="1" applyBorder="1" applyAlignment="1" applyProtection="1">
      <alignment horizontal="center" wrapText="1"/>
      <protection hidden="1"/>
    </xf>
    <xf numFmtId="0" fontId="60" fillId="2" borderId="5" xfId="0" applyFont="1" applyFill="1" applyBorder="1" applyAlignment="1" applyProtection="1">
      <alignment horizontal="center" wrapText="1"/>
      <protection hidden="1"/>
    </xf>
    <xf numFmtId="0" fontId="57" fillId="2" borderId="5" xfId="0" applyFont="1" applyFill="1" applyBorder="1" applyAlignment="1" applyProtection="1">
      <alignment horizontal="center" vertical="top" wrapText="1"/>
      <protection hidden="1"/>
    </xf>
    <xf numFmtId="0" fontId="55" fillId="4" borderId="108" xfId="0" applyFont="1" applyFill="1" applyBorder="1"/>
    <xf numFmtId="0" fontId="55" fillId="4" borderId="77" xfId="0" applyFont="1" applyFill="1" applyBorder="1"/>
    <xf numFmtId="0" fontId="55" fillId="4" borderId="109" xfId="0" applyFont="1" applyFill="1" applyBorder="1"/>
    <xf numFmtId="0" fontId="55" fillId="4" borderId="56" xfId="0" applyFont="1" applyFill="1" applyBorder="1"/>
    <xf numFmtId="0" fontId="55" fillId="4" borderId="2" xfId="0" applyFont="1" applyFill="1" applyBorder="1"/>
    <xf numFmtId="0" fontId="55" fillId="4" borderId="57" xfId="0" applyFont="1" applyFill="1" applyBorder="1"/>
    <xf numFmtId="0" fontId="62" fillId="4" borderId="0" xfId="0" applyFont="1" applyFill="1"/>
    <xf numFmtId="0" fontId="56" fillId="3" borderId="24" xfId="0" applyFont="1" applyFill="1" applyBorder="1" applyAlignment="1" applyProtection="1">
      <alignment horizontal="left" vertical="center"/>
      <protection hidden="1"/>
    </xf>
    <xf numFmtId="0" fontId="63" fillId="2" borderId="0" xfId="0" applyFont="1" applyFill="1" applyAlignment="1" applyProtection="1">
      <alignment horizontal="left" vertical="top" wrapText="1"/>
      <protection hidden="1"/>
    </xf>
    <xf numFmtId="0" fontId="64" fillId="4" borderId="0" xfId="0" applyFont="1" applyFill="1" applyProtection="1">
      <protection hidden="1"/>
    </xf>
    <xf numFmtId="0" fontId="65" fillId="4" borderId="0" xfId="0" applyFont="1" applyFill="1" applyProtection="1">
      <protection hidden="1"/>
    </xf>
    <xf numFmtId="0" fontId="55" fillId="2" borderId="1" xfId="0" applyFont="1" applyFill="1" applyBorder="1" applyProtection="1">
      <protection hidden="1"/>
    </xf>
    <xf numFmtId="0" fontId="66" fillId="4" borderId="0" xfId="0" applyFont="1" applyFill="1" applyProtection="1">
      <protection hidden="1"/>
    </xf>
    <xf numFmtId="0" fontId="67" fillId="3" borderId="1" xfId="0" applyFont="1" applyFill="1" applyBorder="1" applyAlignment="1" applyProtection="1">
      <alignment vertical="top"/>
      <protection hidden="1"/>
    </xf>
    <xf numFmtId="0" fontId="67" fillId="3" borderId="41" xfId="0" applyFont="1" applyFill="1" applyBorder="1" applyAlignment="1" applyProtection="1">
      <alignment horizontal="left" vertical="top"/>
      <protection hidden="1"/>
    </xf>
    <xf numFmtId="0" fontId="28" fillId="3" borderId="0" xfId="0" applyFont="1" applyFill="1" applyAlignment="1" applyProtection="1">
      <alignment vertical="top"/>
      <protection hidden="1"/>
    </xf>
    <xf numFmtId="0" fontId="28" fillId="3" borderId="0" xfId="0" applyFont="1" applyFill="1" applyAlignment="1" applyProtection="1">
      <alignment vertical="top" wrapText="1"/>
      <protection hidden="1"/>
    </xf>
    <xf numFmtId="0" fontId="13" fillId="4" borderId="0" xfId="0" applyFont="1" applyFill="1" applyAlignment="1" applyProtection="1">
      <alignment vertical="center" wrapText="1"/>
      <protection hidden="1"/>
    </xf>
    <xf numFmtId="0" fontId="43" fillId="2" borderId="0" xfId="0" applyFont="1" applyFill="1" applyAlignment="1" applyProtection="1">
      <alignment horizontal="right"/>
      <protection hidden="1"/>
    </xf>
    <xf numFmtId="0" fontId="22" fillId="4" borderId="1" xfId="0" applyFont="1" applyFill="1" applyBorder="1" applyAlignment="1" applyProtection="1">
      <alignment horizontal="left"/>
      <protection hidden="1"/>
    </xf>
    <xf numFmtId="0" fontId="7" fillId="3" borderId="132" xfId="0" applyFont="1" applyFill="1" applyBorder="1" applyAlignment="1" applyProtection="1">
      <alignment horizontal="right" vertical="center"/>
      <protection hidden="1"/>
    </xf>
    <xf numFmtId="0" fontId="1" fillId="4" borderId="2" xfId="0" applyFont="1" applyFill="1" applyBorder="1" applyAlignment="1" applyProtection="1">
      <alignment vertical="center" wrapText="1"/>
      <protection locked="0" hidden="1"/>
    </xf>
    <xf numFmtId="0" fontId="7" fillId="3" borderId="100" xfId="0" applyFont="1" applyFill="1" applyBorder="1" applyAlignment="1" applyProtection="1">
      <alignment horizontal="right" vertical="center"/>
      <protection hidden="1"/>
    </xf>
    <xf numFmtId="0" fontId="7" fillId="3" borderId="130" xfId="0" applyFont="1" applyFill="1" applyBorder="1" applyAlignment="1" applyProtection="1">
      <alignment horizontal="right" vertical="center"/>
      <protection hidden="1"/>
    </xf>
    <xf numFmtId="0" fontId="7" fillId="3" borderId="101" xfId="0" applyFont="1" applyFill="1" applyBorder="1" applyAlignment="1" applyProtection="1">
      <alignment horizontal="right" vertical="center"/>
      <protection hidden="1"/>
    </xf>
    <xf numFmtId="0" fontId="1" fillId="0" borderId="2" xfId="0" applyFont="1" applyBorder="1" applyAlignment="1" applyProtection="1">
      <alignment vertical="center" wrapText="1"/>
      <protection locked="0" hidden="1"/>
    </xf>
    <xf numFmtId="0" fontId="9" fillId="0" borderId="2" xfId="0" applyFont="1" applyBorder="1" applyAlignment="1" applyProtection="1">
      <alignment vertical="center" wrapText="1"/>
      <protection locked="0" hidden="1"/>
    </xf>
    <xf numFmtId="0" fontId="7" fillId="3" borderId="131" xfId="0" applyFont="1" applyFill="1" applyBorder="1" applyAlignment="1" applyProtection="1">
      <alignment horizontal="right" vertical="center"/>
      <protection hidden="1"/>
    </xf>
    <xf numFmtId="0" fontId="7" fillId="3" borderId="114" xfId="0" applyFont="1" applyFill="1" applyBorder="1" applyAlignment="1" applyProtection="1">
      <alignment horizontal="right" vertical="center"/>
      <protection hidden="1"/>
    </xf>
    <xf numFmtId="0" fontId="7" fillId="3" borderId="9" xfId="0" applyFont="1" applyFill="1" applyBorder="1" applyAlignment="1" applyProtection="1">
      <alignment horizontal="right" vertical="center"/>
      <protection hidden="1"/>
    </xf>
    <xf numFmtId="0" fontId="7" fillId="3" borderId="133" xfId="0" applyFont="1" applyFill="1" applyBorder="1" applyAlignment="1" applyProtection="1">
      <alignment horizontal="right" vertical="top"/>
      <protection hidden="1"/>
    </xf>
    <xf numFmtId="0" fontId="8" fillId="3" borderId="15" xfId="0" applyFont="1" applyFill="1" applyBorder="1" applyAlignment="1" applyProtection="1">
      <alignment horizontal="right" vertical="top"/>
      <protection hidden="1"/>
    </xf>
    <xf numFmtId="0" fontId="1" fillId="0" borderId="15" xfId="0" applyFont="1" applyBorder="1" applyAlignment="1" applyProtection="1">
      <alignment vertical="center" wrapText="1"/>
      <protection locked="0" hidden="1"/>
    </xf>
    <xf numFmtId="0" fontId="0" fillId="0" borderId="0" xfId="0" applyProtection="1">
      <protection locked="0" hidden="1"/>
    </xf>
    <xf numFmtId="0" fontId="8" fillId="3" borderId="15" xfId="0" applyFont="1" applyFill="1" applyBorder="1" applyAlignment="1" applyProtection="1">
      <alignment horizontal="left" vertical="center" wrapText="1"/>
      <protection hidden="1"/>
    </xf>
    <xf numFmtId="0" fontId="7" fillId="3" borderId="134" xfId="0" applyFont="1" applyFill="1" applyBorder="1" applyAlignment="1" applyProtection="1">
      <alignment horizontal="right" vertical="top"/>
      <protection hidden="1"/>
    </xf>
    <xf numFmtId="0" fontId="7" fillId="3" borderId="132" xfId="0" applyFont="1" applyFill="1" applyBorder="1" applyAlignment="1" applyProtection="1">
      <alignment horizontal="right" vertical="top"/>
      <protection hidden="1"/>
    </xf>
    <xf numFmtId="0" fontId="7" fillId="3" borderId="130" xfId="0" applyFont="1" applyFill="1" applyBorder="1" applyAlignment="1" applyProtection="1">
      <alignment horizontal="right" vertical="top"/>
      <protection hidden="1"/>
    </xf>
    <xf numFmtId="0" fontId="7" fillId="3" borderId="101" xfId="0" applyFont="1" applyFill="1" applyBorder="1" applyAlignment="1" applyProtection="1">
      <alignment horizontal="right" vertical="center" wrapText="1"/>
      <protection hidden="1"/>
    </xf>
    <xf numFmtId="0" fontId="7" fillId="3" borderId="100" xfId="0" applyFont="1" applyFill="1" applyBorder="1" applyAlignment="1" applyProtection="1">
      <alignment horizontal="right" wrapText="1"/>
      <protection hidden="1"/>
    </xf>
    <xf numFmtId="0" fontId="1" fillId="0" borderId="2" xfId="0" applyFont="1" applyBorder="1" applyAlignment="1" applyProtection="1">
      <alignment vertical="center" wrapText="1"/>
      <protection hidden="1"/>
    </xf>
    <xf numFmtId="0" fontId="7" fillId="3" borderId="131" xfId="0" applyFont="1" applyFill="1" applyBorder="1" applyAlignment="1" applyProtection="1">
      <alignment horizontal="right" vertical="top" wrapText="1"/>
      <protection hidden="1"/>
    </xf>
    <xf numFmtId="0" fontId="7" fillId="3" borderId="114" xfId="0" applyFont="1" applyFill="1" applyBorder="1" applyAlignment="1" applyProtection="1">
      <alignment horizontal="right" vertical="center" wrapText="1"/>
      <protection hidden="1"/>
    </xf>
    <xf numFmtId="0" fontId="22" fillId="4" borderId="0" xfId="0" applyFont="1" applyFill="1" applyAlignment="1" applyProtection="1">
      <alignment horizontal="left"/>
      <protection hidden="1"/>
    </xf>
    <xf numFmtId="0" fontId="43" fillId="2" borderId="1" xfId="0" applyFont="1" applyFill="1" applyBorder="1" applyAlignment="1" applyProtection="1">
      <alignment horizontal="right"/>
      <protection hidden="1"/>
    </xf>
    <xf numFmtId="0" fontId="32" fillId="4" borderId="0" xfId="0" applyFont="1" applyFill="1" applyAlignment="1" applyProtection="1">
      <alignment horizontal="left" vertical="top" wrapText="1"/>
      <protection hidden="1"/>
    </xf>
    <xf numFmtId="0" fontId="0" fillId="0" borderId="0" xfId="0" applyAlignment="1" applyProtection="1">
      <alignment horizontal="right"/>
      <protection hidden="1"/>
    </xf>
    <xf numFmtId="0" fontId="9" fillId="2" borderId="0" xfId="0" applyFont="1" applyFill="1" applyProtection="1">
      <protection locked="0" hidden="1"/>
    </xf>
    <xf numFmtId="0" fontId="30" fillId="2" borderId="0" xfId="0" applyFont="1" applyFill="1" applyProtection="1">
      <protection locked="0" hidden="1"/>
    </xf>
    <xf numFmtId="0" fontId="9" fillId="2" borderId="0" xfId="0" applyFont="1" applyFill="1" applyAlignment="1" applyProtection="1">
      <alignment vertical="top" wrapText="1"/>
      <protection locked="0" hidden="1"/>
    </xf>
    <xf numFmtId="0" fontId="0" fillId="8" borderId="53" xfId="0" applyFill="1" applyBorder="1" applyProtection="1">
      <protection hidden="1"/>
    </xf>
    <xf numFmtId="0" fontId="0" fillId="7" borderId="56" xfId="0" applyFill="1" applyBorder="1" applyProtection="1">
      <protection hidden="1"/>
    </xf>
    <xf numFmtId="0" fontId="12" fillId="2" borderId="0" xfId="0" applyFont="1" applyFill="1" applyAlignment="1" applyProtection="1">
      <alignment vertical="top" wrapText="1"/>
      <protection hidden="1"/>
    </xf>
    <xf numFmtId="0" fontId="0" fillId="9" borderId="56" xfId="0" applyFill="1" applyBorder="1" applyProtection="1">
      <protection hidden="1"/>
    </xf>
    <xf numFmtId="0" fontId="44" fillId="2" borderId="1" xfId="0" applyFont="1" applyFill="1" applyBorder="1" applyAlignment="1" applyProtection="1">
      <alignment horizontal="right" vertical="top" wrapText="1"/>
      <protection hidden="1"/>
    </xf>
    <xf numFmtId="0" fontId="32" fillId="2" borderId="0" xfId="0" applyFont="1" applyFill="1" applyProtection="1">
      <protection hidden="1"/>
    </xf>
    <xf numFmtId="0" fontId="42" fillId="2" borderId="0" xfId="0" applyFont="1" applyFill="1" applyProtection="1">
      <protection hidden="1"/>
    </xf>
    <xf numFmtId="0" fontId="24" fillId="2" borderId="0" xfId="0" applyFont="1" applyFill="1" applyProtection="1">
      <protection hidden="1"/>
    </xf>
    <xf numFmtId="0" fontId="40" fillId="2" borderId="0" xfId="0" applyFont="1" applyFill="1" applyProtection="1">
      <protection hidden="1"/>
    </xf>
    <xf numFmtId="0" fontId="9" fillId="2" borderId="0" xfId="0" applyFont="1" applyFill="1" applyAlignment="1" applyProtection="1">
      <alignment horizontal="right" vertical="center"/>
      <protection hidden="1"/>
    </xf>
    <xf numFmtId="2" fontId="9" fillId="2" borderId="0" xfId="0" applyNumberFormat="1" applyFont="1" applyFill="1" applyAlignment="1" applyProtection="1">
      <alignment horizontal="left" vertical="top"/>
      <protection hidden="1"/>
    </xf>
    <xf numFmtId="14" fontId="9" fillId="2" borderId="0" xfId="0" applyNumberFormat="1" applyFont="1" applyFill="1" applyAlignment="1" applyProtection="1">
      <alignment horizontal="left"/>
      <protection hidden="1"/>
    </xf>
    <xf numFmtId="0" fontId="9" fillId="4" borderId="0" xfId="0" applyFont="1" applyFill="1" applyAlignment="1" applyProtection="1">
      <alignment vertical="center" wrapText="1"/>
      <protection hidden="1"/>
    </xf>
    <xf numFmtId="0" fontId="29" fillId="2" borderId="125" xfId="0" applyFont="1" applyFill="1" applyBorder="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54" fillId="5" borderId="124" xfId="0" applyFont="1" applyFill="1" applyBorder="1" applyAlignment="1" applyProtection="1">
      <alignment vertical="center" wrapText="1"/>
      <protection hidden="1"/>
    </xf>
    <xf numFmtId="0" fontId="20" fillId="5" borderId="0" xfId="0" applyFont="1" applyFill="1" applyAlignment="1" applyProtection="1">
      <alignment vertical="center" wrapText="1"/>
      <protection hidden="1"/>
    </xf>
    <xf numFmtId="0" fontId="20" fillId="5" borderId="0" xfId="0" applyFont="1" applyFill="1" applyAlignment="1" applyProtection="1">
      <alignment horizontal="left" vertical="center" wrapText="1"/>
      <protection hidden="1"/>
    </xf>
    <xf numFmtId="0" fontId="20" fillId="4" borderId="3" xfId="0" applyFont="1" applyFill="1" applyBorder="1" applyAlignment="1" applyProtection="1">
      <alignment vertical="center" wrapText="1"/>
      <protection hidden="1"/>
    </xf>
    <xf numFmtId="0" fontId="0" fillId="4" borderId="3" xfId="0" applyFill="1" applyBorder="1" applyAlignment="1" applyProtection="1">
      <alignment vertical="center" wrapText="1"/>
      <protection hidden="1"/>
    </xf>
    <xf numFmtId="0" fontId="23" fillId="4" borderId="2" xfId="0" applyFont="1" applyFill="1" applyBorder="1" applyAlignment="1" applyProtection="1">
      <alignment horizontal="center" vertical="center" wrapText="1"/>
      <protection hidden="1"/>
    </xf>
    <xf numFmtId="164" fontId="23" fillId="4" borderId="2" xfId="0" applyNumberFormat="1" applyFont="1" applyFill="1" applyBorder="1" applyAlignment="1" applyProtection="1">
      <alignment horizontal="center" vertical="center" wrapText="1"/>
      <protection hidden="1"/>
    </xf>
    <xf numFmtId="0" fontId="0" fillId="4" borderId="2" xfId="0" applyFill="1" applyBorder="1" applyAlignment="1" applyProtection="1">
      <alignment vertical="center" wrapText="1"/>
      <protection hidden="1"/>
    </xf>
    <xf numFmtId="0" fontId="23" fillId="4" borderId="2" xfId="0" applyFont="1" applyFill="1" applyBorder="1" applyAlignment="1" applyProtection="1">
      <alignment horizontal="left" vertical="center" wrapText="1"/>
      <protection hidden="1"/>
    </xf>
    <xf numFmtId="0" fontId="23" fillId="4" borderId="4" xfId="0" applyFont="1" applyFill="1" applyBorder="1" applyAlignment="1" applyProtection="1">
      <alignment horizontal="left" vertical="center" wrapText="1"/>
      <protection hidden="1"/>
    </xf>
    <xf numFmtId="0" fontId="20" fillId="4" borderId="15" xfId="0" applyFont="1" applyFill="1" applyBorder="1" applyAlignment="1" applyProtection="1">
      <alignment vertical="center" wrapText="1"/>
      <protection hidden="1"/>
    </xf>
    <xf numFmtId="0" fontId="23" fillId="4" borderId="7" xfId="0" applyFont="1" applyFill="1" applyBorder="1" applyAlignment="1" applyProtection="1">
      <alignment horizontal="center" vertical="center" wrapText="1"/>
      <protection hidden="1"/>
    </xf>
    <xf numFmtId="0" fontId="0" fillId="4" borderId="15" xfId="0" applyFill="1" applyBorder="1" applyAlignment="1" applyProtection="1">
      <alignment vertical="center" wrapText="1"/>
      <protection hidden="1"/>
    </xf>
    <xf numFmtId="0" fontId="34" fillId="4" borderId="2" xfId="0" applyFont="1" applyFill="1" applyBorder="1" applyAlignment="1" applyProtection="1">
      <alignment horizontal="center" vertical="center" wrapText="1"/>
      <protection hidden="1"/>
    </xf>
    <xf numFmtId="164" fontId="34" fillId="4" borderId="2" xfId="0" applyNumberFormat="1" applyFont="1" applyFill="1" applyBorder="1" applyAlignment="1" applyProtection="1">
      <alignment horizontal="center" vertical="center" wrapText="1"/>
      <protection hidden="1"/>
    </xf>
    <xf numFmtId="0" fontId="34" fillId="4" borderId="7" xfId="0" applyFont="1" applyFill="1" applyBorder="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vertical="center" wrapText="1"/>
      <protection hidden="1"/>
    </xf>
    <xf numFmtId="0" fontId="54" fillId="5" borderId="128" xfId="0" applyFont="1" applyFill="1" applyBorder="1" applyAlignment="1" applyProtection="1">
      <alignment vertical="center" wrapText="1"/>
      <protection hidden="1"/>
    </xf>
    <xf numFmtId="0" fontId="18" fillId="3" borderId="106" xfId="0" applyFont="1" applyFill="1" applyBorder="1" applyAlignment="1" applyProtection="1">
      <alignment vertical="top"/>
      <protection hidden="1"/>
    </xf>
    <xf numFmtId="0" fontId="17" fillId="3" borderId="106" xfId="0" applyFont="1" applyFill="1" applyBorder="1" applyProtection="1">
      <protection hidden="1"/>
    </xf>
    <xf numFmtId="0" fontId="13" fillId="2" borderId="8" xfId="0" applyFont="1" applyFill="1" applyBorder="1" applyAlignment="1" applyProtection="1">
      <alignment horizontal="left" vertical="center"/>
      <protection hidden="1"/>
    </xf>
    <xf numFmtId="0" fontId="13" fillId="2" borderId="0" xfId="0" applyFont="1" applyFill="1" applyAlignment="1" applyProtection="1">
      <alignment horizontal="left" vertical="center" wrapText="1"/>
      <protection hidden="1"/>
    </xf>
    <xf numFmtId="0" fontId="7" fillId="3" borderId="2" xfId="0" applyFont="1" applyFill="1" applyBorder="1" applyAlignment="1" applyProtection="1">
      <alignment horizontal="center"/>
      <protection hidden="1"/>
    </xf>
    <xf numFmtId="14" fontId="1" fillId="2" borderId="2" xfId="0" applyNumberFormat="1" applyFont="1" applyFill="1" applyBorder="1" applyAlignment="1" applyProtection="1">
      <alignment horizontal="center" vertical="center"/>
      <protection hidden="1"/>
    </xf>
    <xf numFmtId="2" fontId="1" fillId="2" borderId="6" xfId="0" applyNumberFormat="1" applyFont="1" applyFill="1" applyBorder="1" applyAlignment="1" applyProtection="1">
      <alignment horizontal="center" vertical="center"/>
      <protection hidden="1"/>
    </xf>
    <xf numFmtId="0" fontId="1" fillId="2" borderId="6" xfId="0" applyFont="1" applyFill="1" applyBorder="1" applyProtection="1">
      <protection hidden="1"/>
    </xf>
    <xf numFmtId="0" fontId="1" fillId="2" borderId="6" xfId="0" applyFont="1" applyFill="1" applyBorder="1" applyAlignment="1" applyProtection="1">
      <alignment horizontal="center" vertical="top" wrapText="1"/>
      <protection hidden="1"/>
    </xf>
    <xf numFmtId="0" fontId="0" fillId="2" borderId="6" xfId="0" applyFill="1" applyBorder="1" applyProtection="1">
      <protection hidden="1"/>
    </xf>
    <xf numFmtId="0" fontId="7" fillId="3" borderId="5" xfId="0" applyFont="1" applyFill="1" applyBorder="1" applyAlignment="1" applyProtection="1">
      <alignment horizontal="left" vertical="center"/>
      <protection hidden="1"/>
    </xf>
    <xf numFmtId="0" fontId="7" fillId="3" borderId="5" xfId="0" applyFont="1" applyFill="1" applyBorder="1" applyAlignment="1" applyProtection="1">
      <alignment horizontal="center"/>
      <protection hidden="1"/>
    </xf>
    <xf numFmtId="0" fontId="7" fillId="3" borderId="13" xfId="0" applyFont="1" applyFill="1" applyBorder="1" applyAlignment="1" applyProtection="1">
      <alignment horizontal="left"/>
      <protection hidden="1"/>
    </xf>
    <xf numFmtId="0" fontId="7" fillId="3" borderId="1" xfId="0" applyFont="1" applyFill="1" applyBorder="1" applyAlignment="1" applyProtection="1">
      <alignment horizontal="left"/>
      <protection hidden="1"/>
    </xf>
    <xf numFmtId="0" fontId="7" fillId="3" borderId="14" xfId="0" applyFont="1" applyFill="1" applyBorder="1" applyAlignment="1" applyProtection="1">
      <alignment horizontal="left"/>
      <protection hidden="1"/>
    </xf>
    <xf numFmtId="49" fontId="0" fillId="4" borderId="2" xfId="0" applyNumberFormat="1" applyFill="1" applyBorder="1" applyAlignment="1" applyProtection="1">
      <alignment horizontal="center" vertical="center"/>
      <protection hidden="1"/>
    </xf>
    <xf numFmtId="14" fontId="0" fillId="4" borderId="2" xfId="0" applyNumberFormat="1" applyFill="1" applyBorder="1" applyAlignment="1" applyProtection="1">
      <alignment horizontal="center" vertical="center"/>
      <protection hidden="1"/>
    </xf>
    <xf numFmtId="49" fontId="1" fillId="2" borderId="2" xfId="0" applyNumberFormat="1" applyFont="1" applyFill="1" applyBorder="1" applyAlignment="1" applyProtection="1">
      <alignment horizontal="center" vertical="center"/>
      <protection hidden="1"/>
    </xf>
    <xf numFmtId="0" fontId="1" fillId="4" borderId="2" xfId="0" applyFont="1" applyFill="1" applyBorder="1" applyAlignment="1" applyProtection="1">
      <alignment vertical="center" wrapText="1"/>
      <protection locked="0"/>
    </xf>
    <xf numFmtId="0" fontId="0" fillId="0" borderId="1" xfId="0" applyBorder="1"/>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horizontal="left" vertical="center" wrapText="1"/>
      <protection locked="0"/>
    </xf>
    <xf numFmtId="0" fontId="1" fillId="0" borderId="5" xfId="0" applyFont="1" applyBorder="1" applyAlignment="1" applyProtection="1">
      <alignment vertical="center" wrapText="1"/>
      <protection locked="0"/>
    </xf>
    <xf numFmtId="0" fontId="0" fillId="0" borderId="2" xfId="0" applyBorder="1" applyProtection="1">
      <protection locked="0"/>
    </xf>
    <xf numFmtId="0" fontId="0" fillId="2" borderId="2" xfId="0" applyFill="1" applyBorder="1" applyProtection="1">
      <protection locked="0"/>
    </xf>
    <xf numFmtId="0" fontId="0" fillId="4" borderId="1" xfId="0" applyFill="1" applyBorder="1"/>
    <xf numFmtId="0" fontId="0" fillId="2" borderId="0" xfId="0" applyFill="1" applyProtection="1">
      <protection locked="0"/>
    </xf>
    <xf numFmtId="0" fontId="69" fillId="0" borderId="0" xfId="0" applyFont="1"/>
    <xf numFmtId="0" fontId="16" fillId="3" borderId="0" xfId="0" applyFont="1" applyFill="1" applyAlignment="1" applyProtection="1">
      <alignment horizontal="right" vertical="top"/>
      <protection hidden="1"/>
    </xf>
    <xf numFmtId="0" fontId="67" fillId="3" borderId="1" xfId="0" applyFont="1" applyFill="1" applyBorder="1" applyAlignment="1" applyProtection="1">
      <alignment horizontal="right" vertical="top"/>
      <protection hidden="1"/>
    </xf>
    <xf numFmtId="0" fontId="18" fillId="3" borderId="79" xfId="0" applyFont="1" applyFill="1" applyBorder="1" applyAlignment="1" applyProtection="1">
      <alignment horizontal="right" vertical="top"/>
      <protection hidden="1"/>
    </xf>
    <xf numFmtId="0" fontId="70" fillId="3" borderId="0" xfId="0" applyFont="1" applyFill="1" applyAlignment="1">
      <alignment horizontal="right" vertical="top"/>
    </xf>
    <xf numFmtId="0" fontId="28" fillId="3" borderId="0" xfId="0" applyFont="1" applyFill="1" applyAlignment="1" applyProtection="1">
      <alignment horizontal="right" vertical="top" wrapText="1"/>
      <protection hidden="1"/>
    </xf>
    <xf numFmtId="0" fontId="16" fillId="3" borderId="1" xfId="0" applyFont="1" applyFill="1" applyBorder="1" applyAlignment="1">
      <alignment horizontal="right" vertical="top" wrapText="1"/>
    </xf>
    <xf numFmtId="0" fontId="41" fillId="2" borderId="1" xfId="0" applyFont="1" applyFill="1" applyBorder="1" applyAlignment="1">
      <alignment wrapText="1"/>
    </xf>
    <xf numFmtId="0" fontId="41" fillId="2" borderId="41" xfId="0" applyFont="1" applyFill="1" applyBorder="1" applyAlignment="1">
      <alignment wrapText="1"/>
    </xf>
    <xf numFmtId="0" fontId="23" fillId="4" borderId="50" xfId="0" applyFont="1" applyFill="1" applyBorder="1" applyAlignment="1" applyProtection="1">
      <alignment horizontal="left" vertical="center" wrapText="1"/>
      <protection locked="0"/>
    </xf>
    <xf numFmtId="0" fontId="23" fillId="5" borderId="136" xfId="0" applyFont="1" applyFill="1" applyBorder="1" applyAlignment="1" applyProtection="1">
      <alignment horizontal="left" vertical="center" wrapText="1"/>
      <protection locked="0"/>
    </xf>
    <xf numFmtId="0" fontId="23" fillId="4" borderId="48" xfId="0" applyFont="1" applyFill="1" applyBorder="1" applyAlignment="1" applyProtection="1">
      <alignment horizontal="left" vertical="center" wrapText="1"/>
      <protection locked="0"/>
    </xf>
    <xf numFmtId="0" fontId="55" fillId="0" borderId="5" xfId="0" applyFont="1" applyBorder="1"/>
    <xf numFmtId="0" fontId="20" fillId="10" borderId="2" xfId="0" applyFont="1" applyFill="1" applyBorder="1"/>
    <xf numFmtId="0" fontId="20" fillId="6" borderId="48" xfId="0" applyFont="1" applyFill="1" applyBorder="1" applyAlignment="1" applyProtection="1">
      <alignment horizontal="center" vertical="center"/>
      <protection locked="0"/>
    </xf>
    <xf numFmtId="0" fontId="0" fillId="12" borderId="2" xfId="0" applyFill="1" applyBorder="1" applyProtection="1">
      <protection hidden="1"/>
    </xf>
    <xf numFmtId="0" fontId="0" fillId="18" borderId="2" xfId="0" applyFill="1" applyBorder="1" applyProtection="1">
      <protection hidden="1"/>
    </xf>
    <xf numFmtId="0" fontId="3" fillId="12" borderId="2" xfId="0" applyFont="1" applyFill="1" applyBorder="1" applyProtection="1">
      <protection hidden="1"/>
    </xf>
    <xf numFmtId="0" fontId="0" fillId="18" borderId="0" xfId="0" applyFill="1"/>
    <xf numFmtId="0" fontId="0" fillId="12" borderId="0" xfId="0" applyFill="1"/>
    <xf numFmtId="0" fontId="0" fillId="2" borderId="5" xfId="0" applyFill="1" applyBorder="1" applyProtection="1">
      <protection hidden="1"/>
    </xf>
    <xf numFmtId="0" fontId="0" fillId="2" borderId="59" xfId="0" applyFill="1" applyBorder="1" applyProtection="1">
      <protection hidden="1"/>
    </xf>
    <xf numFmtId="0" fontId="39" fillId="0" borderId="2" xfId="0" applyFont="1" applyBorder="1"/>
    <xf numFmtId="0" fontId="71" fillId="10" borderId="64" xfId="0" applyFont="1" applyFill="1" applyBorder="1"/>
    <xf numFmtId="0" fontId="0" fillId="2" borderId="54" xfId="0" applyFill="1" applyBorder="1" applyProtection="1">
      <protection hidden="1"/>
    </xf>
    <xf numFmtId="0" fontId="0" fillId="2" borderId="3" xfId="0" applyFill="1" applyBorder="1" applyProtection="1">
      <protection hidden="1"/>
    </xf>
    <xf numFmtId="0" fontId="39" fillId="0" borderId="5" xfId="0" applyFont="1" applyBorder="1"/>
    <xf numFmtId="0" fontId="39" fillId="0" borderId="3" xfId="0" applyFont="1" applyBorder="1"/>
    <xf numFmtId="0" fontId="39" fillId="0" borderId="54" xfId="0" applyFont="1" applyBorder="1"/>
    <xf numFmtId="0" fontId="0" fillId="0" borderId="80" xfId="0" applyBorder="1"/>
    <xf numFmtId="0" fontId="0" fillId="2" borderId="81" xfId="0" applyFill="1" applyBorder="1" applyProtection="1">
      <protection hidden="1"/>
    </xf>
    <xf numFmtId="0" fontId="29" fillId="9" borderId="54" xfId="0" applyFont="1" applyFill="1" applyBorder="1"/>
    <xf numFmtId="0" fontId="21" fillId="0" borderId="0" xfId="0" applyFont="1"/>
    <xf numFmtId="0" fontId="72" fillId="3" borderId="0" xfId="0" applyFont="1" applyFill="1" applyAlignment="1" applyProtection="1">
      <alignment horizontal="center"/>
      <protection hidden="1"/>
    </xf>
    <xf numFmtId="0" fontId="72" fillId="3" borderId="0" xfId="0" applyFont="1" applyFill="1" applyAlignment="1" applyProtection="1">
      <alignment horizontal="left"/>
      <protection hidden="1"/>
    </xf>
    <xf numFmtId="0" fontId="0" fillId="12" borderId="7" xfId="0" applyFill="1" applyBorder="1" applyProtection="1">
      <protection hidden="1"/>
    </xf>
    <xf numFmtId="0" fontId="0" fillId="2" borderId="7" xfId="0" applyFill="1" applyBorder="1" applyProtection="1">
      <protection hidden="1"/>
    </xf>
    <xf numFmtId="0" fontId="0" fillId="20" borderId="5" xfId="0" applyFill="1" applyBorder="1"/>
    <xf numFmtId="0" fontId="0" fillId="20" borderId="0" xfId="0" applyFill="1"/>
    <xf numFmtId="0" fontId="0" fillId="8" borderId="5" xfId="0" applyFill="1" applyBorder="1"/>
    <xf numFmtId="0" fontId="41" fillId="2" borderId="1" xfId="0" applyFont="1" applyFill="1" applyBorder="1" applyAlignment="1">
      <alignment horizontal="center" wrapText="1"/>
    </xf>
    <xf numFmtId="0" fontId="20" fillId="10" borderId="21" xfId="0" applyFont="1" applyFill="1" applyBorder="1"/>
    <xf numFmtId="0" fontId="20" fillId="10" borderId="68" xfId="0" applyFont="1" applyFill="1" applyBorder="1"/>
    <xf numFmtId="0" fontId="0" fillId="21" borderId="0" xfId="0" applyFill="1"/>
    <xf numFmtId="0" fontId="20" fillId="10" borderId="2" xfId="0" applyFont="1" applyFill="1" applyBorder="1" applyAlignment="1">
      <alignment wrapText="1"/>
    </xf>
    <xf numFmtId="0" fontId="49" fillId="4" borderId="50" xfId="0" applyFont="1" applyFill="1" applyBorder="1" applyAlignment="1" applyProtection="1">
      <alignment horizontal="left" vertical="center" wrapText="1"/>
      <protection locked="0"/>
    </xf>
    <xf numFmtId="0" fontId="73" fillId="4" borderId="50" xfId="0" applyFont="1" applyFill="1" applyBorder="1" applyAlignment="1" applyProtection="1">
      <alignment horizontal="left" vertical="center" wrapText="1"/>
      <protection locked="0"/>
    </xf>
    <xf numFmtId="0" fontId="41" fillId="2" borderId="48" xfId="0" applyFont="1" applyFill="1" applyBorder="1" applyAlignment="1">
      <alignment horizontal="center" vertical="top" wrapText="1"/>
    </xf>
    <xf numFmtId="0" fontId="20" fillId="10" borderId="0" xfId="0" applyFont="1" applyFill="1" applyAlignment="1">
      <alignment wrapText="1"/>
    </xf>
    <xf numFmtId="1" fontId="0" fillId="0" borderId="56" xfId="0" applyNumberFormat="1" applyBorder="1" applyAlignment="1">
      <alignment horizontal="right"/>
    </xf>
    <xf numFmtId="0" fontId="53" fillId="2" borderId="5" xfId="0" applyFont="1" applyFill="1" applyBorder="1" applyAlignment="1" applyProtection="1">
      <alignment horizontal="center"/>
      <protection hidden="1"/>
    </xf>
    <xf numFmtId="0" fontId="0" fillId="4" borderId="15" xfId="0" applyFill="1" applyBorder="1" applyAlignment="1" applyProtection="1">
      <alignment horizontal="center" vertical="top"/>
      <protection hidden="1"/>
    </xf>
    <xf numFmtId="0" fontId="1" fillId="0" borderId="15" xfId="0" applyFont="1" applyBorder="1" applyAlignment="1" applyProtection="1">
      <alignment horizontal="left" vertical="center"/>
      <protection hidden="1"/>
    </xf>
    <xf numFmtId="164" fontId="9" fillId="0" borderId="15" xfId="2" applyNumberFormat="1" applyFont="1" applyFill="1" applyBorder="1" applyAlignment="1" applyProtection="1">
      <alignment horizontal="left" vertical="center"/>
      <protection hidden="1"/>
    </xf>
    <xf numFmtId="0" fontId="1" fillId="0" borderId="5" xfId="0" applyFont="1" applyBorder="1" applyAlignment="1" applyProtection="1">
      <alignment vertical="center"/>
      <protection hidden="1"/>
    </xf>
    <xf numFmtId="0" fontId="0" fillId="5" borderId="15" xfId="0" applyFill="1" applyBorder="1" applyProtection="1">
      <protection hidden="1"/>
    </xf>
    <xf numFmtId="0" fontId="0" fillId="5" borderId="5" xfId="0" applyFill="1" applyBorder="1" applyProtection="1">
      <protection hidden="1"/>
    </xf>
    <xf numFmtId="0" fontId="0" fillId="0" borderId="12" xfId="0" applyBorder="1" applyAlignment="1" applyProtection="1">
      <alignment horizontal="center" vertical="top" wrapText="1"/>
      <protection hidden="1"/>
    </xf>
    <xf numFmtId="0" fontId="20" fillId="0" borderId="0" xfId="0" applyFont="1" applyAlignment="1" applyProtection="1">
      <alignment horizontal="left" vertical="center"/>
      <protection hidden="1"/>
    </xf>
    <xf numFmtId="0" fontId="20" fillId="5" borderId="12" xfId="0" applyFont="1" applyFill="1" applyBorder="1" applyAlignment="1" applyProtection="1">
      <alignment horizontal="left" vertical="center" wrapText="1"/>
      <protection hidden="1"/>
    </xf>
    <xf numFmtId="0" fontId="26" fillId="2" borderId="135" xfId="0" applyFont="1" applyFill="1" applyBorder="1" applyAlignment="1">
      <alignment horizontal="center" vertical="top" wrapText="1"/>
    </xf>
    <xf numFmtId="0" fontId="0" fillId="18" borderId="2" xfId="0" applyFill="1" applyBorder="1"/>
    <xf numFmtId="0" fontId="0" fillId="18" borderId="56" xfId="0" applyFill="1" applyBorder="1"/>
    <xf numFmtId="0" fontId="21" fillId="18" borderId="2" xfId="0" applyFont="1" applyFill="1" applyBorder="1"/>
    <xf numFmtId="0" fontId="0" fillId="18" borderId="66" xfId="0" applyFill="1" applyBorder="1"/>
    <xf numFmtId="0" fontId="0" fillId="18" borderId="3" xfId="0" applyFill="1" applyBorder="1"/>
    <xf numFmtId="0" fontId="0" fillId="18" borderId="85" xfId="0" applyFill="1" applyBorder="1"/>
    <xf numFmtId="0" fontId="0" fillId="18" borderId="15" xfId="0" applyFill="1" applyBorder="1"/>
    <xf numFmtId="0" fontId="21" fillId="0" borderId="15" xfId="0" applyFont="1" applyBorder="1"/>
    <xf numFmtId="0" fontId="29" fillId="13" borderId="84" xfId="0" applyFont="1" applyFill="1" applyBorder="1"/>
    <xf numFmtId="0" fontId="29" fillId="13" borderId="116" xfId="0" applyFont="1" applyFill="1" applyBorder="1"/>
    <xf numFmtId="0" fontId="0" fillId="5" borderId="138" xfId="0" applyFill="1" applyBorder="1" applyAlignment="1">
      <alignment horizontal="left" vertical="center"/>
    </xf>
    <xf numFmtId="0" fontId="23" fillId="5" borderId="139" xfId="0" applyFont="1" applyFill="1" applyBorder="1" applyAlignment="1">
      <alignment horizontal="center" vertical="center"/>
    </xf>
    <xf numFmtId="0" fontId="23" fillId="4" borderId="137" xfId="0" applyFont="1" applyFill="1" applyBorder="1" applyAlignment="1" applyProtection="1">
      <alignment horizontal="left" vertical="center" wrapText="1"/>
      <protection locked="0"/>
    </xf>
    <xf numFmtId="0" fontId="23" fillId="4" borderId="135" xfId="0" applyFont="1" applyFill="1" applyBorder="1" applyAlignment="1" applyProtection="1">
      <alignment horizontal="left" vertical="center" wrapText="1"/>
      <protection locked="0"/>
    </xf>
    <xf numFmtId="0" fontId="0" fillId="8" borderId="58" xfId="0" applyFill="1" applyBorder="1"/>
    <xf numFmtId="0" fontId="23" fillId="18" borderId="2" xfId="0" applyFont="1" applyFill="1" applyBorder="1" applyAlignment="1">
      <alignment horizontal="center" vertical="center"/>
    </xf>
    <xf numFmtId="1" fontId="0" fillId="18" borderId="55" xfId="0" applyNumberFormat="1" applyFill="1" applyBorder="1"/>
    <xf numFmtId="1" fontId="0" fillId="18" borderId="57" xfId="0" applyNumberFormat="1" applyFill="1" applyBorder="1"/>
    <xf numFmtId="1" fontId="0" fillId="18" borderId="60" xfId="0" applyNumberFormat="1" applyFill="1" applyBorder="1"/>
    <xf numFmtId="0" fontId="74" fillId="2" borderId="1" xfId="0" applyFont="1" applyFill="1" applyBorder="1" applyProtection="1">
      <protection hidden="1"/>
    </xf>
    <xf numFmtId="0" fontId="28" fillId="3" borderId="0" xfId="0" applyFont="1" applyFill="1" applyAlignment="1">
      <alignment vertical="center"/>
    </xf>
    <xf numFmtId="0" fontId="16" fillId="3" borderId="0" xfId="0" applyFont="1" applyFill="1" applyAlignment="1" applyProtection="1">
      <alignment horizontal="left" vertical="top"/>
      <protection hidden="1"/>
    </xf>
    <xf numFmtId="0" fontId="0" fillId="12" borderId="0" xfId="0" applyFill="1" applyProtection="1">
      <protection hidden="1"/>
    </xf>
    <xf numFmtId="0" fontId="0" fillId="8" borderId="66" xfId="0" applyFill="1" applyBorder="1"/>
    <xf numFmtId="0" fontId="0" fillId="12" borderId="85" xfId="0" applyFill="1" applyBorder="1"/>
    <xf numFmtId="0" fontId="29" fillId="0" borderId="2" xfId="0" applyFont="1" applyBorder="1" applyProtection="1">
      <protection hidden="1"/>
    </xf>
    <xf numFmtId="0" fontId="0" fillId="8" borderId="53" xfId="0" applyFill="1" applyBorder="1"/>
    <xf numFmtId="0" fontId="23" fillId="4" borderId="7" xfId="0" applyFont="1" applyFill="1" applyBorder="1" applyAlignment="1" applyProtection="1">
      <alignment horizontal="center" vertical="center" wrapText="1"/>
      <protection locked="0"/>
    </xf>
    <xf numFmtId="0" fontId="67" fillId="4" borderId="0" xfId="0" applyFont="1" applyFill="1" applyAlignment="1" applyProtection="1">
      <alignment vertical="top" wrapText="1"/>
      <protection hidden="1"/>
    </xf>
    <xf numFmtId="0" fontId="77" fillId="2" borderId="0" xfId="0" applyFont="1" applyFill="1" applyAlignment="1" applyProtection="1">
      <alignment horizontal="left" wrapText="1"/>
      <protection locked="0" hidden="1"/>
    </xf>
    <xf numFmtId="0" fontId="23" fillId="4" borderId="36" xfId="0" applyFont="1" applyFill="1" applyBorder="1" applyAlignment="1" applyProtection="1">
      <alignment horizontal="left" vertical="top" wrapText="1"/>
      <protection locked="0"/>
    </xf>
    <xf numFmtId="0" fontId="46" fillId="2" borderId="41" xfId="0" applyFont="1" applyFill="1" applyBorder="1" applyAlignment="1">
      <alignment horizontal="center" vertical="top" wrapText="1"/>
    </xf>
    <xf numFmtId="0" fontId="0" fillId="4" borderId="40" xfId="0" applyFill="1" applyBorder="1" applyAlignment="1">
      <alignment vertical="top" wrapText="1"/>
    </xf>
    <xf numFmtId="0" fontId="20" fillId="6" borderId="48" xfId="0" applyFont="1" applyFill="1" applyBorder="1" applyAlignment="1" applyProtection="1">
      <alignment horizontal="left" vertical="top" wrapText="1"/>
      <protection locked="0"/>
    </xf>
    <xf numFmtId="0" fontId="20" fillId="6" borderId="1" xfId="0" applyFont="1" applyFill="1" applyBorder="1" applyAlignment="1" applyProtection="1">
      <alignment horizontal="left" vertical="top" wrapText="1"/>
      <protection locked="0"/>
    </xf>
    <xf numFmtId="0" fontId="20" fillId="6" borderId="41" xfId="0" applyFont="1" applyFill="1" applyBorder="1" applyAlignment="1" applyProtection="1">
      <alignment horizontal="left" vertical="top" wrapText="1"/>
      <protection locked="0"/>
    </xf>
    <xf numFmtId="0" fontId="23" fillId="4" borderId="4" xfId="0" applyFont="1" applyFill="1" applyBorder="1" applyAlignment="1" applyProtection="1">
      <alignment horizontal="left" vertical="top" wrapText="1"/>
      <protection locked="0"/>
    </xf>
    <xf numFmtId="0" fontId="23" fillId="4" borderId="2" xfId="0" applyFont="1" applyFill="1" applyBorder="1" applyAlignment="1" applyProtection="1">
      <alignment horizontal="left" vertical="top" wrapText="1"/>
      <protection locked="0"/>
    </xf>
    <xf numFmtId="0" fontId="23" fillId="5" borderId="95" xfId="0" applyFont="1" applyFill="1" applyBorder="1" applyAlignment="1" applyProtection="1">
      <alignment horizontal="left" vertical="top" wrapText="1"/>
      <protection locked="0"/>
    </xf>
    <xf numFmtId="0" fontId="23" fillId="5" borderId="94" xfId="0" applyFont="1" applyFill="1" applyBorder="1" applyAlignment="1" applyProtection="1">
      <alignment horizontal="left" vertical="top" wrapText="1"/>
      <protection locked="0"/>
    </xf>
    <xf numFmtId="0" fontId="23" fillId="5" borderId="94" xfId="0" applyFont="1" applyFill="1" applyBorder="1" applyAlignment="1" applyProtection="1">
      <alignment horizontal="center" vertical="top" wrapText="1"/>
      <protection locked="0"/>
    </xf>
    <xf numFmtId="0" fontId="0" fillId="2" borderId="0" xfId="0" applyFill="1" applyAlignment="1" applyProtection="1">
      <alignment horizontal="left" vertical="top" wrapText="1"/>
      <protection locked="0"/>
    </xf>
    <xf numFmtId="0" fontId="0" fillId="2" borderId="0" xfId="0" applyFill="1" applyAlignment="1" applyProtection="1">
      <alignment vertical="top" wrapText="1"/>
      <protection locked="0"/>
    </xf>
    <xf numFmtId="0" fontId="20" fillId="6" borderId="1" xfId="0" applyFont="1" applyFill="1" applyBorder="1" applyAlignment="1" applyProtection="1">
      <alignment vertical="top" wrapText="1"/>
      <protection locked="0"/>
    </xf>
    <xf numFmtId="0" fontId="20" fillId="6" borderId="49" xfId="0" applyFont="1" applyFill="1" applyBorder="1" applyAlignment="1" applyProtection="1">
      <alignment horizontal="left" vertical="top" wrapText="1"/>
      <protection locked="0"/>
    </xf>
    <xf numFmtId="0" fontId="20" fillId="6" borderId="45" xfId="0" applyFont="1" applyFill="1" applyBorder="1" applyAlignment="1" applyProtection="1">
      <alignment horizontal="left" vertical="top" wrapText="1"/>
      <protection locked="0"/>
    </xf>
    <xf numFmtId="0" fontId="20" fillId="6" borderId="45" xfId="0" applyFont="1" applyFill="1" applyBorder="1" applyAlignment="1" applyProtection="1">
      <alignment vertical="top" wrapText="1"/>
      <protection locked="0"/>
    </xf>
    <xf numFmtId="0" fontId="20" fillId="6" borderId="39" xfId="0" applyFont="1" applyFill="1" applyBorder="1" applyAlignment="1" applyProtection="1">
      <alignment horizontal="left" vertical="top" wrapText="1"/>
      <protection locked="0"/>
    </xf>
    <xf numFmtId="0" fontId="23" fillId="5" borderId="92" xfId="0" applyFont="1" applyFill="1" applyBorder="1" applyAlignment="1" applyProtection="1">
      <alignment horizontal="center" vertical="top" wrapText="1"/>
      <protection locked="0"/>
    </xf>
    <xf numFmtId="0" fontId="0" fillId="2" borderId="0" xfId="0" applyFill="1" applyAlignment="1" applyProtection="1">
      <alignment vertical="top" wrapText="1"/>
      <protection hidden="1"/>
    </xf>
    <xf numFmtId="0" fontId="20" fillId="4" borderId="0" xfId="0" applyFont="1" applyFill="1" applyAlignment="1" applyProtection="1">
      <alignment horizontal="right" vertical="top" wrapText="1"/>
      <protection hidden="1"/>
    </xf>
    <xf numFmtId="0" fontId="0" fillId="4" borderId="0" xfId="0" applyFill="1" applyAlignment="1" applyProtection="1">
      <alignment vertical="top" wrapText="1"/>
      <protection hidden="1"/>
    </xf>
    <xf numFmtId="0" fontId="0" fillId="2" borderId="0" xfId="0" applyFill="1" applyAlignment="1" applyProtection="1">
      <alignment vertical="top" wrapText="1"/>
      <protection locked="0" hidden="1"/>
    </xf>
    <xf numFmtId="0" fontId="11" fillId="2" borderId="0" xfId="0" applyFont="1" applyFill="1" applyAlignment="1" applyProtection="1">
      <alignment horizontal="center" vertical="top" wrapText="1"/>
      <protection locked="0" hidden="1"/>
    </xf>
    <xf numFmtId="0" fontId="0" fillId="0" borderId="0" xfId="0" applyAlignment="1">
      <alignment wrapText="1"/>
    </xf>
    <xf numFmtId="0" fontId="29" fillId="0" borderId="0" xfId="0" applyFont="1" applyAlignment="1">
      <alignment wrapText="1"/>
    </xf>
    <xf numFmtId="1" fontId="0" fillId="0" borderId="0" xfId="0" applyNumberFormat="1" applyAlignment="1">
      <alignment wrapText="1"/>
    </xf>
    <xf numFmtId="14" fontId="0" fillId="0" borderId="0" xfId="0" applyNumberFormat="1" applyAlignment="1">
      <alignment wrapText="1"/>
    </xf>
    <xf numFmtId="0" fontId="75" fillId="12" borderId="2" xfId="0" applyFont="1" applyFill="1" applyBorder="1" applyAlignment="1">
      <alignment wrapText="1"/>
    </xf>
    <xf numFmtId="0" fontId="75" fillId="12" borderId="57" xfId="0" applyFont="1" applyFill="1" applyBorder="1" applyAlignment="1">
      <alignment wrapText="1"/>
    </xf>
    <xf numFmtId="0" fontId="0" fillId="12" borderId="2" xfId="0" applyFill="1" applyBorder="1" applyAlignment="1">
      <alignment wrapText="1"/>
    </xf>
    <xf numFmtId="0" fontId="0" fillId="12" borderId="57" xfId="0" applyFill="1" applyBorder="1" applyAlignment="1">
      <alignment wrapText="1"/>
    </xf>
    <xf numFmtId="0" fontId="0" fillId="12" borderId="3" xfId="0" applyFill="1" applyBorder="1" applyAlignment="1">
      <alignment wrapText="1"/>
    </xf>
    <xf numFmtId="0" fontId="0" fillId="12" borderId="67" xfId="0" applyFill="1" applyBorder="1" applyAlignment="1">
      <alignment wrapText="1"/>
    </xf>
    <xf numFmtId="0" fontId="29" fillId="13" borderId="64" xfId="0" applyFont="1" applyFill="1" applyBorder="1" applyAlignment="1">
      <alignment wrapText="1"/>
    </xf>
    <xf numFmtId="0" fontId="29" fillId="13" borderId="84" xfId="0" applyFont="1" applyFill="1" applyBorder="1" applyAlignment="1">
      <alignment wrapText="1"/>
    </xf>
    <xf numFmtId="0" fontId="0" fillId="12" borderId="54" xfId="0" applyFill="1" applyBorder="1" applyAlignment="1">
      <alignment wrapText="1"/>
    </xf>
    <xf numFmtId="0" fontId="0" fillId="12" borderId="55" xfId="0" applyFill="1" applyBorder="1" applyAlignment="1">
      <alignment wrapText="1"/>
    </xf>
    <xf numFmtId="0" fontId="0" fillId="12" borderId="59" xfId="0" applyFill="1" applyBorder="1" applyAlignment="1">
      <alignment wrapText="1"/>
    </xf>
    <xf numFmtId="0" fontId="0" fillId="12" borderId="60" xfId="0" applyFill="1" applyBorder="1" applyAlignment="1">
      <alignment wrapText="1"/>
    </xf>
    <xf numFmtId="0" fontId="21" fillId="0" borderId="0" xfId="0" applyFont="1" applyAlignment="1">
      <alignment wrapText="1"/>
    </xf>
    <xf numFmtId="0" fontId="20" fillId="10" borderId="64" xfId="0" applyFont="1" applyFill="1" applyBorder="1" applyAlignment="1">
      <alignment wrapText="1"/>
    </xf>
    <xf numFmtId="0" fontId="20" fillId="10" borderId="65" xfId="0" applyFont="1" applyFill="1" applyBorder="1" applyAlignment="1">
      <alignment wrapText="1"/>
    </xf>
    <xf numFmtId="0" fontId="0" fillId="0" borderId="5" xfId="0" applyBorder="1" applyAlignment="1">
      <alignment wrapText="1"/>
    </xf>
    <xf numFmtId="0" fontId="0" fillId="0" borderId="62" xfId="0" applyBorder="1" applyAlignment="1">
      <alignment wrapText="1"/>
    </xf>
    <xf numFmtId="0" fontId="0" fillId="0" borderId="2" xfId="0" applyBorder="1" applyAlignment="1">
      <alignment wrapText="1"/>
    </xf>
    <xf numFmtId="0" fontId="0" fillId="0" borderId="57"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3" xfId="0" applyBorder="1" applyAlignment="1">
      <alignment wrapText="1"/>
    </xf>
    <xf numFmtId="0" fontId="0" fillId="0" borderId="67" xfId="0" applyBorder="1" applyAlignment="1">
      <alignment wrapText="1"/>
    </xf>
    <xf numFmtId="0" fontId="0" fillId="0" borderId="54" xfId="0" applyBorder="1" applyAlignment="1">
      <alignment wrapText="1"/>
    </xf>
    <xf numFmtId="0" fontId="0" fillId="0" borderId="55" xfId="0" applyBorder="1" applyAlignment="1">
      <alignment wrapText="1"/>
    </xf>
    <xf numFmtId="0" fontId="0" fillId="0" borderId="81" xfId="0" applyBorder="1" applyAlignment="1">
      <alignment wrapText="1"/>
    </xf>
    <xf numFmtId="0" fontId="0" fillId="0" borderId="23" xfId="0" applyBorder="1" applyAlignment="1">
      <alignment wrapText="1"/>
    </xf>
    <xf numFmtId="0" fontId="21" fillId="0" borderId="0" xfId="0" applyFont="1" applyAlignment="1">
      <alignment vertical="top" wrapText="1"/>
    </xf>
    <xf numFmtId="0" fontId="23" fillId="0" borderId="36" xfId="0" applyFont="1" applyBorder="1" applyAlignment="1" applyProtection="1">
      <alignment horizontal="left" vertical="top" wrapText="1"/>
      <protection locked="0"/>
    </xf>
    <xf numFmtId="0" fontId="41" fillId="2" borderId="51" xfId="0" applyFont="1" applyFill="1" applyBorder="1" applyAlignment="1">
      <alignment horizontal="center" vertical="top" wrapText="1"/>
    </xf>
    <xf numFmtId="0" fontId="7" fillId="3" borderId="45" xfId="0" applyFont="1" applyFill="1" applyBorder="1" applyAlignment="1">
      <alignment horizontal="left" vertical="top" wrapText="1"/>
    </xf>
    <xf numFmtId="0" fontId="1" fillId="5" borderId="38" xfId="0" applyFont="1" applyFill="1" applyBorder="1" applyAlignment="1">
      <alignment horizontal="left" vertical="top" wrapText="1"/>
    </xf>
    <xf numFmtId="0" fontId="7" fillId="3" borderId="45" xfId="0" applyFont="1" applyFill="1" applyBorder="1" applyAlignment="1">
      <alignment horizontal="left" vertical="center" wrapText="1"/>
    </xf>
    <xf numFmtId="0" fontId="7" fillId="3" borderId="27" xfId="0" applyFont="1" applyFill="1" applyBorder="1" applyAlignment="1">
      <alignment horizontal="left" vertical="top" wrapText="1"/>
    </xf>
    <xf numFmtId="164" fontId="9" fillId="5" borderId="37" xfId="2" applyNumberFormat="1" applyFont="1" applyFill="1" applyBorder="1" applyAlignment="1" applyProtection="1">
      <alignment horizontal="left" vertical="top" wrapText="1"/>
    </xf>
    <xf numFmtId="0" fontId="7" fillId="3" borderId="27" xfId="0" applyFont="1" applyFill="1" applyBorder="1" applyAlignment="1">
      <alignment horizontal="left" vertical="center" wrapText="1"/>
    </xf>
    <xf numFmtId="0" fontId="1" fillId="5" borderId="37" xfId="0" applyFont="1" applyFill="1" applyBorder="1" applyAlignment="1">
      <alignment vertical="top" wrapText="1"/>
    </xf>
    <xf numFmtId="0" fontId="1" fillId="5" borderId="37" xfId="0" applyFont="1" applyFill="1" applyBorder="1" applyAlignment="1" applyProtection="1">
      <alignment vertical="top" wrapText="1"/>
      <protection locked="0"/>
    </xf>
    <xf numFmtId="0" fontId="20" fillId="4" borderId="40" xfId="0" applyFont="1" applyFill="1" applyBorder="1" applyAlignment="1" applyProtection="1">
      <alignment vertical="top" wrapText="1"/>
      <protection locked="0"/>
    </xf>
    <xf numFmtId="0" fontId="20" fillId="6" borderId="51" xfId="0" applyFont="1" applyFill="1" applyBorder="1" applyAlignment="1" applyProtection="1">
      <alignment vertical="top" wrapText="1"/>
      <protection locked="0"/>
    </xf>
    <xf numFmtId="0" fontId="23" fillId="3" borderId="6" xfId="0" applyFont="1" applyFill="1" applyBorder="1" applyAlignment="1" applyProtection="1">
      <alignment horizontal="center" vertical="top" wrapText="1"/>
      <protection locked="0"/>
    </xf>
    <xf numFmtId="0" fontId="23" fillId="3" borderId="6" xfId="0" applyFont="1" applyFill="1" applyBorder="1" applyAlignment="1" applyProtection="1">
      <alignment horizontal="center" vertical="center" wrapText="1"/>
      <protection locked="0"/>
    </xf>
    <xf numFmtId="0" fontId="20" fillId="6" borderId="41" xfId="0" applyFont="1" applyFill="1" applyBorder="1" applyAlignment="1" applyProtection="1">
      <alignment vertical="top" wrapText="1"/>
      <protection locked="0"/>
    </xf>
    <xf numFmtId="0" fontId="20" fillId="4" borderId="0" xfId="0" applyFont="1" applyFill="1" applyAlignment="1" applyProtection="1">
      <alignment vertical="top" wrapText="1"/>
      <protection locked="0"/>
    </xf>
    <xf numFmtId="0" fontId="20" fillId="4" borderId="0" xfId="0" applyFont="1" applyFill="1" applyAlignment="1">
      <alignment vertical="top" wrapText="1"/>
    </xf>
    <xf numFmtId="0" fontId="0" fillId="2" borderId="0" xfId="0" applyFill="1" applyAlignment="1" applyProtection="1">
      <alignment vertical="center" wrapText="1"/>
      <protection locked="0" hidden="1"/>
    </xf>
    <xf numFmtId="0" fontId="0" fillId="5" borderId="138" xfId="0" applyFill="1" applyBorder="1" applyAlignment="1">
      <alignment horizontal="left" vertical="center" wrapText="1"/>
    </xf>
    <xf numFmtId="0" fontId="21" fillId="4" borderId="0" xfId="0" applyFont="1" applyFill="1" applyAlignment="1" applyProtection="1">
      <alignment horizontal="left" vertical="center"/>
      <protection hidden="1"/>
    </xf>
    <xf numFmtId="0" fontId="21" fillId="4" borderId="0" xfId="0" applyFont="1" applyFill="1" applyAlignment="1">
      <alignment vertical="center"/>
    </xf>
    <xf numFmtId="0" fontId="21" fillId="4" borderId="0" xfId="0" applyFont="1" applyFill="1" applyProtection="1">
      <protection hidden="1"/>
    </xf>
    <xf numFmtId="1" fontId="0" fillId="12" borderId="61" xfId="0" applyNumberFormat="1" applyFill="1" applyBorder="1" applyAlignment="1">
      <alignment horizontal="right"/>
    </xf>
    <xf numFmtId="1" fontId="0" fillId="12" borderId="5" xfId="0" applyNumberFormat="1" applyFill="1" applyBorder="1" applyAlignment="1">
      <alignment horizontal="right"/>
    </xf>
    <xf numFmtId="0" fontId="0" fillId="0" borderId="61" xfId="0" applyBorder="1" applyAlignment="1">
      <alignment horizontal="right"/>
    </xf>
    <xf numFmtId="0" fontId="0" fillId="0" borderId="5" xfId="0" applyBorder="1" applyAlignment="1">
      <alignment horizontal="right"/>
    </xf>
    <xf numFmtId="0" fontId="0" fillId="0" borderId="62" xfId="0" applyBorder="1"/>
    <xf numFmtId="0" fontId="29" fillId="8" borderId="5" xfId="0" applyFont="1" applyFill="1" applyBorder="1"/>
    <xf numFmtId="0" fontId="29" fillId="8" borderId="2" xfId="0" applyFont="1" applyFill="1" applyBorder="1"/>
    <xf numFmtId="0" fontId="29" fillId="0" borderId="61" xfId="0" applyFont="1" applyBorder="1"/>
    <xf numFmtId="0" fontId="29" fillId="0" borderId="56" xfId="0" applyFont="1" applyBorder="1"/>
    <xf numFmtId="1" fontId="0" fillId="12" borderId="61" xfId="0" applyNumberFormat="1" applyFill="1" applyBorder="1"/>
    <xf numFmtId="1" fontId="0" fillId="12" borderId="5" xfId="0" applyNumberFormat="1" applyFill="1" applyBorder="1"/>
    <xf numFmtId="1" fontId="0" fillId="12" borderId="62" xfId="0" applyNumberFormat="1" applyFill="1" applyBorder="1"/>
    <xf numFmtId="0" fontId="0" fillId="0" borderId="13" xfId="0" applyBorder="1"/>
    <xf numFmtId="1" fontId="0" fillId="12" borderId="66" xfId="0" applyNumberFormat="1" applyFill="1" applyBorder="1" applyAlignment="1">
      <alignment horizontal="right"/>
    </xf>
    <xf numFmtId="1" fontId="0" fillId="12" borderId="3" xfId="0" applyNumberFormat="1" applyFill="1" applyBorder="1" applyAlignment="1">
      <alignment horizontal="right"/>
    </xf>
    <xf numFmtId="1" fontId="0" fillId="12" borderId="67" xfId="0" applyNumberFormat="1" applyFill="1" applyBorder="1" applyAlignment="1">
      <alignment horizontal="right"/>
    </xf>
    <xf numFmtId="1" fontId="0" fillId="12" borderId="67" xfId="0" applyNumberFormat="1" applyFill="1" applyBorder="1"/>
    <xf numFmtId="0" fontId="0" fillId="0" borderId="66" xfId="0" applyBorder="1" applyAlignment="1">
      <alignment horizontal="right"/>
    </xf>
    <xf numFmtId="0" fontId="0" fillId="0" borderId="3" xfId="0" applyBorder="1" applyAlignment="1">
      <alignment horizontal="right"/>
    </xf>
    <xf numFmtId="0" fontId="0" fillId="0" borderId="9" xfId="0" applyBorder="1" applyAlignment="1">
      <alignment horizontal="right"/>
    </xf>
    <xf numFmtId="0" fontId="0" fillId="0" borderId="67" xfId="0" applyBorder="1"/>
    <xf numFmtId="0" fontId="0" fillId="0" borderId="13" xfId="0" applyBorder="1" applyAlignment="1">
      <alignment horizontal="right"/>
    </xf>
    <xf numFmtId="1" fontId="21" fillId="12" borderId="5" xfId="0" applyNumberFormat="1" applyFont="1" applyFill="1" applyBorder="1"/>
    <xf numFmtId="1" fontId="0" fillId="12" borderId="66" xfId="0" applyNumberFormat="1" applyFill="1" applyBorder="1"/>
    <xf numFmtId="1" fontId="0" fillId="12" borderId="3" xfId="0" applyNumberFormat="1" applyFill="1" applyBorder="1"/>
    <xf numFmtId="0" fontId="0" fillId="0" borderId="9" xfId="0" applyBorder="1"/>
    <xf numFmtId="0" fontId="0" fillId="8" borderId="15" xfId="0" applyFill="1" applyBorder="1"/>
    <xf numFmtId="0" fontId="0" fillId="0" borderId="87" xfId="0" applyBorder="1"/>
    <xf numFmtId="0" fontId="20" fillId="10" borderId="82" xfId="0" applyFont="1" applyFill="1" applyBorder="1" applyAlignment="1">
      <alignment horizontal="center" wrapText="1"/>
    </xf>
    <xf numFmtId="0" fontId="29" fillId="0" borderId="53" xfId="0" applyFont="1" applyBorder="1"/>
    <xf numFmtId="0" fontId="29" fillId="8" borderId="54" xfId="0" applyFont="1" applyFill="1" applyBorder="1"/>
    <xf numFmtId="0" fontId="29" fillId="5" borderId="24" xfId="0" applyFont="1" applyFill="1" applyBorder="1" applyAlignment="1">
      <alignment horizontal="left" vertical="center"/>
    </xf>
    <xf numFmtId="0" fontId="0" fillId="5" borderId="24" xfId="0" applyFill="1" applyBorder="1" applyAlignment="1">
      <alignment horizontal="left" vertical="center" indent="2"/>
    </xf>
    <xf numFmtId="164" fontId="23" fillId="5" borderId="138" xfId="0" applyNumberFormat="1" applyFont="1" applyFill="1" applyBorder="1" applyAlignment="1">
      <alignment horizontal="center" vertical="center"/>
    </xf>
    <xf numFmtId="0" fontId="0" fillId="5" borderId="124" xfId="0" applyFill="1" applyBorder="1" applyAlignment="1">
      <alignment vertical="center"/>
    </xf>
    <xf numFmtId="0" fontId="23" fillId="4" borderId="0" xfId="0" applyFont="1" applyFill="1" applyAlignment="1" applyProtection="1">
      <alignment horizontal="left" vertical="center" wrapText="1"/>
      <protection locked="0"/>
    </xf>
    <xf numFmtId="0" fontId="34" fillId="5" borderId="37" xfId="0" applyFont="1" applyFill="1" applyBorder="1" applyAlignment="1">
      <alignment horizontal="center" vertical="center"/>
    </xf>
    <xf numFmtId="164" fontId="34" fillId="5" borderId="24" xfId="0" applyNumberFormat="1" applyFont="1" applyFill="1" applyBorder="1" applyAlignment="1">
      <alignment horizontal="center" vertical="center"/>
    </xf>
    <xf numFmtId="0" fontId="34" fillId="5" borderId="91" xfId="0" applyFont="1" applyFill="1" applyBorder="1" applyAlignment="1">
      <alignment horizontal="left" vertical="center"/>
    </xf>
    <xf numFmtId="0" fontId="25" fillId="6" borderId="124" xfId="0" applyFont="1" applyFill="1" applyBorder="1" applyAlignment="1">
      <alignment vertical="center"/>
    </xf>
    <xf numFmtId="0" fontId="20" fillId="6" borderId="0" xfId="0" applyFont="1" applyFill="1" applyAlignment="1">
      <alignment vertical="center"/>
    </xf>
    <xf numFmtId="0" fontId="20" fillId="6" borderId="0" xfId="0" applyFont="1" applyFill="1" applyAlignment="1" applyProtection="1">
      <alignment vertical="center"/>
      <protection locked="0"/>
    </xf>
    <xf numFmtId="0" fontId="23" fillId="3" borderId="11" xfId="0" applyFont="1" applyFill="1" applyBorder="1" applyAlignment="1" applyProtection="1">
      <alignment horizontal="center" vertical="center"/>
      <protection locked="0"/>
    </xf>
    <xf numFmtId="0" fontId="23" fillId="3" borderId="115" xfId="0" applyFont="1" applyFill="1" applyBorder="1" applyAlignment="1" applyProtection="1">
      <alignment horizontal="center" vertical="center"/>
      <protection locked="0"/>
    </xf>
    <xf numFmtId="0" fontId="20" fillId="6" borderId="135" xfId="0" applyFont="1" applyFill="1" applyBorder="1" applyAlignment="1" applyProtection="1">
      <alignment horizontal="left" vertical="top" wrapText="1"/>
      <protection locked="0"/>
    </xf>
    <xf numFmtId="0" fontId="23" fillId="4" borderId="131" xfId="0" applyFont="1" applyFill="1" applyBorder="1" applyAlignment="1" applyProtection="1">
      <alignment horizontal="left" vertical="center" wrapText="1"/>
      <protection locked="0"/>
    </xf>
    <xf numFmtId="0" fontId="23" fillId="4" borderId="103" xfId="0" applyFont="1" applyFill="1" applyBorder="1" applyAlignment="1" applyProtection="1">
      <alignment horizontal="left" vertical="center"/>
      <protection locked="0"/>
    </xf>
    <xf numFmtId="0" fontId="23" fillId="0" borderId="140" xfId="0" applyFont="1" applyBorder="1" applyAlignment="1" applyProtection="1">
      <alignment horizontal="left" vertical="top" wrapText="1"/>
      <protection locked="0"/>
    </xf>
    <xf numFmtId="164" fontId="34" fillId="5" borderId="28" xfId="0" applyNumberFormat="1" applyFont="1" applyFill="1" applyBorder="1" applyAlignment="1">
      <alignment horizontal="center" vertical="center"/>
    </xf>
    <xf numFmtId="0" fontId="23" fillId="4" borderId="6" xfId="0" applyFont="1" applyFill="1" applyBorder="1" applyAlignment="1" applyProtection="1">
      <alignment horizontal="center" vertical="center" wrapText="1"/>
      <protection locked="0"/>
    </xf>
    <xf numFmtId="0" fontId="26" fillId="2" borderId="0" xfId="0" applyFont="1" applyFill="1" applyAlignment="1">
      <alignment horizontal="left" vertical="top" wrapText="1"/>
    </xf>
    <xf numFmtId="0" fontId="38" fillId="2" borderId="143" xfId="0" applyFont="1" applyFill="1" applyBorder="1" applyAlignment="1">
      <alignment horizontal="left" vertical="top" wrapText="1"/>
    </xf>
    <xf numFmtId="0" fontId="48" fillId="4" borderId="0" xfId="0" applyFont="1" applyFill="1" applyAlignment="1">
      <alignment horizontal="center" vertical="top" wrapText="1"/>
    </xf>
    <xf numFmtId="0" fontId="51" fillId="0" borderId="123" xfId="0" applyFont="1" applyBorder="1" applyAlignment="1" applyProtection="1">
      <alignment wrapText="1"/>
      <protection locked="0"/>
    </xf>
    <xf numFmtId="0" fontId="79" fillId="4" borderId="0" xfId="0" applyFont="1" applyFill="1" applyAlignment="1">
      <alignment horizontal="center" vertical="center" wrapText="1"/>
    </xf>
    <xf numFmtId="0" fontId="80" fillId="0" borderId="2" xfId="3" applyFont="1" applyFill="1" applyBorder="1" applyAlignment="1">
      <alignment horizontal="center" vertical="center"/>
    </xf>
    <xf numFmtId="0" fontId="78" fillId="0" borderId="0" xfId="0" applyFont="1" applyAlignment="1">
      <alignment horizontal="center" vertical="center"/>
    </xf>
    <xf numFmtId="0" fontId="51" fillId="0" borderId="0" xfId="0" applyFont="1" applyProtection="1">
      <protection locked="0"/>
    </xf>
    <xf numFmtId="0" fontId="52" fillId="0" borderId="123" xfId="0" applyFont="1" applyBorder="1" applyProtection="1">
      <protection locked="0"/>
    </xf>
    <xf numFmtId="0" fontId="80" fillId="0" borderId="0" xfId="3" applyFont="1" applyFill="1" applyBorder="1" applyAlignment="1">
      <alignment horizontal="center" vertical="center"/>
    </xf>
    <xf numFmtId="0" fontId="52" fillId="0" borderId="0" xfId="0" applyFont="1" applyProtection="1">
      <protection locked="0"/>
    </xf>
    <xf numFmtId="0" fontId="52" fillId="0" borderId="148" xfId="0" applyFont="1" applyBorder="1" applyProtection="1">
      <protection locked="0"/>
    </xf>
    <xf numFmtId="0" fontId="81" fillId="0" borderId="2" xfId="3" applyFont="1" applyFill="1" applyBorder="1"/>
    <xf numFmtId="0" fontId="48" fillId="0" borderId="2" xfId="0" applyFont="1" applyBorder="1" applyAlignment="1">
      <alignment horizontal="center"/>
    </xf>
    <xf numFmtId="0" fontId="81" fillId="0" borderId="2" xfId="3" applyFont="1" applyFill="1" applyBorder="1" applyAlignment="1">
      <alignment vertical="top"/>
    </xf>
    <xf numFmtId="0" fontId="48" fillId="0" borderId="0" xfId="0" applyFont="1" applyAlignment="1">
      <alignment horizontal="center"/>
    </xf>
    <xf numFmtId="0" fontId="82" fillId="0" borderId="2" xfId="3" applyFont="1" applyFill="1" applyBorder="1"/>
    <xf numFmtId="0" fontId="83" fillId="0" borderId="2" xfId="0" applyFont="1" applyBorder="1" applyAlignment="1">
      <alignment horizontal="center"/>
    </xf>
    <xf numFmtId="0" fontId="82" fillId="0" borderId="2" xfId="3" applyFont="1" applyFill="1" applyBorder="1" applyAlignment="1">
      <alignment vertical="top"/>
    </xf>
    <xf numFmtId="0" fontId="83" fillId="0" borderId="2" xfId="0" applyFont="1" applyBorder="1" applyAlignment="1">
      <alignment horizontal="center" vertical="top"/>
    </xf>
    <xf numFmtId="0" fontId="81" fillId="0" borderId="2" xfId="3" applyFont="1" applyFill="1" applyBorder="1" applyAlignment="1">
      <alignment horizontal="right"/>
    </xf>
    <xf numFmtId="0" fontId="83" fillId="0" borderId="2" xfId="0" applyFont="1" applyBorder="1" applyAlignment="1">
      <alignment horizontal="center" wrapText="1"/>
    </xf>
    <xf numFmtId="0" fontId="48" fillId="0" borderId="2" xfId="0" applyFont="1" applyBorder="1" applyAlignment="1">
      <alignment horizontal="center" wrapText="1"/>
    </xf>
    <xf numFmtId="0" fontId="48" fillId="0" borderId="2" xfId="0" applyFont="1" applyBorder="1" applyAlignment="1">
      <alignment horizontal="center" vertical="top"/>
    </xf>
    <xf numFmtId="0" fontId="81" fillId="0" borderId="4" xfId="3" applyFont="1" applyFill="1" applyBorder="1"/>
    <xf numFmtId="0" fontId="48" fillId="0" borderId="4" xfId="0" applyFont="1" applyBorder="1" applyAlignment="1">
      <alignment horizontal="center"/>
    </xf>
    <xf numFmtId="0" fontId="81" fillId="0" borderId="0" xfId="3" applyFont="1" applyFill="1" applyBorder="1"/>
    <xf numFmtId="0" fontId="0" fillId="0" borderId="2" xfId="0" applyBorder="1" applyAlignment="1">
      <alignment horizontal="left" indent="2"/>
    </xf>
    <xf numFmtId="0" fontId="20" fillId="10" borderId="149" xfId="0" applyFont="1" applyFill="1" applyBorder="1" applyAlignment="1">
      <alignment horizontal="center" wrapText="1"/>
    </xf>
    <xf numFmtId="0" fontId="0" fillId="8" borderId="75" xfId="0" applyFill="1" applyBorder="1"/>
    <xf numFmtId="0" fontId="0" fillId="8" borderId="76" xfId="0" applyFill="1" applyBorder="1"/>
    <xf numFmtId="10" fontId="0" fillId="8" borderId="0" xfId="0" applyNumberFormat="1" applyFill="1"/>
    <xf numFmtId="0" fontId="0" fillId="8" borderId="2" xfId="0" applyFill="1" applyBorder="1" applyAlignment="1">
      <alignment horizontal="center" wrapText="1"/>
    </xf>
    <xf numFmtId="0" fontId="29" fillId="5" borderId="29" xfId="0" applyFont="1" applyFill="1" applyBorder="1" applyAlignment="1">
      <alignment vertical="center"/>
    </xf>
    <xf numFmtId="0" fontId="29" fillId="5" borderId="24" xfId="0" applyFont="1" applyFill="1" applyBorder="1" applyAlignment="1">
      <alignment vertical="center"/>
    </xf>
    <xf numFmtId="0" fontId="85" fillId="5" borderId="90" xfId="0" applyFont="1" applyFill="1" applyBorder="1" applyAlignment="1" applyProtection="1">
      <alignment horizontal="center" vertical="center"/>
      <protection locked="0"/>
    </xf>
    <xf numFmtId="0" fontId="20" fillId="10" borderId="11" xfId="0" applyFont="1" applyFill="1" applyBorder="1" applyAlignment="1" applyProtection="1">
      <alignment wrapText="1"/>
      <protection hidden="1"/>
    </xf>
    <xf numFmtId="0" fontId="20" fillId="10" borderId="2" xfId="0" applyFont="1" applyFill="1" applyBorder="1" applyAlignment="1" applyProtection="1">
      <alignment wrapText="1"/>
      <protection hidden="1"/>
    </xf>
    <xf numFmtId="0" fontId="9" fillId="4" borderId="35" xfId="0" applyFont="1" applyFill="1" applyBorder="1" applyAlignment="1">
      <alignment horizontal="left" vertical="top" wrapText="1"/>
    </xf>
    <xf numFmtId="0" fontId="7" fillId="3" borderId="46" xfId="0" applyFont="1" applyFill="1" applyBorder="1" applyAlignment="1">
      <alignment horizontal="left" vertical="top"/>
    </xf>
    <xf numFmtId="0" fontId="7" fillId="3" borderId="47" xfId="0" applyFont="1" applyFill="1" applyBorder="1" applyAlignment="1">
      <alignment horizontal="left" vertical="top"/>
    </xf>
    <xf numFmtId="0" fontId="7" fillId="3" borderId="46" xfId="0" applyFont="1" applyFill="1" applyBorder="1" applyAlignment="1">
      <alignment horizontal="left" vertical="center"/>
    </xf>
    <xf numFmtId="0" fontId="7" fillId="3" borderId="47" xfId="0" applyFont="1" applyFill="1" applyBorder="1" applyAlignment="1">
      <alignment horizontal="left" vertical="center"/>
    </xf>
    <xf numFmtId="0" fontId="29" fillId="8" borderId="2" xfId="0" applyFont="1" applyFill="1" applyBorder="1" applyAlignment="1">
      <alignment wrapText="1"/>
    </xf>
    <xf numFmtId="0" fontId="0" fillId="18" borderId="2" xfId="0" applyFill="1" applyBorder="1" applyAlignment="1">
      <alignment wrapText="1"/>
    </xf>
    <xf numFmtId="0" fontId="75" fillId="18" borderId="2" xfId="0" applyFont="1" applyFill="1" applyBorder="1" applyAlignment="1">
      <alignment wrapText="1"/>
    </xf>
    <xf numFmtId="0" fontId="75" fillId="18" borderId="3" xfId="0" applyFont="1" applyFill="1" applyBorder="1" applyAlignment="1">
      <alignment wrapText="1"/>
    </xf>
    <xf numFmtId="0" fontId="0" fillId="18" borderId="15" xfId="0" applyFill="1" applyBorder="1" applyAlignment="1">
      <alignment wrapText="1"/>
    </xf>
    <xf numFmtId="0" fontId="0" fillId="12" borderId="5" xfId="0" applyFill="1" applyBorder="1" applyAlignment="1">
      <alignment wrapText="1"/>
    </xf>
    <xf numFmtId="0" fontId="0" fillId="9" borderId="2" xfId="0" applyFill="1" applyBorder="1" applyAlignment="1">
      <alignment horizontal="left" indent="2"/>
    </xf>
    <xf numFmtId="0" fontId="29" fillId="9" borderId="56" xfId="0" applyFont="1" applyFill="1" applyBorder="1"/>
    <xf numFmtId="0" fontId="0" fillId="12" borderId="15" xfId="0" applyFill="1" applyBorder="1" applyAlignment="1">
      <alignment wrapText="1"/>
    </xf>
    <xf numFmtId="0" fontId="0" fillId="0" borderId="59" xfId="0" applyBorder="1" applyAlignment="1">
      <alignment horizontal="left" indent="2"/>
    </xf>
    <xf numFmtId="0" fontId="29" fillId="20" borderId="2" xfId="0" applyFont="1" applyFill="1" applyBorder="1" applyAlignment="1">
      <alignment wrapText="1"/>
    </xf>
    <xf numFmtId="0" fontId="0" fillId="18" borderId="75" xfId="0" applyFill="1" applyBorder="1"/>
    <xf numFmtId="0" fontId="0" fillId="18" borderId="4" xfId="0" applyFill="1" applyBorder="1"/>
    <xf numFmtId="0" fontId="0" fillId="18" borderId="69" xfId="0" applyFill="1" applyBorder="1"/>
    <xf numFmtId="0" fontId="0" fillId="18" borderId="76" xfId="0" applyFill="1" applyBorder="1"/>
    <xf numFmtId="0" fontId="29" fillId="8" borderId="2" xfId="0" applyFont="1" applyFill="1" applyBorder="1" applyAlignment="1">
      <alignment horizontal="center" wrapText="1"/>
    </xf>
    <xf numFmtId="0" fontId="21" fillId="0" borderId="0" xfId="0" applyFont="1" applyAlignment="1">
      <alignment vertical="top"/>
    </xf>
    <xf numFmtId="10" fontId="0" fillId="18" borderId="0" xfId="0" applyNumberFormat="1" applyFill="1"/>
    <xf numFmtId="0" fontId="0" fillId="8" borderId="71" xfId="0" applyFill="1" applyBorder="1"/>
    <xf numFmtId="0" fontId="0" fillId="18" borderId="71" xfId="0" applyFill="1" applyBorder="1"/>
    <xf numFmtId="0" fontId="0" fillId="8" borderId="69" xfId="0" applyFill="1" applyBorder="1"/>
    <xf numFmtId="0" fontId="0" fillId="8" borderId="3" xfId="0" applyFill="1" applyBorder="1"/>
    <xf numFmtId="0" fontId="29" fillId="12" borderId="85" xfId="0" applyFont="1" applyFill="1" applyBorder="1"/>
    <xf numFmtId="0" fontId="29" fillId="12" borderId="15" xfId="0" applyFont="1" applyFill="1" applyBorder="1"/>
    <xf numFmtId="0" fontId="29" fillId="12" borderId="86" xfId="0" applyFont="1" applyFill="1" applyBorder="1"/>
    <xf numFmtId="0" fontId="0" fillId="9" borderId="3" xfId="0" applyFill="1" applyBorder="1"/>
    <xf numFmtId="0" fontId="29" fillId="0" borderId="3" xfId="0" applyFont="1" applyBorder="1"/>
    <xf numFmtId="0" fontId="29" fillId="0" borderId="54" xfId="0" applyFont="1" applyBorder="1"/>
    <xf numFmtId="1" fontId="29" fillId="12" borderId="2" xfId="0" applyNumberFormat="1" applyFont="1" applyFill="1" applyBorder="1"/>
    <xf numFmtId="1" fontId="29" fillId="12" borderId="57" xfId="0" applyNumberFormat="1" applyFont="1" applyFill="1" applyBorder="1"/>
    <xf numFmtId="1" fontId="29" fillId="12" borderId="56" xfId="0" applyNumberFormat="1" applyFont="1" applyFill="1" applyBorder="1"/>
    <xf numFmtId="0" fontId="29" fillId="0" borderId="2" xfId="0" applyFont="1" applyBorder="1"/>
    <xf numFmtId="0" fontId="29" fillId="2" borderId="0" xfId="0" applyFont="1" applyFill="1" applyAlignment="1">
      <alignment vertical="center"/>
    </xf>
    <xf numFmtId="0" fontId="29" fillId="5" borderId="24" xfId="0" applyFont="1" applyFill="1" applyBorder="1" applyAlignment="1">
      <alignment horizontal="left" vertical="center" wrapText="1"/>
    </xf>
    <xf numFmtId="0" fontId="0" fillId="20" borderId="4" xfId="0" applyFill="1" applyBorder="1"/>
    <xf numFmtId="0" fontId="84" fillId="5" borderId="142" xfId="0" applyFont="1" applyFill="1" applyBorder="1" applyProtection="1">
      <protection locked="0"/>
    </xf>
    <xf numFmtId="0" fontId="84" fillId="5" borderId="141" xfId="0" applyFont="1" applyFill="1" applyBorder="1" applyProtection="1">
      <protection locked="0"/>
    </xf>
    <xf numFmtId="1" fontId="29" fillId="12" borderId="57" xfId="0" applyNumberFormat="1" applyFont="1" applyFill="1" applyBorder="1" applyAlignment="1">
      <alignment horizontal="right"/>
    </xf>
    <xf numFmtId="1" fontId="29" fillId="12" borderId="56" xfId="0" applyNumberFormat="1" applyFont="1" applyFill="1" applyBorder="1" applyAlignment="1">
      <alignment horizontal="right"/>
    </xf>
    <xf numFmtId="1" fontId="29" fillId="12" borderId="2" xfId="0" applyNumberFormat="1" applyFont="1" applyFill="1" applyBorder="1" applyAlignment="1">
      <alignment horizontal="right"/>
    </xf>
    <xf numFmtId="0" fontId="0" fillId="20" borderId="56" xfId="0" applyFill="1" applyBorder="1" applyAlignment="1">
      <alignment horizontal="right"/>
    </xf>
    <xf numFmtId="1" fontId="29" fillId="12" borderId="61" xfId="0" applyNumberFormat="1" applyFont="1" applyFill="1" applyBorder="1" applyAlignment="1">
      <alignment horizontal="right"/>
    </xf>
    <xf numFmtId="1" fontId="29" fillId="12" borderId="5" xfId="0" applyNumberFormat="1" applyFont="1" applyFill="1" applyBorder="1" applyAlignment="1">
      <alignment horizontal="right"/>
    </xf>
    <xf numFmtId="0" fontId="21" fillId="0" borderId="2" xfId="0" applyFont="1" applyBorder="1" applyAlignment="1">
      <alignment horizontal="left" indent="2"/>
    </xf>
    <xf numFmtId="0" fontId="0" fillId="0" borderId="86" xfId="0" applyBorder="1"/>
    <xf numFmtId="0" fontId="43" fillId="0" borderId="3" xfId="0" applyFont="1" applyBorder="1"/>
    <xf numFmtId="0" fontId="21" fillId="2" borderId="1" xfId="0" applyFont="1" applyFill="1" applyBorder="1" applyProtection="1">
      <protection hidden="1"/>
    </xf>
    <xf numFmtId="0" fontId="7" fillId="3" borderId="102" xfId="0" applyFont="1" applyFill="1" applyBorder="1" applyAlignment="1">
      <alignment horizontal="left" vertical="center"/>
    </xf>
    <xf numFmtId="0" fontId="7" fillId="3" borderId="150" xfId="0" applyFont="1" applyFill="1" applyBorder="1" applyAlignment="1">
      <alignment horizontal="left" vertical="center"/>
    </xf>
    <xf numFmtId="0" fontId="7" fillId="3" borderId="27" xfId="0" applyFont="1" applyFill="1" applyBorder="1" applyAlignment="1">
      <alignment horizontal="left" vertical="center"/>
    </xf>
    <xf numFmtId="0" fontId="0" fillId="0" borderId="7" xfId="0" applyBorder="1" applyAlignment="1">
      <alignment horizontal="right"/>
    </xf>
    <xf numFmtId="1" fontId="29" fillId="20" borderId="2" xfId="0" applyNumberFormat="1" applyFont="1" applyFill="1" applyBorder="1" applyAlignment="1">
      <alignment horizontal="right"/>
    </xf>
    <xf numFmtId="1" fontId="29" fillId="20" borderId="57" xfId="0" applyNumberFormat="1" applyFont="1" applyFill="1" applyBorder="1" applyAlignment="1">
      <alignment horizontal="right"/>
    </xf>
    <xf numFmtId="0" fontId="0" fillId="22" borderId="2" xfId="0" applyFill="1" applyBorder="1" applyAlignment="1">
      <alignment wrapText="1"/>
    </xf>
    <xf numFmtId="0" fontId="0" fillId="20" borderId="71" xfId="0" applyFill="1" applyBorder="1"/>
    <xf numFmtId="0" fontId="0" fillId="9" borderId="56" xfId="0" applyFill="1" applyBorder="1"/>
    <xf numFmtId="0" fontId="52" fillId="0" borderId="148" xfId="0" applyFont="1" applyBorder="1" applyAlignment="1" applyProtection="1">
      <alignment vertical="top"/>
      <protection locked="0"/>
    </xf>
    <xf numFmtId="0" fontId="52" fillId="0" borderId="0" xfId="0" applyFont="1" applyAlignment="1" applyProtection="1">
      <alignment vertical="top"/>
      <protection locked="0"/>
    </xf>
    <xf numFmtId="0" fontId="52" fillId="0" borderId="12" xfId="0" applyFont="1" applyBorder="1" applyAlignment="1" applyProtection="1">
      <alignment vertical="top"/>
      <protection locked="0"/>
    </xf>
    <xf numFmtId="0" fontId="52" fillId="0" borderId="148" xfId="0" applyFont="1" applyBorder="1" applyAlignment="1" applyProtection="1">
      <alignment vertical="top" wrapText="1"/>
      <protection locked="0"/>
    </xf>
    <xf numFmtId="0" fontId="52" fillId="0" borderId="12" xfId="0" applyFont="1" applyBorder="1" applyAlignment="1" applyProtection="1">
      <alignment vertical="top" wrapText="1"/>
      <protection locked="0"/>
    </xf>
    <xf numFmtId="0" fontId="48" fillId="0" borderId="148" xfId="0" applyFont="1" applyBorder="1" applyAlignment="1">
      <alignment vertical="top"/>
    </xf>
    <xf numFmtId="0" fontId="48" fillId="0" borderId="0" xfId="0" applyFont="1" applyAlignment="1">
      <alignment vertical="top"/>
    </xf>
    <xf numFmtId="0" fontId="48" fillId="0" borderId="12" xfId="0" applyFont="1" applyBorder="1" applyAlignment="1">
      <alignment vertical="top"/>
    </xf>
    <xf numFmtId="0" fontId="0" fillId="20" borderId="69" xfId="0" applyFill="1" applyBorder="1"/>
    <xf numFmtId="0" fontId="0" fillId="20" borderId="76" xfId="0" applyFill="1" applyBorder="1"/>
    <xf numFmtId="0" fontId="0" fillId="20" borderId="75" xfId="0" applyFill="1" applyBorder="1"/>
    <xf numFmtId="166" fontId="0" fillId="20" borderId="69" xfId="0" applyNumberFormat="1" applyFill="1" applyBorder="1"/>
    <xf numFmtId="166" fontId="0" fillId="8" borderId="69" xfId="0" applyNumberFormat="1" applyFill="1" applyBorder="1"/>
    <xf numFmtId="166" fontId="0" fillId="18" borderId="69" xfId="0" applyNumberFormat="1" applyFill="1" applyBorder="1"/>
    <xf numFmtId="0" fontId="52" fillId="0" borderId="0" xfId="0" applyFont="1" applyAlignment="1" applyProtection="1">
      <alignment vertical="top" wrapText="1"/>
      <protection locked="0"/>
    </xf>
    <xf numFmtId="0" fontId="52" fillId="0" borderId="12" xfId="0" applyFont="1" applyBorder="1" applyProtection="1">
      <protection locked="0"/>
    </xf>
    <xf numFmtId="0" fontId="29" fillId="8" borderId="2" xfId="0" applyFont="1" applyFill="1" applyBorder="1" applyAlignment="1">
      <alignment horizontal="right" wrapText="1"/>
    </xf>
    <xf numFmtId="0" fontId="23" fillId="20" borderId="2" xfId="0" applyFont="1" applyFill="1" applyBorder="1" applyAlignment="1">
      <alignment horizontal="center" vertical="center"/>
    </xf>
    <xf numFmtId="0" fontId="88" fillId="4" borderId="0" xfId="0" applyFont="1" applyFill="1" applyAlignment="1" applyProtection="1">
      <alignment vertical="top" wrapText="1"/>
      <protection hidden="1"/>
    </xf>
    <xf numFmtId="0" fontId="21" fillId="4" borderId="0" xfId="0" applyFont="1" applyFill="1" applyAlignment="1" applyProtection="1">
      <alignment horizontal="left" vertical="center" wrapText="1"/>
      <protection hidden="1"/>
    </xf>
    <xf numFmtId="0" fontId="23" fillId="20" borderId="7" xfId="0" applyFont="1" applyFill="1" applyBorder="1" applyAlignment="1">
      <alignment horizontal="center" vertical="center"/>
    </xf>
    <xf numFmtId="0" fontId="0" fillId="5" borderId="24" xfId="0" applyFill="1" applyBorder="1" applyAlignment="1">
      <alignment horizontal="left" vertical="center" wrapText="1" indent="2"/>
    </xf>
    <xf numFmtId="0" fontId="20" fillId="4" borderId="0" xfId="0" applyFont="1" applyFill="1" applyAlignment="1">
      <alignment vertical="center"/>
    </xf>
    <xf numFmtId="0" fontId="23" fillId="0" borderId="7" xfId="0" applyFont="1" applyBorder="1" applyAlignment="1" applyProtection="1">
      <alignment horizontal="center" vertical="center"/>
      <protection locked="0"/>
    </xf>
    <xf numFmtId="0" fontId="22" fillId="6" borderId="124" xfId="0" applyFont="1" applyFill="1" applyBorder="1" applyAlignment="1">
      <alignment vertical="center"/>
    </xf>
    <xf numFmtId="0" fontId="20" fillId="4" borderId="0" xfId="0" applyFont="1" applyFill="1" applyAlignment="1" applyProtection="1">
      <alignment horizontal="right" vertical="center"/>
      <protection hidden="1"/>
    </xf>
    <xf numFmtId="0" fontId="20" fillId="4" borderId="0" xfId="0" applyFont="1" applyFill="1" applyAlignment="1" applyProtection="1">
      <alignment horizontal="right" vertical="center" wrapText="1"/>
      <protection hidden="1"/>
    </xf>
    <xf numFmtId="0" fontId="20" fillId="4" borderId="0" xfId="0" applyFont="1" applyFill="1" applyAlignment="1">
      <alignment horizontal="right" vertical="center"/>
    </xf>
    <xf numFmtId="0" fontId="21" fillId="4" borderId="0" xfId="0" applyFont="1" applyFill="1" applyAlignment="1" applyProtection="1">
      <alignment horizontal="right" wrapText="1"/>
      <protection hidden="1"/>
    </xf>
    <xf numFmtId="0" fontId="21" fillId="4" borderId="0" xfId="0" applyFont="1" applyFill="1" applyAlignment="1" applyProtection="1">
      <alignment horizontal="right"/>
      <protection hidden="1"/>
    </xf>
    <xf numFmtId="0" fontId="84" fillId="5" borderId="24" xfId="0" applyFont="1" applyFill="1" applyBorder="1" applyAlignment="1">
      <alignment horizontal="left" vertical="center"/>
    </xf>
    <xf numFmtId="0" fontId="85" fillId="5" borderId="88" xfId="0" applyFont="1" applyFill="1" applyBorder="1" applyAlignment="1">
      <alignment horizontal="left" vertical="center" wrapText="1"/>
    </xf>
    <xf numFmtId="0" fontId="29" fillId="5" borderId="88" xfId="0" applyFont="1" applyFill="1" applyBorder="1" applyAlignment="1">
      <alignment vertical="center"/>
    </xf>
    <xf numFmtId="0" fontId="25" fillId="6" borderId="0" xfId="0" applyFont="1" applyFill="1" applyAlignment="1">
      <alignment vertical="center"/>
    </xf>
    <xf numFmtId="0" fontId="0" fillId="2" borderId="0" xfId="0" applyFill="1" applyAlignment="1">
      <alignment vertical="center" wrapText="1"/>
    </xf>
    <xf numFmtId="0" fontId="25" fillId="6" borderId="0" xfId="0" applyFont="1" applyFill="1" applyAlignment="1">
      <alignment vertical="center" wrapText="1"/>
    </xf>
    <xf numFmtId="0" fontId="0" fillId="5" borderId="24" xfId="0" applyFill="1" applyBorder="1" applyAlignment="1">
      <alignment vertical="center" wrapText="1"/>
    </xf>
    <xf numFmtId="0" fontId="29" fillId="5" borderId="24" xfId="0" applyFont="1" applyFill="1" applyBorder="1" applyAlignment="1">
      <alignment vertical="center" wrapText="1"/>
    </xf>
    <xf numFmtId="0" fontId="29" fillId="5" borderId="88" xfId="0" applyFont="1" applyFill="1" applyBorder="1" applyAlignment="1">
      <alignment vertical="center" wrapText="1"/>
    </xf>
    <xf numFmtId="0" fontId="84" fillId="5" borderId="24" xfId="0" applyFont="1" applyFill="1" applyBorder="1" applyAlignment="1">
      <alignment vertical="center"/>
    </xf>
    <xf numFmtId="0" fontId="84" fillId="5" borderId="24" xfId="0" applyFont="1" applyFill="1" applyBorder="1" applyAlignment="1">
      <alignment vertical="center" wrapText="1"/>
    </xf>
    <xf numFmtId="164" fontId="23" fillId="5" borderId="25" xfId="0" applyNumberFormat="1" applyFont="1" applyFill="1" applyBorder="1" applyAlignment="1">
      <alignment horizontal="center" vertical="center"/>
    </xf>
    <xf numFmtId="164" fontId="34" fillId="5" borderId="34" xfId="0" applyNumberFormat="1" applyFont="1" applyFill="1" applyBorder="1" applyAlignment="1">
      <alignment horizontal="center" vertical="center"/>
    </xf>
    <xf numFmtId="0" fontId="23" fillId="0" borderId="2" xfId="0" applyFont="1" applyBorder="1" applyAlignment="1" applyProtection="1">
      <alignment horizontal="left" vertical="center" wrapText="1"/>
      <protection locked="0"/>
    </xf>
    <xf numFmtId="0" fontId="0" fillId="4" borderId="0" xfId="0" applyFill="1" applyAlignment="1" applyProtection="1">
      <alignment vertical="top" wrapText="1"/>
      <protection locked="0"/>
    </xf>
    <xf numFmtId="0" fontId="0" fillId="8" borderId="4" xfId="0" applyFill="1" applyBorder="1"/>
    <xf numFmtId="0" fontId="0" fillId="8" borderId="7" xfId="0" applyFill="1" applyBorder="1"/>
    <xf numFmtId="0" fontId="0" fillId="8" borderId="9" xfId="0" applyFill="1" applyBorder="1"/>
    <xf numFmtId="0" fontId="0" fillId="18" borderId="7" xfId="0" applyFill="1" applyBorder="1"/>
    <xf numFmtId="0" fontId="0" fillId="0" borderId="10" xfId="0" applyBorder="1"/>
    <xf numFmtId="0" fontId="0" fillId="13" borderId="99" xfId="0" applyFill="1" applyBorder="1"/>
    <xf numFmtId="0" fontId="0" fillId="9" borderId="81" xfId="0" applyFill="1" applyBorder="1"/>
    <xf numFmtId="0" fontId="0" fillId="8" borderId="152" xfId="0" applyFill="1" applyBorder="1"/>
    <xf numFmtId="0" fontId="75" fillId="0" borderId="2" xfId="0" applyFont="1" applyBorder="1" applyAlignment="1">
      <alignment horizontal="left" indent="2"/>
    </xf>
    <xf numFmtId="0" fontId="75" fillId="0" borderId="0" xfId="0" applyFont="1"/>
    <xf numFmtId="0" fontId="89" fillId="0" borderId="119" xfId="0" applyFont="1" applyBorder="1" applyProtection="1">
      <protection locked="0"/>
    </xf>
    <xf numFmtId="0" fontId="90" fillId="0" borderId="148" xfId="0" applyFont="1" applyBorder="1" applyAlignment="1" applyProtection="1">
      <alignment vertical="top"/>
      <protection locked="0"/>
    </xf>
    <xf numFmtId="0" fontId="0" fillId="8" borderId="61" xfId="0" applyFill="1" applyBorder="1"/>
    <xf numFmtId="0" fontId="29" fillId="0" borderId="5" xfId="0" applyFont="1" applyBorder="1"/>
    <xf numFmtId="0" fontId="0" fillId="12" borderId="62" xfId="0" applyFill="1" applyBorder="1" applyAlignment="1">
      <alignment wrapText="1"/>
    </xf>
    <xf numFmtId="0" fontId="0" fillId="12" borderId="61" xfId="0" applyFill="1" applyBorder="1"/>
    <xf numFmtId="0" fontId="0" fillId="12" borderId="62" xfId="0" applyFill="1" applyBorder="1"/>
    <xf numFmtId="0" fontId="0" fillId="0" borderId="55" xfId="0" applyBorder="1" applyAlignment="1">
      <alignment horizontal="right"/>
    </xf>
    <xf numFmtId="0" fontId="23" fillId="4" borderId="5" xfId="0" applyFont="1" applyFill="1" applyBorder="1" applyAlignment="1" applyProtection="1">
      <alignment horizontal="left" vertical="center" wrapText="1"/>
      <protection locked="0"/>
    </xf>
    <xf numFmtId="0" fontId="23" fillId="4" borderId="1" xfId="0" applyFont="1" applyFill="1" applyBorder="1" applyAlignment="1" applyProtection="1">
      <alignment horizontal="left" vertical="center"/>
      <protection locked="0"/>
    </xf>
    <xf numFmtId="0" fontId="23" fillId="0" borderId="153" xfId="0" applyFont="1" applyBorder="1" applyAlignment="1" applyProtection="1">
      <alignment horizontal="left" vertical="top" wrapText="1"/>
      <protection locked="0"/>
    </xf>
    <xf numFmtId="0" fontId="0" fillId="23" borderId="56" xfId="0" applyFill="1" applyBorder="1" applyAlignment="1">
      <alignment horizontal="right"/>
    </xf>
    <xf numFmtId="0" fontId="91" fillId="0" borderId="2" xfId="0" applyFont="1" applyBorder="1" applyAlignment="1">
      <alignment horizontal="left" indent="2"/>
    </xf>
    <xf numFmtId="0" fontId="87" fillId="3" borderId="101" xfId="0" applyFont="1" applyFill="1" applyBorder="1" applyAlignment="1" applyProtection="1">
      <alignment horizontal="right" vertical="center" wrapText="1"/>
      <protection hidden="1"/>
    </xf>
    <xf numFmtId="0" fontId="0" fillId="22" borderId="15" xfId="0" applyFill="1" applyBorder="1" applyAlignment="1">
      <alignment wrapText="1"/>
    </xf>
    <xf numFmtId="0" fontId="29" fillId="13" borderId="65" xfId="0" applyFont="1" applyFill="1" applyBorder="1" applyAlignment="1">
      <alignment wrapText="1"/>
    </xf>
    <xf numFmtId="0" fontId="75" fillId="0" borderId="3" xfId="0" applyFont="1" applyBorder="1" applyAlignment="1">
      <alignment horizontal="left" indent="2"/>
    </xf>
    <xf numFmtId="0" fontId="75" fillId="0" borderId="2" xfId="0" applyFont="1" applyBorder="1"/>
    <xf numFmtId="9" fontId="0" fillId="0" borderId="2" xfId="0" applyNumberFormat="1" applyBorder="1"/>
    <xf numFmtId="0" fontId="0" fillId="19" borderId="2" xfId="0" applyFill="1" applyBorder="1"/>
    <xf numFmtId="164" fontId="0" fillId="0" borderId="2" xfId="0" applyNumberFormat="1" applyBorder="1"/>
    <xf numFmtId="9" fontId="63" fillId="5" borderId="154" xfId="2" applyFont="1" applyFill="1" applyBorder="1" applyAlignment="1" applyProtection="1">
      <alignment horizontal="center" vertical="center"/>
      <protection hidden="1"/>
    </xf>
    <xf numFmtId="9" fontId="63" fillId="5" borderId="155" xfId="2" applyFont="1" applyFill="1" applyBorder="1" applyAlignment="1" applyProtection="1">
      <alignment horizontal="center" vertical="center"/>
      <protection hidden="1"/>
    </xf>
    <xf numFmtId="0" fontId="14" fillId="3" borderId="157" xfId="0" applyFont="1" applyFill="1" applyBorder="1" applyAlignment="1" applyProtection="1">
      <alignment horizontal="right" vertical="center"/>
      <protection hidden="1"/>
    </xf>
    <xf numFmtId="0" fontId="71" fillId="10" borderId="2" xfId="0" applyFont="1" applyFill="1" applyBorder="1"/>
    <xf numFmtId="0" fontId="7" fillId="3" borderId="40" xfId="0" applyFont="1" applyFill="1" applyBorder="1" applyAlignment="1">
      <alignment horizontal="left" vertical="center"/>
    </xf>
    <xf numFmtId="0" fontId="7" fillId="3" borderId="0" xfId="0" applyFont="1" applyFill="1" applyAlignment="1">
      <alignment horizontal="left" vertical="center"/>
    </xf>
    <xf numFmtId="0" fontId="1" fillId="5" borderId="0" xfId="0" applyFont="1" applyFill="1" applyAlignment="1">
      <alignment vertical="center"/>
    </xf>
    <xf numFmtId="165" fontId="7" fillId="3" borderId="158" xfId="0" applyNumberFormat="1" applyFont="1" applyFill="1" applyBorder="1" applyAlignment="1">
      <alignment horizontal="left" vertical="center"/>
    </xf>
    <xf numFmtId="0" fontId="0" fillId="0" borderId="27" xfId="0" applyBorder="1"/>
    <xf numFmtId="0" fontId="14" fillId="3" borderId="105" xfId="0" applyFont="1" applyFill="1" applyBorder="1" applyAlignment="1" applyProtection="1">
      <alignment horizontal="right" vertical="center"/>
      <protection hidden="1"/>
    </xf>
    <xf numFmtId="0" fontId="0" fillId="24" borderId="56" xfId="0" applyFill="1" applyBorder="1" applyAlignment="1">
      <alignment horizontal="right"/>
    </xf>
    <xf numFmtId="0" fontId="29" fillId="0" borderId="15" xfId="0" applyFont="1" applyBorder="1"/>
    <xf numFmtId="0" fontId="29" fillId="0" borderId="3" xfId="0" applyFont="1" applyBorder="1" applyAlignment="1">
      <alignment wrapText="1"/>
    </xf>
    <xf numFmtId="0" fontId="16" fillId="3" borderId="41" xfId="0" applyFont="1" applyFill="1" applyBorder="1" applyAlignment="1">
      <alignment vertical="top"/>
    </xf>
    <xf numFmtId="0" fontId="0" fillId="0" borderId="6" xfId="0" applyBorder="1"/>
    <xf numFmtId="0" fontId="0" fillId="8" borderId="6" xfId="0" applyFill="1" applyBorder="1"/>
    <xf numFmtId="0" fontId="0" fillId="18" borderId="6" xfId="0" applyFill="1" applyBorder="1"/>
    <xf numFmtId="0" fontId="0" fillId="13" borderId="159" xfId="0" applyFill="1" applyBorder="1"/>
    <xf numFmtId="0" fontId="0" fillId="10" borderId="77" xfId="0" applyFill="1" applyBorder="1"/>
    <xf numFmtId="0" fontId="0" fillId="9" borderId="77" xfId="0" applyFill="1" applyBorder="1"/>
    <xf numFmtId="0" fontId="20" fillId="10" borderId="77" xfId="0" applyFont="1" applyFill="1" applyBorder="1" applyAlignment="1">
      <alignment wrapText="1"/>
    </xf>
    <xf numFmtId="0" fontId="0" fillId="0" borderId="160" xfId="0" applyBorder="1"/>
    <xf numFmtId="0" fontId="29" fillId="13" borderId="118" xfId="0" applyFont="1" applyFill="1" applyBorder="1" applyAlignment="1">
      <alignment wrapText="1"/>
    </xf>
    <xf numFmtId="0" fontId="0" fillId="8" borderId="161" xfId="0" applyFill="1" applyBorder="1"/>
    <xf numFmtId="0" fontId="20" fillId="10" borderId="55" xfId="0" applyFont="1" applyFill="1" applyBorder="1"/>
    <xf numFmtId="0" fontId="29" fillId="8" borderId="57" xfId="0" applyFont="1" applyFill="1" applyBorder="1" applyAlignment="1">
      <alignment horizontal="right" wrapText="1"/>
    </xf>
    <xf numFmtId="0" fontId="0" fillId="18" borderId="57" xfId="0" applyFill="1" applyBorder="1"/>
    <xf numFmtId="0" fontId="29" fillId="13" borderId="60" xfId="0" applyFont="1" applyFill="1" applyBorder="1" applyAlignment="1">
      <alignment wrapText="1"/>
    </xf>
    <xf numFmtId="0" fontId="20" fillId="10" borderId="106" xfId="0" applyFont="1" applyFill="1" applyBorder="1"/>
    <xf numFmtId="0" fontId="0" fillId="8" borderId="7" xfId="0" applyFill="1" applyBorder="1" applyAlignment="1">
      <alignment horizontal="center" wrapText="1"/>
    </xf>
    <xf numFmtId="0" fontId="20" fillId="10" borderId="68" xfId="0" applyFont="1" applyFill="1" applyBorder="1" applyAlignment="1">
      <alignment wrapText="1"/>
    </xf>
    <xf numFmtId="0" fontId="29" fillId="8" borderId="7" xfId="0" applyFont="1" applyFill="1" applyBorder="1" applyAlignment="1">
      <alignment horizontal="center" wrapText="1"/>
    </xf>
    <xf numFmtId="0" fontId="0" fillId="13" borderId="118" xfId="0" applyFill="1" applyBorder="1"/>
    <xf numFmtId="0" fontId="0" fillId="18" borderId="70" xfId="0" applyFill="1" applyBorder="1"/>
    <xf numFmtId="0" fontId="0" fillId="0" borderId="152" xfId="0" applyBorder="1"/>
    <xf numFmtId="0" fontId="0" fillId="20" borderId="2" xfId="0" applyFill="1" applyBorder="1"/>
    <xf numFmtId="0" fontId="0" fillId="0" borderId="81" xfId="0" applyBorder="1"/>
    <xf numFmtId="0" fontId="0" fillId="8" borderId="19" xfId="0" applyFill="1" applyBorder="1"/>
    <xf numFmtId="0" fontId="0" fillId="8" borderId="73" xfId="0" applyFill="1" applyBorder="1"/>
    <xf numFmtId="0" fontId="0" fillId="8" borderId="22" xfId="0" applyFill="1" applyBorder="1"/>
    <xf numFmtId="0" fontId="0" fillId="20" borderId="0" xfId="0" applyFill="1" applyAlignment="1">
      <alignment horizontal="right"/>
    </xf>
    <xf numFmtId="1" fontId="0" fillId="20" borderId="2" xfId="0" applyNumberFormat="1" applyFill="1" applyBorder="1"/>
    <xf numFmtId="1" fontId="0" fillId="20" borderId="57" xfId="0" applyNumberFormat="1" applyFill="1" applyBorder="1"/>
    <xf numFmtId="1" fontId="29" fillId="20" borderId="57" xfId="0" applyNumberFormat="1" applyFont="1" applyFill="1" applyBorder="1"/>
    <xf numFmtId="1" fontId="0" fillId="20" borderId="56" xfId="0" applyNumberFormat="1" applyFill="1" applyBorder="1"/>
    <xf numFmtId="0" fontId="29" fillId="2" borderId="0" xfId="0" applyFont="1" applyFill="1" applyProtection="1">
      <protection hidden="1"/>
    </xf>
    <xf numFmtId="0" fontId="0" fillId="8" borderId="7" xfId="0" applyFill="1" applyBorder="1" applyProtection="1">
      <protection hidden="1"/>
    </xf>
    <xf numFmtId="0" fontId="87" fillId="3" borderId="131" xfId="0" applyFont="1" applyFill="1" applyBorder="1" applyAlignment="1" applyProtection="1">
      <alignment horizontal="right" vertical="center"/>
      <protection hidden="1"/>
    </xf>
    <xf numFmtId="0" fontId="7" fillId="3" borderId="134" xfId="0" applyFont="1" applyFill="1" applyBorder="1" applyAlignment="1" applyProtection="1">
      <alignment horizontal="right" vertical="center"/>
      <protection hidden="1"/>
    </xf>
    <xf numFmtId="0" fontId="33" fillId="2" borderId="0" xfId="0" applyFont="1" applyFill="1" applyAlignment="1">
      <alignment horizontal="left" vertical="center" wrapText="1"/>
    </xf>
    <xf numFmtId="0" fontId="34" fillId="4" borderId="2" xfId="0" applyFont="1" applyFill="1" applyBorder="1" applyAlignment="1" applyProtection="1">
      <alignment horizontal="left" vertical="center" wrapText="1"/>
      <protection hidden="1"/>
    </xf>
    <xf numFmtId="0" fontId="29" fillId="2" borderId="126" xfId="0" applyFont="1" applyFill="1" applyBorder="1" applyAlignment="1" applyProtection="1">
      <alignment horizontal="left" wrapText="1"/>
      <protection hidden="1"/>
    </xf>
    <xf numFmtId="0" fontId="29" fillId="2" borderId="0" xfId="0" applyFont="1" applyFill="1" applyAlignment="1" applyProtection="1">
      <alignment horizontal="left" wrapText="1"/>
      <protection hidden="1"/>
    </xf>
    <xf numFmtId="0" fontId="29" fillId="2" borderId="97" xfId="0" applyFont="1" applyFill="1" applyBorder="1" applyAlignment="1" applyProtection="1">
      <alignment horizontal="left" wrapText="1"/>
      <protection hidden="1"/>
    </xf>
    <xf numFmtId="0" fontId="29" fillId="2" borderId="111" xfId="0" applyFont="1" applyFill="1" applyBorder="1" applyAlignment="1" applyProtection="1">
      <alignment vertical="top" wrapText="1"/>
      <protection hidden="1"/>
    </xf>
    <xf numFmtId="0" fontId="29" fillId="2" borderId="1" xfId="0" applyFont="1" applyFill="1" applyBorder="1" applyAlignment="1" applyProtection="1">
      <alignment vertical="top" wrapText="1"/>
      <protection hidden="1"/>
    </xf>
    <xf numFmtId="0" fontId="29" fillId="2" borderId="127" xfId="0" applyFont="1" applyFill="1" applyBorder="1" applyAlignment="1" applyProtection="1">
      <alignment horizontal="center" vertical="top" wrapText="1"/>
      <protection hidden="1"/>
    </xf>
    <xf numFmtId="0" fontId="29" fillId="4" borderId="5" xfId="0" applyFont="1" applyFill="1" applyBorder="1" applyAlignment="1" applyProtection="1">
      <alignment wrapText="1"/>
      <protection hidden="1"/>
    </xf>
    <xf numFmtId="0" fontId="29" fillId="2" borderId="97" xfId="0" applyFont="1" applyFill="1" applyBorder="1" applyAlignment="1" applyProtection="1">
      <alignment vertical="top" wrapText="1"/>
      <protection hidden="1"/>
    </xf>
    <xf numFmtId="0" fontId="29" fillId="2" borderId="0" xfId="0" applyFont="1" applyFill="1" applyAlignment="1" applyProtection="1">
      <alignment horizontal="center" vertical="top" wrapText="1"/>
      <protection hidden="1"/>
    </xf>
    <xf numFmtId="0" fontId="29" fillId="4" borderId="5" xfId="0" applyFont="1" applyFill="1" applyBorder="1" applyAlignment="1" applyProtection="1">
      <alignment vertical="top" wrapText="1"/>
      <protection hidden="1"/>
    </xf>
    <xf numFmtId="0" fontId="29" fillId="2" borderId="12" xfId="0" applyFont="1" applyFill="1" applyBorder="1" applyAlignment="1" applyProtection="1">
      <alignment horizontal="center" vertical="top" wrapText="1"/>
      <protection hidden="1"/>
    </xf>
    <xf numFmtId="0" fontId="67" fillId="3" borderId="1" xfId="0" applyFont="1" applyFill="1" applyBorder="1" applyAlignment="1" applyProtection="1">
      <alignment vertical="top" wrapText="1"/>
      <protection hidden="1"/>
    </xf>
    <xf numFmtId="0" fontId="45" fillId="4" borderId="1" xfId="0" applyFont="1" applyFill="1" applyBorder="1" applyAlignment="1" applyProtection="1">
      <alignment horizontal="left" wrapText="1"/>
      <protection hidden="1"/>
    </xf>
    <xf numFmtId="0" fontId="32" fillId="4" borderId="34" xfId="0" applyFont="1" applyFill="1" applyBorder="1" applyAlignment="1" applyProtection="1">
      <alignment horizontal="left" vertical="center" wrapText="1"/>
      <protection hidden="1"/>
    </xf>
    <xf numFmtId="0" fontId="1" fillId="4" borderId="27" xfId="0" applyFont="1" applyFill="1" applyBorder="1" applyAlignment="1" applyProtection="1">
      <alignment horizontal="left" vertical="center" wrapText="1"/>
      <protection hidden="1"/>
    </xf>
    <xf numFmtId="165" fontId="32" fillId="4" borderId="28" xfId="0" applyNumberFormat="1" applyFont="1" applyFill="1" applyBorder="1" applyAlignment="1" applyProtection="1">
      <alignment horizontal="left" vertical="center" wrapText="1"/>
      <protection hidden="1"/>
    </xf>
    <xf numFmtId="0" fontId="54" fillId="2" borderId="0" xfId="0" applyFont="1" applyFill="1" applyAlignment="1" applyProtection="1">
      <alignment horizontal="left" wrapText="1"/>
      <protection hidden="1"/>
    </xf>
    <xf numFmtId="10" fontId="23" fillId="4" borderId="2" xfId="0" applyNumberFormat="1" applyFont="1" applyFill="1" applyBorder="1" applyAlignment="1" applyProtection="1">
      <alignment horizontal="center" vertical="center" wrapText="1"/>
      <protection hidden="1"/>
    </xf>
    <xf numFmtId="0" fontId="34" fillId="4" borderId="4" xfId="0" applyFont="1" applyFill="1" applyBorder="1" applyAlignment="1" applyProtection="1">
      <alignment horizontal="left" vertical="center" wrapText="1"/>
      <protection hidden="1"/>
    </xf>
    <xf numFmtId="0" fontId="71" fillId="4" borderId="15" xfId="0" applyFont="1" applyFill="1" applyBorder="1" applyAlignment="1" applyProtection="1">
      <alignment vertical="center" wrapText="1"/>
      <protection hidden="1"/>
    </xf>
    <xf numFmtId="0" fontId="29" fillId="4" borderId="15" xfId="0" applyFont="1" applyFill="1" applyBorder="1" applyAlignment="1" applyProtection="1">
      <alignment vertical="center" wrapText="1"/>
      <protection hidden="1"/>
    </xf>
    <xf numFmtId="0" fontId="34" fillId="4" borderId="2" xfId="0" applyFont="1" applyFill="1" applyBorder="1" applyAlignment="1" applyProtection="1">
      <alignment horizontal="left" vertical="center"/>
      <protection hidden="1"/>
    </xf>
    <xf numFmtId="0" fontId="27" fillId="2" borderId="0" xfId="0" applyFont="1" applyFill="1" applyAlignment="1" applyProtection="1">
      <alignment horizontal="left" vertical="center" wrapText="1"/>
      <protection hidden="1"/>
    </xf>
    <xf numFmtId="0" fontId="0" fillId="20" borderId="56" xfId="0" applyFill="1" applyBorder="1"/>
    <xf numFmtId="0" fontId="0" fillId="22" borderId="59" xfId="0" applyFill="1" applyBorder="1" applyAlignment="1">
      <alignment wrapText="1"/>
    </xf>
    <xf numFmtId="0" fontId="29" fillId="22" borderId="2" xfId="0" applyFont="1" applyFill="1" applyBorder="1" applyAlignment="1">
      <alignment wrapText="1"/>
    </xf>
    <xf numFmtId="0" fontId="21" fillId="0" borderId="0" xfId="0" applyFont="1" applyAlignment="1">
      <alignment horizontal="right"/>
    </xf>
    <xf numFmtId="0" fontId="21" fillId="4" borderId="0" xfId="0" applyFont="1" applyFill="1" applyAlignment="1" applyProtection="1">
      <alignment vertical="center"/>
      <protection hidden="1"/>
    </xf>
    <xf numFmtId="0" fontId="0" fillId="0" borderId="158" xfId="0" applyBorder="1" applyAlignment="1" applyProtection="1">
      <alignment wrapText="1"/>
      <protection hidden="1"/>
    </xf>
    <xf numFmtId="0" fontId="0" fillId="0" borderId="138" xfId="0" applyBorder="1" applyAlignment="1" applyProtection="1">
      <alignment wrapText="1"/>
      <protection hidden="1"/>
    </xf>
    <xf numFmtId="0" fontId="20" fillId="4" borderId="0" xfId="0" applyFont="1" applyFill="1"/>
    <xf numFmtId="0" fontId="29" fillId="8" borderId="0" xfId="0" applyFont="1" applyFill="1" applyProtection="1">
      <protection hidden="1"/>
    </xf>
    <xf numFmtId="0" fontId="0" fillId="21" borderId="0" xfId="0" applyFill="1" applyAlignment="1">
      <alignment wrapText="1"/>
    </xf>
    <xf numFmtId="0" fontId="20" fillId="21" borderId="81" xfId="0" applyFont="1" applyFill="1" applyBorder="1" applyAlignment="1">
      <alignment horizontal="center" wrapText="1"/>
    </xf>
    <xf numFmtId="0" fontId="0" fillId="25" borderId="0" xfId="0" applyFill="1"/>
    <xf numFmtId="0" fontId="20" fillId="25" borderId="149" xfId="0" applyFont="1" applyFill="1" applyBorder="1" applyAlignment="1">
      <alignment horizontal="center" wrapText="1"/>
    </xf>
    <xf numFmtId="0" fontId="0" fillId="26" borderId="0" xfId="0" applyFill="1" applyAlignment="1">
      <alignment wrapText="1"/>
    </xf>
    <xf numFmtId="0" fontId="20" fillId="26" borderId="81" xfId="0" applyFont="1" applyFill="1" applyBorder="1" applyAlignment="1">
      <alignment horizontal="center" wrapText="1"/>
    </xf>
    <xf numFmtId="0" fontId="0" fillId="27" borderId="0" xfId="0" applyFill="1"/>
    <xf numFmtId="0" fontId="20" fillId="27" borderId="149" xfId="0" applyFont="1" applyFill="1" applyBorder="1" applyAlignment="1">
      <alignment horizontal="center" wrapText="1"/>
    </xf>
    <xf numFmtId="0" fontId="75" fillId="25" borderId="2" xfId="0" applyFont="1" applyFill="1" applyBorder="1" applyAlignment="1">
      <alignment horizontal="left" indent="2"/>
    </xf>
    <xf numFmtId="0" fontId="29" fillId="25" borderId="53" xfId="0" applyFont="1" applyFill="1" applyBorder="1"/>
    <xf numFmtId="0" fontId="29" fillId="25" borderId="56" xfId="0" applyFont="1" applyFill="1" applyBorder="1"/>
    <xf numFmtId="0" fontId="29" fillId="25" borderId="58" xfId="0" applyFont="1" applyFill="1" applyBorder="1"/>
    <xf numFmtId="0" fontId="29" fillId="25" borderId="3" xfId="0" applyFont="1" applyFill="1" applyBorder="1"/>
    <xf numFmtId="0" fontId="91" fillId="25" borderId="2" xfId="0" applyFont="1" applyFill="1" applyBorder="1" applyAlignment="1">
      <alignment horizontal="left" indent="2"/>
    </xf>
    <xf numFmtId="0" fontId="91" fillId="25" borderId="59" xfId="0" applyFont="1" applyFill="1" applyBorder="1" applyAlignment="1">
      <alignment horizontal="left" indent="2"/>
    </xf>
    <xf numFmtId="0" fontId="0" fillId="5" borderId="24" xfId="0" applyFill="1" applyBorder="1" applyAlignment="1">
      <alignment horizontal="left" vertical="center" indent="5"/>
    </xf>
    <xf numFmtId="0" fontId="29" fillId="5" borderId="24" xfId="0"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indent="2"/>
      <protection hidden="1"/>
    </xf>
    <xf numFmtId="0" fontId="29" fillId="5" borderId="88" xfId="0"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indent="4"/>
      <protection hidden="1"/>
    </xf>
    <xf numFmtId="0" fontId="0" fillId="5" borderId="24" xfId="0" applyFill="1" applyBorder="1" applyAlignment="1" applyProtection="1">
      <alignment horizontal="left" vertical="center"/>
      <protection hidden="1"/>
    </xf>
    <xf numFmtId="0" fontId="55" fillId="4" borderId="12" xfId="0" applyFont="1" applyFill="1" applyBorder="1" applyProtection="1">
      <protection hidden="1"/>
    </xf>
    <xf numFmtId="0" fontId="55" fillId="0" borderId="0" xfId="0" applyFont="1" applyProtection="1">
      <protection hidden="1"/>
    </xf>
    <xf numFmtId="0" fontId="0" fillId="5" borderId="25" xfId="0" applyFill="1" applyBorder="1" applyAlignment="1" applyProtection="1">
      <alignment horizontal="left"/>
      <protection hidden="1"/>
    </xf>
    <xf numFmtId="0" fontId="0" fillId="5" borderId="31" xfId="0" applyFill="1" applyBorder="1" applyAlignment="1" applyProtection="1">
      <alignment horizontal="left"/>
      <protection hidden="1"/>
    </xf>
    <xf numFmtId="0" fontId="0" fillId="5" borderId="45" xfId="0" applyFill="1" applyBorder="1" applyAlignment="1" applyProtection="1">
      <alignment horizontal="left"/>
      <protection hidden="1"/>
    </xf>
    <xf numFmtId="0" fontId="29" fillId="5" borderId="25" xfId="0" applyFont="1" applyFill="1" applyBorder="1" applyAlignment="1" applyProtection="1">
      <alignment horizontal="center"/>
      <protection hidden="1"/>
    </xf>
    <xf numFmtId="0" fontId="0" fillId="5" borderId="25" xfId="0" applyFill="1" applyBorder="1" applyAlignment="1" applyProtection="1">
      <alignment horizontal="center"/>
      <protection hidden="1"/>
    </xf>
    <xf numFmtId="0" fontId="0" fillId="5" borderId="24" xfId="0" applyFill="1" applyBorder="1" applyAlignment="1" applyProtection="1">
      <alignment horizontal="left"/>
      <protection hidden="1"/>
    </xf>
    <xf numFmtId="0" fontId="29" fillId="4" borderId="0" xfId="0" applyFont="1" applyFill="1" applyProtection="1">
      <protection hidden="1"/>
    </xf>
    <xf numFmtId="16" fontId="0" fillId="0" borderId="2" xfId="0" applyNumberFormat="1" applyBorder="1"/>
    <xf numFmtId="0" fontId="84" fillId="5" borderId="6" xfId="0" applyFont="1" applyFill="1" applyBorder="1" applyProtection="1">
      <protection locked="0"/>
    </xf>
    <xf numFmtId="0" fontId="84" fillId="5" borderId="162" xfId="0" applyFont="1" applyFill="1" applyBorder="1" applyProtection="1">
      <protection locked="0"/>
    </xf>
    <xf numFmtId="16" fontId="0" fillId="8" borderId="2" xfId="0" applyNumberFormat="1" applyFill="1" applyBorder="1"/>
    <xf numFmtId="0" fontId="0" fillId="8" borderId="2" xfId="0" applyFill="1" applyBorder="1" applyAlignment="1">
      <alignment wrapText="1"/>
    </xf>
    <xf numFmtId="0" fontId="7" fillId="3" borderId="5" xfId="0" applyFont="1" applyFill="1" applyBorder="1" applyAlignment="1" applyProtection="1">
      <alignment horizontal="right" vertical="center"/>
      <protection hidden="1"/>
    </xf>
    <xf numFmtId="0" fontId="0" fillId="2" borderId="11" xfId="0" applyFill="1" applyBorder="1" applyProtection="1">
      <protection hidden="1"/>
    </xf>
    <xf numFmtId="0" fontId="29" fillId="25" borderId="12" xfId="0" applyFont="1" applyFill="1" applyBorder="1"/>
    <xf numFmtId="0" fontId="32" fillId="0" borderId="0" xfId="0" applyFont="1" applyAlignment="1">
      <alignment vertical="center"/>
    </xf>
    <xf numFmtId="0" fontId="95" fillId="0" borderId="0" xfId="0" applyFont="1" applyAlignment="1">
      <alignment vertical="center"/>
    </xf>
    <xf numFmtId="0" fontId="0" fillId="8" borderId="0" xfId="0" applyFill="1" applyAlignment="1">
      <alignment vertical="center"/>
    </xf>
    <xf numFmtId="0" fontId="0" fillId="0" borderId="0" xfId="0" applyAlignment="1">
      <alignment horizontal="left" vertical="top" wrapText="1"/>
    </xf>
    <xf numFmtId="0" fontId="32" fillId="2" borderId="0" xfId="0" applyFont="1" applyFill="1" applyAlignment="1" applyProtection="1">
      <alignment horizontal="left" vertical="top" wrapText="1"/>
      <protection hidden="1"/>
    </xf>
    <xf numFmtId="0" fontId="32" fillId="2" borderId="11" xfId="0" applyFont="1" applyFill="1" applyBorder="1" applyAlignment="1" applyProtection="1">
      <alignment horizontal="left" vertical="top" wrapText="1"/>
      <protection hidden="1"/>
    </xf>
    <xf numFmtId="0" fontId="32" fillId="4" borderId="0" xfId="0" applyFont="1" applyFill="1" applyAlignment="1" applyProtection="1">
      <alignment horizontal="left" vertical="top" wrapText="1"/>
      <protection hidden="1"/>
    </xf>
    <xf numFmtId="0" fontId="1" fillId="4" borderId="4"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9" fillId="4" borderId="40" xfId="0" applyFont="1" applyFill="1" applyBorder="1" applyAlignment="1">
      <alignment horizontal="center" vertical="top" wrapText="1"/>
    </xf>
    <xf numFmtId="0" fontId="9" fillId="4" borderId="0" xfId="0" applyFont="1" applyFill="1" applyAlignment="1">
      <alignment horizontal="center" vertical="top" wrapText="1"/>
    </xf>
    <xf numFmtId="0" fontId="41" fillId="2" borderId="51" xfId="0" applyFont="1" applyFill="1" applyBorder="1" applyAlignment="1">
      <alignment horizontal="center" wrapText="1"/>
    </xf>
    <xf numFmtId="0" fontId="41" fillId="2" borderId="1" xfId="0" applyFont="1" applyFill="1" applyBorder="1" applyAlignment="1">
      <alignment horizontal="center" wrapText="1"/>
    </xf>
    <xf numFmtId="0" fontId="41" fillId="2" borderId="41" xfId="0" applyFont="1" applyFill="1" applyBorder="1" applyAlignment="1">
      <alignment horizontal="center" wrapText="1"/>
    </xf>
    <xf numFmtId="0" fontId="0" fillId="5" borderId="137" xfId="0" applyFill="1" applyBorder="1" applyAlignment="1">
      <alignment horizontal="left" vertical="top" wrapText="1"/>
    </xf>
    <xf numFmtId="0" fontId="0" fillId="5" borderId="135" xfId="0" applyFill="1" applyBorder="1" applyAlignment="1">
      <alignment horizontal="left" vertical="top" wrapText="1"/>
    </xf>
    <xf numFmtId="0" fontId="52" fillId="0" borderId="148"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12" xfId="0" applyFont="1" applyBorder="1" applyAlignment="1" applyProtection="1">
      <alignment horizontal="left" vertical="top"/>
      <protection locked="0"/>
    </xf>
    <xf numFmtId="0" fontId="52" fillId="0" borderId="0" xfId="0" applyFont="1" applyAlignment="1" applyProtection="1">
      <alignment horizontal="left"/>
      <protection locked="0"/>
    </xf>
    <xf numFmtId="0" fontId="52" fillId="0" borderId="12" xfId="0" applyFont="1" applyBorder="1" applyAlignment="1" applyProtection="1">
      <alignment horizontal="left"/>
      <protection locked="0"/>
    </xf>
    <xf numFmtId="0" fontId="52" fillId="0" borderId="148" xfId="0" applyFont="1" applyBorder="1" applyAlignment="1" applyProtection="1">
      <alignment horizontal="left"/>
      <protection locked="0"/>
    </xf>
    <xf numFmtId="0" fontId="51" fillId="0" borderId="120" xfId="0" applyFont="1" applyBorder="1" applyAlignment="1" applyProtection="1">
      <alignment horizontal="left" vertical="center"/>
      <protection locked="0"/>
    </xf>
    <xf numFmtId="0" fontId="51" fillId="0" borderId="121" xfId="0" applyFont="1" applyBorder="1" applyAlignment="1" applyProtection="1">
      <alignment horizontal="left" vertical="center"/>
      <protection locked="0"/>
    </xf>
    <xf numFmtId="0" fontId="51" fillId="0" borderId="122" xfId="0" applyFont="1" applyBorder="1" applyAlignment="1" applyProtection="1">
      <alignment horizontal="left" vertical="center"/>
      <protection locked="0"/>
    </xf>
    <xf numFmtId="0" fontId="51" fillId="0" borderId="120" xfId="0" applyFont="1" applyBorder="1" applyAlignment="1" applyProtection="1">
      <alignment horizontal="left" vertical="top"/>
      <protection locked="0"/>
    </xf>
    <xf numFmtId="0" fontId="51" fillId="0" borderId="121" xfId="0" applyFont="1" applyBorder="1" applyAlignment="1" applyProtection="1">
      <alignment horizontal="left" vertical="top"/>
      <protection locked="0"/>
    </xf>
    <xf numFmtId="0" fontId="51" fillId="0" borderId="122" xfId="0" applyFont="1" applyBorder="1" applyAlignment="1" applyProtection="1">
      <alignment horizontal="left" vertical="top"/>
      <protection locked="0"/>
    </xf>
    <xf numFmtId="0" fontId="48" fillId="19" borderId="2" xfId="0" applyFont="1" applyFill="1" applyBorder="1" applyAlignment="1">
      <alignment horizontal="left" vertical="top" wrapText="1"/>
    </xf>
    <xf numFmtId="0" fontId="48" fillId="19" borderId="2" xfId="0" applyFont="1" applyFill="1" applyBorder="1" applyAlignment="1">
      <alignment horizontal="center" vertical="top" wrapText="1"/>
    </xf>
    <xf numFmtId="0" fontId="79" fillId="19" borderId="2" xfId="0" applyFont="1" applyFill="1" applyBorder="1" applyAlignment="1">
      <alignment horizontal="center" vertical="center" wrapText="1"/>
    </xf>
    <xf numFmtId="0" fontId="51" fillId="0" borderId="144" xfId="0" applyFont="1" applyBorder="1" applyAlignment="1" applyProtection="1">
      <alignment horizontal="left" vertical="top"/>
      <protection locked="0"/>
    </xf>
    <xf numFmtId="0" fontId="51" fillId="0" borderId="145" xfId="0" applyFont="1" applyBorder="1" applyAlignment="1" applyProtection="1">
      <alignment horizontal="left" vertical="top"/>
      <protection locked="0"/>
    </xf>
    <xf numFmtId="0" fontId="51" fillId="0" borderId="146" xfId="0" applyFont="1" applyBorder="1" applyAlignment="1" applyProtection="1">
      <alignment horizontal="left" vertical="top"/>
      <protection locked="0"/>
    </xf>
    <xf numFmtId="0" fontId="51" fillId="0" borderId="147" xfId="0" applyFont="1" applyBorder="1" applyAlignment="1" applyProtection="1">
      <alignment horizontal="left" vertical="top"/>
      <protection locked="0"/>
    </xf>
    <xf numFmtId="0" fontId="51" fillId="0" borderId="0" xfId="0" applyFont="1" applyAlignment="1" applyProtection="1">
      <alignment horizontal="left" vertical="top"/>
      <protection locked="0"/>
    </xf>
    <xf numFmtId="0" fontId="52" fillId="0" borderId="148" xfId="0" applyFont="1" applyBorder="1" applyAlignment="1" applyProtection="1">
      <alignment horizontal="left" vertical="top" wrapText="1"/>
      <protection locked="0"/>
    </xf>
    <xf numFmtId="0" fontId="52" fillId="0" borderId="0" xfId="0" applyFont="1" applyAlignment="1" applyProtection="1">
      <alignment horizontal="left" vertical="top" wrapText="1"/>
      <protection locked="0"/>
    </xf>
    <xf numFmtId="0" fontId="52" fillId="0" borderId="12" xfId="0" applyFont="1" applyBorder="1" applyAlignment="1" applyProtection="1">
      <alignment horizontal="left" vertical="top" wrapText="1"/>
      <protection locked="0"/>
    </xf>
    <xf numFmtId="0" fontId="48" fillId="0" borderId="148" xfId="0" applyFont="1" applyBorder="1" applyAlignment="1">
      <alignment horizontal="left" vertical="top"/>
    </xf>
    <xf numFmtId="0" fontId="48" fillId="0" borderId="0" xfId="0" applyFont="1" applyAlignment="1">
      <alignment horizontal="left" vertical="top"/>
    </xf>
    <xf numFmtId="0" fontId="48" fillId="0" borderId="12" xfId="0" applyFont="1" applyBorder="1" applyAlignment="1">
      <alignment horizontal="left" vertical="top"/>
    </xf>
    <xf numFmtId="0" fontId="51" fillId="0" borderId="151" xfId="0" applyFont="1" applyBorder="1" applyAlignment="1" applyProtection="1">
      <alignment horizontal="left" vertical="top"/>
      <protection locked="0"/>
    </xf>
    <xf numFmtId="0" fontId="0" fillId="0" borderId="0" xfId="0" applyAlignment="1">
      <alignment horizontal="center"/>
    </xf>
    <xf numFmtId="0" fontId="71" fillId="10" borderId="4" xfId="0" applyFont="1" applyFill="1" applyBorder="1" applyAlignment="1">
      <alignment horizontal="center" vertical="center"/>
    </xf>
    <xf numFmtId="0" fontId="71" fillId="10" borderId="6" xfId="0" applyFont="1" applyFill="1" applyBorder="1" applyAlignment="1">
      <alignment horizontal="center" vertical="center"/>
    </xf>
    <xf numFmtId="0" fontId="71" fillId="10" borderId="7" xfId="0" applyFont="1" applyFill="1" applyBorder="1" applyAlignment="1">
      <alignment horizontal="center" vertical="center"/>
    </xf>
    <xf numFmtId="0" fontId="20" fillId="10" borderId="79" xfId="0" applyFont="1" applyFill="1" applyBorder="1" applyAlignment="1" applyProtection="1">
      <alignment horizontal="center" wrapText="1"/>
      <protection hidden="1"/>
    </xf>
    <xf numFmtId="0" fontId="20" fillId="10" borderId="54" xfId="0" applyFont="1" applyFill="1" applyBorder="1" applyAlignment="1" applyProtection="1">
      <alignment horizontal="center" wrapText="1"/>
      <protection hidden="1"/>
    </xf>
    <xf numFmtId="0" fontId="20" fillId="10" borderId="55" xfId="0" applyFont="1" applyFill="1" applyBorder="1" applyAlignment="1" applyProtection="1">
      <alignment horizontal="center" wrapText="1"/>
      <protection hidden="1"/>
    </xf>
    <xf numFmtId="0" fontId="20" fillId="10" borderId="21" xfId="0" applyFont="1" applyFill="1" applyBorder="1" applyAlignment="1">
      <alignment horizontal="center"/>
    </xf>
    <xf numFmtId="0" fontId="20" fillId="10" borderId="22" xfId="0" applyFont="1" applyFill="1" applyBorder="1" applyAlignment="1">
      <alignment horizontal="center"/>
    </xf>
    <xf numFmtId="0" fontId="20" fillId="10" borderId="53" xfId="0" applyFont="1" applyFill="1" applyBorder="1" applyAlignment="1" applyProtection="1">
      <alignment horizontal="center" wrapText="1"/>
      <protection hidden="1"/>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57" xfId="0" applyBorder="1" applyAlignment="1">
      <alignment horizontal="center"/>
    </xf>
    <xf numFmtId="0" fontId="20" fillId="10" borderId="2" xfId="0" applyFont="1" applyFill="1" applyBorder="1" applyAlignment="1" applyProtection="1">
      <alignment horizontal="center"/>
      <protection hidden="1"/>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34" fillId="8" borderId="10" xfId="0" applyFont="1" applyFill="1" applyBorder="1" applyAlignment="1">
      <alignment horizontal="center" wrapText="1"/>
    </xf>
    <xf numFmtId="0" fontId="34" fillId="8" borderId="3" xfId="0" applyFont="1" applyFill="1" applyBorder="1" applyAlignment="1">
      <alignment horizontal="center" wrapText="1"/>
    </xf>
    <xf numFmtId="0" fontId="0" fillId="9" borderId="21" xfId="0" applyFill="1" applyBorder="1" applyAlignment="1">
      <alignment horizontal="center" vertical="center"/>
    </xf>
    <xf numFmtId="0" fontId="0" fillId="9" borderId="22" xfId="0" applyFill="1" applyBorder="1" applyAlignment="1">
      <alignment horizontal="center" vertical="center"/>
    </xf>
    <xf numFmtId="0" fontId="0" fillId="9" borderId="23" xfId="0" applyFill="1" applyBorder="1" applyAlignment="1">
      <alignment horizontal="center" vertical="center"/>
    </xf>
    <xf numFmtId="0" fontId="0" fillId="8" borderId="72" xfId="0" applyFill="1" applyBorder="1" applyAlignment="1">
      <alignment horizontal="center"/>
    </xf>
    <xf numFmtId="0" fontId="0" fillId="8" borderId="73" xfId="0" applyFill="1" applyBorder="1" applyAlignment="1">
      <alignment horizontal="center"/>
    </xf>
    <xf numFmtId="0" fontId="0" fillId="8" borderId="74" xfId="0" applyFill="1" applyBorder="1" applyAlignment="1">
      <alignment horizontal="center"/>
    </xf>
    <xf numFmtId="0" fontId="58" fillId="4" borderId="13" xfId="0" applyFont="1" applyFill="1" applyBorder="1" applyAlignment="1" applyProtection="1">
      <alignment horizontal="center"/>
      <protection hidden="1"/>
    </xf>
    <xf numFmtId="0" fontId="58" fillId="4" borderId="14" xfId="0" applyFont="1" applyFill="1" applyBorder="1" applyAlignment="1" applyProtection="1">
      <alignment horizontal="center"/>
      <protection hidden="1"/>
    </xf>
    <xf numFmtId="0" fontId="55" fillId="5" borderId="100" xfId="0" applyFont="1" applyFill="1" applyBorder="1" applyAlignment="1" applyProtection="1">
      <alignment horizontal="center"/>
      <protection hidden="1"/>
    </xf>
    <xf numFmtId="0" fontId="55" fillId="5" borderId="107" xfId="0" applyFont="1" applyFill="1" applyBorder="1" applyAlignment="1" applyProtection="1">
      <alignment horizontal="center"/>
      <protection hidden="1"/>
    </xf>
    <xf numFmtId="164" fontId="55" fillId="5" borderId="101" xfId="0" applyNumberFormat="1" applyFont="1" applyFill="1" applyBorder="1" applyAlignment="1" applyProtection="1">
      <alignment horizontal="center"/>
      <protection hidden="1"/>
    </xf>
    <xf numFmtId="164" fontId="55" fillId="5" borderId="104" xfId="0" applyNumberFormat="1" applyFont="1" applyFill="1" applyBorder="1" applyAlignment="1" applyProtection="1">
      <alignment horizontal="center"/>
      <protection hidden="1"/>
    </xf>
    <xf numFmtId="0" fontId="55" fillId="5" borderId="114" xfId="0" applyFont="1" applyFill="1" applyBorder="1" applyAlignment="1" applyProtection="1">
      <alignment horizontal="center"/>
      <protection hidden="1"/>
    </xf>
    <xf numFmtId="0" fontId="55" fillId="5" borderId="105" xfId="0" applyFont="1" applyFill="1" applyBorder="1" applyAlignment="1" applyProtection="1">
      <alignment horizontal="center"/>
      <protection hidden="1"/>
    </xf>
    <xf numFmtId="0" fontId="57" fillId="4" borderId="13" xfId="0" applyFont="1" applyFill="1" applyBorder="1" applyAlignment="1" applyProtection="1">
      <alignment horizontal="center" vertical="center"/>
      <protection hidden="1"/>
    </xf>
    <xf numFmtId="0" fontId="57" fillId="4" borderId="14" xfId="0" applyFont="1" applyFill="1" applyBorder="1" applyAlignment="1" applyProtection="1">
      <alignment horizontal="center" vertical="center"/>
      <protection hidden="1"/>
    </xf>
    <xf numFmtId="0" fontId="59" fillId="5" borderId="100" xfId="0" applyFont="1" applyFill="1" applyBorder="1" applyAlignment="1" applyProtection="1">
      <alignment horizontal="center"/>
      <protection hidden="1"/>
    </xf>
    <xf numFmtId="0" fontId="59" fillId="5" borderId="107" xfId="0" applyFont="1" applyFill="1" applyBorder="1" applyAlignment="1" applyProtection="1">
      <alignment horizontal="center"/>
      <protection hidden="1"/>
    </xf>
    <xf numFmtId="164" fontId="59" fillId="5" borderId="101" xfId="0" applyNumberFormat="1" applyFont="1" applyFill="1" applyBorder="1" applyAlignment="1" applyProtection="1">
      <alignment horizontal="center"/>
      <protection hidden="1"/>
    </xf>
    <xf numFmtId="164" fontId="59" fillId="5" borderId="104" xfId="0" applyNumberFormat="1" applyFont="1" applyFill="1" applyBorder="1" applyAlignment="1" applyProtection="1">
      <alignment horizontal="center"/>
      <protection hidden="1"/>
    </xf>
    <xf numFmtId="0" fontId="59" fillId="5" borderId="114" xfId="0" applyFont="1" applyFill="1" applyBorder="1" applyAlignment="1" applyProtection="1">
      <alignment horizontal="center"/>
      <protection hidden="1"/>
    </xf>
    <xf numFmtId="0" fontId="59" fillId="5" borderId="105" xfId="0" applyFont="1" applyFill="1" applyBorder="1" applyAlignment="1" applyProtection="1">
      <alignment horizontal="center"/>
      <protection hidden="1"/>
    </xf>
    <xf numFmtId="0" fontId="60" fillId="2" borderId="8" xfId="0" applyFont="1" applyFill="1" applyBorder="1" applyAlignment="1" applyProtection="1">
      <alignment horizontal="center" wrapText="1"/>
      <protection hidden="1"/>
    </xf>
    <xf numFmtId="0" fontId="60" fillId="2" borderId="12" xfId="0" applyFont="1" applyFill="1" applyBorder="1" applyAlignment="1" applyProtection="1">
      <alignment horizontal="center" wrapText="1"/>
      <protection hidden="1"/>
    </xf>
    <xf numFmtId="0" fontId="59" fillId="4" borderId="2" xfId="0" applyFont="1" applyFill="1" applyBorder="1" applyAlignment="1" applyProtection="1">
      <alignment horizontal="center"/>
      <protection locked="0" hidden="1"/>
    </xf>
    <xf numFmtId="0" fontId="60" fillId="2" borderId="0" xfId="0" applyFont="1" applyFill="1" applyAlignment="1" applyProtection="1">
      <alignment horizontal="center" wrapText="1"/>
      <protection hidden="1"/>
    </xf>
    <xf numFmtId="0" fontId="13" fillId="2" borderId="0" xfId="0" applyFont="1" applyFill="1" applyAlignment="1" applyProtection="1">
      <alignment vertical="center" wrapText="1"/>
      <protection hidden="1"/>
    </xf>
    <xf numFmtId="0" fontId="13" fillId="0" borderId="0" xfId="0" applyFont="1" applyAlignment="1" applyProtection="1">
      <alignment vertical="center" wrapText="1"/>
      <protection hidden="1"/>
    </xf>
    <xf numFmtId="0" fontId="0" fillId="4" borderId="2" xfId="0" applyFill="1" applyBorder="1" applyAlignment="1" applyProtection="1">
      <alignment wrapText="1"/>
      <protection hidden="1"/>
    </xf>
    <xf numFmtId="0" fontId="93" fillId="2" borderId="2" xfId="0" applyFont="1" applyFill="1" applyBorder="1" applyAlignment="1" applyProtection="1">
      <alignment horizontal="left" vertical="center" wrapText="1"/>
      <protection hidden="1"/>
    </xf>
    <xf numFmtId="0" fontId="1" fillId="2" borderId="2" xfId="0" applyFont="1" applyFill="1" applyBorder="1" applyAlignment="1" applyProtection="1">
      <alignment horizontal="left" vertical="center" wrapText="1"/>
      <protection hidden="1"/>
    </xf>
    <xf numFmtId="0" fontId="18" fillId="3" borderId="77" xfId="0" applyFont="1" applyFill="1" applyBorder="1" applyAlignment="1" applyProtection="1">
      <alignment horizontal="left" vertical="top" wrapText="1"/>
      <protection hidden="1"/>
    </xf>
    <xf numFmtId="0" fontId="18" fillId="3" borderId="106" xfId="0" applyFont="1" applyFill="1" applyBorder="1" applyAlignment="1" applyProtection="1">
      <alignment horizontal="left" vertical="top" wrapText="1"/>
      <protection hidden="1"/>
    </xf>
    <xf numFmtId="0" fontId="7" fillId="3" borderId="4" xfId="0" applyFont="1" applyFill="1" applyBorder="1" applyAlignment="1" applyProtection="1">
      <alignment horizontal="left"/>
      <protection hidden="1"/>
    </xf>
    <xf numFmtId="0" fontId="7" fillId="3" borderId="6" xfId="0" applyFont="1" applyFill="1" applyBorder="1" applyAlignment="1" applyProtection="1">
      <alignment horizontal="left"/>
      <protection hidden="1"/>
    </xf>
    <xf numFmtId="0" fontId="7" fillId="3" borderId="7" xfId="0" applyFont="1" applyFill="1" applyBorder="1" applyAlignment="1" applyProtection="1">
      <alignment horizontal="left"/>
      <protection hidden="1"/>
    </xf>
    <xf numFmtId="0" fontId="1" fillId="2" borderId="4" xfId="0" applyFont="1" applyFill="1" applyBorder="1" applyAlignment="1" applyProtection="1">
      <alignment horizontal="left" vertical="center" wrapText="1"/>
      <protection hidden="1"/>
    </xf>
    <xf numFmtId="0" fontId="1" fillId="2" borderId="6"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vertical="center" wrapText="1"/>
      <protection hidden="1"/>
    </xf>
    <xf numFmtId="0" fontId="93" fillId="2" borderId="4" xfId="0" applyFont="1" applyFill="1" applyBorder="1" applyAlignment="1" applyProtection="1">
      <alignment horizontal="left" vertical="center" wrapText="1"/>
      <protection hidden="1"/>
    </xf>
    <xf numFmtId="0" fontId="93" fillId="2" borderId="6" xfId="0" applyFont="1" applyFill="1" applyBorder="1" applyAlignment="1" applyProtection="1">
      <alignment horizontal="left" vertical="center" wrapText="1"/>
      <protection hidden="1"/>
    </xf>
    <xf numFmtId="0" fontId="93" fillId="2" borderId="7" xfId="0" applyFont="1" applyFill="1" applyBorder="1" applyAlignment="1" applyProtection="1">
      <alignment horizontal="left" vertical="center" wrapText="1"/>
      <protection hidden="1"/>
    </xf>
    <xf numFmtId="0" fontId="92" fillId="2" borderId="2" xfId="0" applyFont="1" applyFill="1" applyBorder="1" applyAlignment="1" applyProtection="1">
      <alignment horizontal="left" vertical="center" wrapText="1"/>
      <protection hidden="1"/>
    </xf>
    <xf numFmtId="0" fontId="29" fillId="4" borderId="2" xfId="0" applyFont="1" applyFill="1" applyBorder="1" applyAlignment="1" applyProtection="1">
      <alignment horizontal="left" vertical="center" wrapText="1"/>
      <protection hidden="1"/>
    </xf>
    <xf numFmtId="0" fontId="0" fillId="4" borderId="2" xfId="0" applyFill="1" applyBorder="1" applyAlignment="1" applyProtection="1">
      <alignment horizontal="left" vertical="center"/>
      <protection hidden="1"/>
    </xf>
    <xf numFmtId="0" fontId="0" fillId="4" borderId="2" xfId="0" applyFill="1" applyBorder="1" applyAlignment="1" applyProtection="1">
      <alignment horizontal="left" vertical="center" wrapText="1"/>
      <protection hidden="1"/>
    </xf>
    <xf numFmtId="0" fontId="0" fillId="8" borderId="0" xfId="0" applyFill="1" applyAlignment="1">
      <alignment horizontal="left" vertical="top" wrapText="1"/>
    </xf>
    <xf numFmtId="0" fontId="28" fillId="3" borderId="0" xfId="0" applyFont="1" applyFill="1" applyAlignment="1">
      <alignment vertical="top"/>
    </xf>
    <xf numFmtId="0" fontId="9" fillId="3" borderId="0" xfId="0" applyFont="1" applyFill="1"/>
    <xf numFmtId="1" fontId="28" fillId="3" borderId="0" xfId="0" applyNumberFormat="1" applyFont="1" applyFill="1" applyAlignment="1">
      <alignment vertical="top"/>
    </xf>
    <xf numFmtId="14" fontId="28" fillId="3" borderId="0" xfId="0" applyNumberFormat="1" applyFont="1" applyFill="1" applyAlignment="1">
      <alignment vertical="top"/>
    </xf>
    <xf numFmtId="0" fontId="43" fillId="0" borderId="0" xfId="0" applyFont="1"/>
    <xf numFmtId="0" fontId="55" fillId="0" borderId="0" xfId="0" applyFont="1"/>
    <xf numFmtId="0" fontId="55" fillId="0" borderId="0" xfId="0" applyFont="1" applyAlignment="1">
      <alignment horizontal="left" vertical="top"/>
    </xf>
    <xf numFmtId="0" fontId="29" fillId="0" borderId="0" xfId="0" applyFont="1" applyAlignment="1">
      <alignment horizontal="center"/>
    </xf>
    <xf numFmtId="0" fontId="5" fillId="2" borderId="0" xfId="0" applyFont="1" applyFill="1" applyAlignment="1" applyProtection="1">
      <alignment vertical="top" wrapText="1"/>
      <protection hidden="1"/>
    </xf>
    <xf numFmtId="0" fontId="5" fillId="2" borderId="1" xfId="0" applyFont="1" applyFill="1" applyBorder="1" applyAlignment="1" applyProtection="1">
      <alignment vertical="top" wrapText="1"/>
      <protection hidden="1"/>
    </xf>
    <xf numFmtId="0" fontId="5" fillId="2" borderId="0" xfId="0" applyFont="1" applyFill="1" applyProtection="1">
      <protection hidden="1"/>
    </xf>
    <xf numFmtId="0" fontId="5" fillId="4" borderId="0" xfId="0" applyFont="1" applyFill="1" applyAlignment="1" applyProtection="1">
      <alignment vertical="top" wrapText="1"/>
      <protection hidden="1"/>
    </xf>
    <xf numFmtId="0" fontId="4" fillId="4" borderId="0" xfId="0" applyFont="1" applyFill="1" applyAlignment="1" applyProtection="1">
      <alignment vertical="top" wrapText="1"/>
      <protection hidden="1"/>
    </xf>
    <xf numFmtId="0" fontId="5" fillId="0" borderId="0" xfId="0" applyFont="1" applyAlignment="1" applyProtection="1">
      <alignment vertical="top" wrapText="1"/>
      <protection hidden="1"/>
    </xf>
    <xf numFmtId="0" fontId="5" fillId="2" borderId="0" xfId="0" applyFont="1" applyFill="1" applyAlignment="1" applyProtection="1">
      <alignment horizontal="left" vertical="top" wrapText="1"/>
      <protection hidden="1"/>
    </xf>
    <xf numFmtId="0" fontId="4" fillId="2" borderId="0" xfId="0" applyFont="1" applyFill="1" applyProtection="1">
      <protection hidden="1"/>
    </xf>
    <xf numFmtId="0" fontId="4" fillId="2" borderId="1" xfId="0" applyFont="1" applyFill="1" applyBorder="1"/>
    <xf numFmtId="0" fontId="7" fillId="3" borderId="0" xfId="0" applyFont="1" applyFill="1" applyProtection="1">
      <protection hidden="1"/>
    </xf>
    <xf numFmtId="0" fontId="13" fillId="2" borderId="0" xfId="0" applyFont="1" applyFill="1" applyAlignment="1" applyProtection="1">
      <alignment horizontal="left" vertical="center"/>
      <protection hidden="1"/>
    </xf>
    <xf numFmtId="0" fontId="10" fillId="2" borderId="1" xfId="0" applyFont="1" applyFill="1" applyBorder="1" applyProtection="1">
      <protection hidden="1"/>
    </xf>
    <xf numFmtId="0" fontId="4" fillId="2" borderId="1" xfId="0" applyFont="1" applyFill="1" applyBorder="1" applyProtection="1">
      <protection hidden="1"/>
    </xf>
    <xf numFmtId="0" fontId="14" fillId="3" borderId="6" xfId="0" applyFont="1" applyFill="1" applyBorder="1" applyAlignment="1" applyProtection="1">
      <alignment horizontal="right" vertical="center"/>
      <protection hidden="1"/>
    </xf>
    <xf numFmtId="0" fontId="4" fillId="5" borderId="6" xfId="0" applyFont="1" applyFill="1" applyBorder="1" applyAlignment="1" applyProtection="1">
      <alignment horizontal="left" vertical="center"/>
      <protection hidden="1"/>
    </xf>
    <xf numFmtId="0" fontId="14" fillId="3" borderId="102" xfId="0" applyFont="1" applyFill="1" applyBorder="1" applyProtection="1">
      <protection hidden="1"/>
    </xf>
    <xf numFmtId="0" fontId="14" fillId="3" borderId="107" xfId="0" applyFont="1" applyFill="1" applyBorder="1" applyAlignment="1" applyProtection="1">
      <alignment horizontal="right" vertical="center"/>
      <protection hidden="1"/>
    </xf>
    <xf numFmtId="0" fontId="5" fillId="4" borderId="0" xfId="0" applyFont="1" applyFill="1" applyAlignment="1" applyProtection="1">
      <alignment horizontal="left" vertical="top" wrapText="1"/>
      <protection hidden="1"/>
    </xf>
    <xf numFmtId="0" fontId="14" fillId="3" borderId="45" xfId="0" applyFont="1" applyFill="1" applyBorder="1" applyProtection="1">
      <protection hidden="1"/>
    </xf>
    <xf numFmtId="0" fontId="14" fillId="3" borderId="110" xfId="0" applyFont="1" applyFill="1" applyBorder="1" applyAlignment="1" applyProtection="1">
      <alignment horizontal="right" vertical="center"/>
      <protection hidden="1"/>
    </xf>
    <xf numFmtId="0" fontId="5" fillId="2" borderId="0" xfId="0" applyFont="1" applyFill="1" applyAlignment="1" applyProtection="1">
      <alignment horizontal="left" vertical="top" wrapText="1"/>
      <protection hidden="1"/>
    </xf>
    <xf numFmtId="0" fontId="14" fillId="3" borderId="27" xfId="0" applyFont="1" applyFill="1" applyBorder="1" applyProtection="1">
      <protection hidden="1"/>
    </xf>
    <xf numFmtId="0" fontId="14" fillId="3" borderId="104" xfId="0" applyFont="1" applyFill="1" applyBorder="1" applyAlignment="1" applyProtection="1">
      <alignment horizontal="right" vertical="center"/>
      <protection hidden="1"/>
    </xf>
    <xf numFmtId="0" fontId="14" fillId="3" borderId="156" xfId="0" applyFont="1" applyFill="1" applyBorder="1" applyProtection="1">
      <protection hidden="1"/>
    </xf>
    <xf numFmtId="0" fontId="14" fillId="3" borderId="103" xfId="0" applyFont="1" applyFill="1" applyBorder="1" applyProtection="1">
      <protection hidden="1"/>
    </xf>
    <xf numFmtId="0" fontId="14" fillId="3" borderId="25" xfId="0" applyFont="1" applyFill="1" applyBorder="1" applyAlignment="1" applyProtection="1">
      <alignment horizontal="left" vertical="center"/>
      <protection hidden="1"/>
    </xf>
    <xf numFmtId="0" fontId="4" fillId="5" borderId="31" xfId="0" applyFont="1" applyFill="1" applyBorder="1" applyAlignment="1" applyProtection="1">
      <alignment horizontal="center" vertical="center"/>
      <protection hidden="1"/>
    </xf>
    <xf numFmtId="0" fontId="4" fillId="5" borderId="32" xfId="0" applyFont="1" applyFill="1" applyBorder="1" applyAlignment="1" applyProtection="1">
      <alignment horizontal="center" vertical="center"/>
      <protection hidden="1"/>
    </xf>
    <xf numFmtId="9" fontId="4" fillId="5" borderId="30" xfId="2" applyFont="1" applyFill="1" applyBorder="1" applyAlignment="1" applyProtection="1">
      <alignment horizontal="center" vertical="center"/>
      <protection hidden="1"/>
    </xf>
    <xf numFmtId="9" fontId="4" fillId="5" borderId="31" xfId="2" applyFont="1" applyFill="1" applyBorder="1" applyAlignment="1" applyProtection="1">
      <alignment horizontal="center" vertical="center"/>
      <protection hidden="1"/>
    </xf>
    <xf numFmtId="164" fontId="4" fillId="5" borderId="34" xfId="2" applyNumberFormat="1" applyFont="1" applyFill="1" applyBorder="1" applyAlignment="1" applyProtection="1">
      <alignment horizontal="center" vertical="center"/>
      <protection hidden="1"/>
    </xf>
    <xf numFmtId="164" fontId="4" fillId="5" borderId="25" xfId="2" applyNumberFormat="1" applyFont="1" applyFill="1" applyBorder="1" applyAlignment="1" applyProtection="1">
      <alignment horizontal="center" vertical="center"/>
      <protection hidden="1"/>
    </xf>
    <xf numFmtId="164" fontId="4" fillId="5" borderId="113" xfId="2" applyNumberFormat="1" applyFont="1" applyFill="1" applyBorder="1" applyAlignment="1" applyProtection="1">
      <alignment horizontal="center" vertical="center"/>
      <protection hidden="1"/>
    </xf>
    <xf numFmtId="0" fontId="14" fillId="3" borderId="24" xfId="0" applyFont="1" applyFill="1" applyBorder="1" applyAlignment="1" applyProtection="1">
      <alignment horizontal="left" vertical="center"/>
      <protection hidden="1"/>
    </xf>
    <xf numFmtId="0" fontId="4" fillId="5" borderId="26" xfId="0" applyFont="1" applyFill="1" applyBorder="1" applyAlignment="1" applyProtection="1">
      <alignment horizontal="center" vertical="center"/>
      <protection hidden="1"/>
    </xf>
    <xf numFmtId="0" fontId="4" fillId="5" borderId="33" xfId="0" applyFont="1" applyFill="1" applyBorder="1" applyAlignment="1" applyProtection="1">
      <alignment horizontal="center" vertical="center"/>
      <protection hidden="1"/>
    </xf>
    <xf numFmtId="9" fontId="4" fillId="5" borderId="29" xfId="2" applyFont="1" applyFill="1" applyBorder="1" applyAlignment="1" applyProtection="1">
      <alignment horizontal="center" vertical="center"/>
      <protection hidden="1"/>
    </xf>
    <xf numFmtId="164" fontId="4" fillId="5" borderId="28" xfId="2" applyNumberFormat="1" applyFont="1" applyFill="1" applyBorder="1" applyAlignment="1" applyProtection="1">
      <alignment horizontal="center" vertical="center"/>
      <protection hidden="1"/>
    </xf>
    <xf numFmtId="164" fontId="4" fillId="5" borderId="30" xfId="2" applyNumberFormat="1" applyFont="1" applyFill="1" applyBorder="1" applyAlignment="1" applyProtection="1">
      <alignment horizontal="center" vertical="center"/>
      <protection hidden="1"/>
    </xf>
    <xf numFmtId="0" fontId="23" fillId="4" borderId="0" xfId="0" applyFont="1" applyFill="1" applyProtection="1">
      <protection hidden="1"/>
    </xf>
    <xf numFmtId="0" fontId="23" fillId="4" borderId="0" xfId="0" applyFont="1" applyFill="1"/>
    <xf numFmtId="0" fontId="10" fillId="5" borderId="26" xfId="0" applyFont="1" applyFill="1" applyBorder="1" applyAlignment="1" applyProtection="1">
      <alignment horizontal="center" vertical="center"/>
      <protection hidden="1"/>
    </xf>
    <xf numFmtId="0" fontId="10" fillId="5" borderId="33" xfId="0" applyFont="1" applyFill="1" applyBorder="1" applyAlignment="1" applyProtection="1">
      <alignment horizontal="center" vertical="center"/>
      <protection hidden="1"/>
    </xf>
    <xf numFmtId="164" fontId="4" fillId="5" borderId="29" xfId="2" applyNumberFormat="1" applyFont="1" applyFill="1" applyBorder="1" applyAlignment="1" applyProtection="1">
      <alignment horizontal="center" vertical="center"/>
      <protection hidden="1"/>
    </xf>
    <xf numFmtId="0" fontId="10" fillId="5" borderId="28" xfId="0" applyFont="1" applyFill="1" applyBorder="1" applyAlignment="1" applyProtection="1">
      <alignment horizontal="center" vertical="center"/>
      <protection hidden="1"/>
    </xf>
    <xf numFmtId="164" fontId="4" fillId="5" borderId="26" xfId="2" applyNumberFormat="1" applyFont="1" applyFill="1" applyBorder="1" applyAlignment="1" applyProtection="1">
      <alignment horizontal="center" vertical="center"/>
      <protection hidden="1"/>
    </xf>
    <xf numFmtId="164" fontId="4" fillId="5" borderId="155" xfId="2" applyNumberFormat="1" applyFont="1" applyFill="1" applyBorder="1" applyAlignment="1" applyProtection="1">
      <alignment horizontal="center" vertical="center"/>
      <protection hidden="1"/>
    </xf>
    <xf numFmtId="164" fontId="10" fillId="5" borderId="28" xfId="2" applyNumberFormat="1" applyFont="1" applyFill="1" applyBorder="1" applyAlignment="1" applyProtection="1">
      <alignment horizontal="center" vertical="center"/>
      <protection hidden="1"/>
    </xf>
    <xf numFmtId="164" fontId="10" fillId="5" borderId="24" xfId="2" applyNumberFormat="1" applyFont="1" applyFill="1" applyBorder="1" applyAlignment="1" applyProtection="1">
      <alignment horizontal="center" vertical="center"/>
      <protection hidden="1"/>
    </xf>
    <xf numFmtId="164" fontId="10" fillId="5" borderId="29" xfId="2" applyNumberFormat="1" applyFont="1" applyFill="1" applyBorder="1" applyAlignment="1" applyProtection="1">
      <alignment horizontal="center" vertical="center"/>
      <protection hidden="1"/>
    </xf>
    <xf numFmtId="0" fontId="14" fillId="3" borderId="27" xfId="0" applyFont="1" applyFill="1" applyBorder="1" applyAlignment="1" applyProtection="1">
      <alignment horizontal="left" vertical="center"/>
      <protection hidden="1"/>
    </xf>
    <xf numFmtId="0" fontId="14" fillId="3" borderId="27" xfId="0" applyFont="1" applyFill="1" applyBorder="1" applyAlignment="1" applyProtection="1">
      <alignment horizontal="right" vertical="center"/>
      <protection hidden="1"/>
    </xf>
    <xf numFmtId="9" fontId="14" fillId="3" borderId="155" xfId="0" applyNumberFormat="1" applyFont="1" applyFill="1" applyBorder="1" applyAlignment="1" applyProtection="1">
      <alignment horizontal="right" vertical="center"/>
      <protection hidden="1"/>
    </xf>
    <xf numFmtId="164" fontId="4" fillId="5" borderId="24" xfId="2" applyNumberFormat="1" applyFont="1" applyFill="1" applyBorder="1" applyAlignment="1" applyProtection="1">
      <alignment horizontal="center" vertical="center"/>
      <protection hidden="1"/>
    </xf>
    <xf numFmtId="0" fontId="32" fillId="2" borderId="0" xfId="0" applyFont="1" applyFill="1" applyAlignment="1" applyProtection="1">
      <alignment horizontal="center" wrapText="1"/>
      <protection hidden="1"/>
    </xf>
    <xf numFmtId="0" fontId="24" fillId="2" borderId="21" xfId="0" applyFont="1" applyFill="1" applyBorder="1" applyProtection="1">
      <protection hidden="1"/>
    </xf>
    <xf numFmtId="0" fontId="24" fillId="2" borderId="22" xfId="0" applyFont="1" applyFill="1" applyBorder="1" applyProtection="1">
      <protection hidden="1"/>
    </xf>
    <xf numFmtId="10" fontId="24" fillId="2" borderId="23" xfId="0" applyNumberFormat="1" applyFont="1" applyFill="1" applyBorder="1" applyProtection="1">
      <protection hidden="1"/>
    </xf>
    <xf numFmtId="0" fontId="24" fillId="2" borderId="16" xfId="0" applyFont="1" applyFill="1" applyBorder="1" applyProtection="1">
      <protection hidden="1"/>
    </xf>
    <xf numFmtId="10" fontId="24" fillId="2" borderId="17" xfId="0" applyNumberFormat="1" applyFont="1" applyFill="1" applyBorder="1" applyProtection="1">
      <protection hidden="1"/>
    </xf>
    <xf numFmtId="0" fontId="24" fillId="2" borderId="18" xfId="0" applyFont="1" applyFill="1" applyBorder="1" applyProtection="1">
      <protection hidden="1"/>
    </xf>
    <xf numFmtId="0" fontId="24" fillId="2" borderId="19" xfId="0" applyFont="1" applyFill="1" applyBorder="1" applyProtection="1">
      <protection hidden="1"/>
    </xf>
    <xf numFmtId="10" fontId="24" fillId="2" borderId="20" xfId="0" applyNumberFormat="1" applyFont="1" applyFill="1" applyBorder="1" applyProtection="1">
      <protection hidden="1"/>
    </xf>
    <xf numFmtId="0" fontId="4" fillId="2" borderId="14" xfId="0" applyFont="1" applyFill="1" applyBorder="1" applyProtection="1">
      <protection hidden="1"/>
    </xf>
    <xf numFmtId="0" fontId="5" fillId="2" borderId="0" xfId="0" applyFont="1" applyFill="1" applyAlignment="1" applyProtection="1">
      <alignment horizontal="left" vertical="top"/>
      <protection hidden="1"/>
    </xf>
    <xf numFmtId="0" fontId="0" fillId="4" borderId="2" xfId="0" applyFill="1" applyBorder="1" applyAlignment="1" applyProtection="1">
      <protection hidden="1"/>
    </xf>
  </cellXfs>
  <cellStyles count="5">
    <cellStyle name="Good 2" xfId="3" xr:uid="{00000000-0005-0000-0000-000000000000}"/>
    <cellStyle name="Normal" xfId="0" builtinId="0"/>
    <cellStyle name="Normal 3" xfId="1" xr:uid="{00000000-0005-0000-0000-000002000000}"/>
    <cellStyle name="Percent 2" xfId="4" xr:uid="{A3F32B65-5251-4038-894E-02D69E32DDC8}"/>
    <cellStyle name="Prosent" xfId="2" builtinId="5"/>
  </cellStyles>
  <dxfs count="4159">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dxf>
    <dxf>
      <font>
        <color theme="1"/>
      </font>
    </dxf>
    <dxf>
      <font>
        <color theme="1"/>
      </font>
    </dxf>
    <dxf>
      <font>
        <color theme="5"/>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style="thin">
          <color theme="1"/>
        </left>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right style="thin">
          <color theme="1"/>
        </right>
      </border>
    </dxf>
    <dxf>
      <font>
        <color theme="0"/>
      </font>
      <fill>
        <patternFill>
          <bgColor theme="0"/>
        </patternFill>
      </fill>
    </dxf>
    <dxf>
      <font>
        <color theme="0"/>
      </font>
      <fill>
        <patternFill>
          <bgColor theme="0"/>
        </patternFill>
      </fill>
      <border>
        <left style="thin">
          <color theme="1"/>
        </left>
        <vertical/>
        <horizontal/>
      </border>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right style="thin">
          <color theme="1"/>
        </right>
      </border>
    </dxf>
    <dxf>
      <font>
        <color theme="0"/>
      </font>
      <fill>
        <patternFill>
          <bgColor theme="0"/>
        </patternFill>
      </fill>
    </dxf>
    <dxf>
      <font>
        <color theme="0"/>
      </font>
      <fill>
        <patternFill>
          <bgColor theme="0"/>
        </patternFill>
      </fill>
      <border>
        <left style="thin">
          <color theme="1"/>
        </left>
        <vertical/>
        <horizontal/>
      </border>
    </dxf>
    <dxf>
      <fill>
        <patternFill>
          <bgColor rgb="FFFF0000"/>
        </patternFill>
      </fill>
    </dxf>
    <dxf>
      <fill>
        <patternFill>
          <bgColor rgb="FFFF0000"/>
        </patternFill>
      </fill>
    </dxf>
    <dxf>
      <fill>
        <patternFill>
          <bgColor rgb="FFFF0000"/>
        </patternFill>
      </fill>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tint="-0.14996795556505021"/>
      </font>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tint="-0.14996795556505021"/>
      </font>
    </dxf>
    <dxf>
      <fill>
        <patternFill>
          <bgColor theme="0" tint="-0.14996795556505021"/>
        </patternFill>
      </fill>
    </dxf>
    <dxf>
      <font>
        <color theme="0" tint="-0.14996795556505021"/>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ont>
        <b/>
        <i val="0"/>
        <color rgb="FFFF0000"/>
      </font>
    </dxf>
    <dxf>
      <fill>
        <patternFill>
          <bgColor theme="0" tint="-0.14996795556505021"/>
        </patternFill>
      </fill>
    </dxf>
    <dxf>
      <fill>
        <patternFill>
          <bgColor theme="0"/>
        </patternFill>
      </fill>
    </dxf>
    <dxf>
      <fill>
        <patternFill>
          <bgColor theme="0"/>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tint="-0.14996795556505021"/>
      </font>
    </dxf>
    <dxf>
      <font>
        <b/>
        <i val="0"/>
        <color rgb="FFFF0000"/>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b/>
        <i val="0"/>
        <color rgb="FFFF0000"/>
      </font>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font>
      <fill>
        <patternFill>
          <bgColor theme="0"/>
        </patternFill>
      </fill>
    </dxf>
    <dxf>
      <fill>
        <patternFill>
          <bgColor theme="0" tint="-0.14996795556505021"/>
        </patternFill>
      </fill>
    </dxf>
    <dxf>
      <font>
        <color theme="0"/>
      </font>
      <fill>
        <patternFill>
          <bgColor theme="0"/>
        </patternFill>
      </fill>
      <border>
        <left/>
        <right/>
        <top/>
        <bottom/>
        <vertical/>
        <horizontal/>
      </border>
    </dxf>
    <dxf>
      <font>
        <color theme="1"/>
      </font>
      <fill>
        <patternFill>
          <bgColor theme="0"/>
        </patternFill>
      </fill>
    </dxf>
    <dxf>
      <font>
        <color theme="1"/>
      </font>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border>
        <top style="thin">
          <color auto="1"/>
        </top>
        <vertical/>
        <horizontal/>
      </border>
    </dxf>
    <dxf>
      <border>
        <top style="thin">
          <color theme="0"/>
        </top>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right/>
        <top style="thin">
          <color theme="0"/>
        </top>
        <bottom style="thin">
          <color theme="0"/>
        </bottom>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right/>
        <top style="thin">
          <color theme="0"/>
        </top>
        <bottom style="thin">
          <color theme="0"/>
        </bottom>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right/>
        <top style="thin">
          <color theme="0"/>
        </top>
        <bottom style="thin">
          <color theme="0"/>
        </bottom>
        <vertical/>
        <horizontal/>
      </border>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1"/>
        </top>
        <bottom style="thin">
          <color theme="1"/>
        </bottom>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theme="0"/>
        </top>
        <bottom/>
        <vertical/>
        <horizontal/>
      </border>
    </dxf>
    <dxf>
      <font>
        <color theme="0"/>
      </font>
      <fill>
        <patternFill>
          <bgColor theme="0"/>
        </patternFill>
      </fill>
      <border>
        <left/>
        <right/>
        <top/>
        <bottom style="thin">
          <color auto="1"/>
        </bottom>
        <vertical/>
        <horizontal/>
      </border>
    </dxf>
    <dxf>
      <font>
        <color theme="0"/>
      </font>
      <fill>
        <patternFill>
          <bgColor theme="0"/>
        </patternFill>
      </fill>
      <border>
        <left style="thin">
          <color theme="0"/>
        </left>
        <right style="thin">
          <color theme="0"/>
        </right>
        <top style="thin">
          <color theme="0"/>
        </top>
        <bottom style="thin">
          <color theme="1"/>
        </bottom>
        <vertical/>
        <horizontal/>
      </border>
    </dxf>
  </dxfs>
  <tableStyles count="0" defaultTableStyle="TableStyleMedium9" defaultPivotStyle="PivotStyleLight16"/>
  <colors>
    <mruColors>
      <color rgb="FF56B146"/>
      <color rgb="FF3D6864"/>
      <color rgb="FFFFD146"/>
      <color rgb="FFF16161"/>
      <color rgb="FFC4BD97"/>
      <color rgb="FFB9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of Building Performance'!$AC$22</c:f>
              <c:strCache>
                <c:ptCount val="1"/>
                <c:pt idx="0">
                  <c:v>Section score available</c:v>
                </c:pt>
              </c:strCache>
            </c:strRef>
          </c:tx>
          <c:spPr>
            <a:solidFill>
              <a:srgbClr val="406864"/>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Performance'!$AC$23:$AC$32</c:f>
              <c:numCache>
                <c:formatCode>0%</c:formatCode>
                <c:ptCount val="10"/>
                <c:pt idx="0">
                  <c:v>0.13</c:v>
                </c:pt>
                <c:pt idx="1">
                  <c:v>0.16</c:v>
                </c:pt>
                <c:pt idx="2">
                  <c:v>0.14000000000000001</c:v>
                </c:pt>
                <c:pt idx="3">
                  <c:v>0.1</c:v>
                </c:pt>
                <c:pt idx="4">
                  <c:v>0.04</c:v>
                </c:pt>
                <c:pt idx="5">
                  <c:v>0.17</c:v>
                </c:pt>
                <c:pt idx="6">
                  <c:v>7.0000000000000007E-2</c:v>
                </c:pt>
                <c:pt idx="7">
                  <c:v>0.15</c:v>
                </c:pt>
                <c:pt idx="8">
                  <c:v>0.04</c:v>
                </c:pt>
                <c:pt idx="9">
                  <c:v>0.1</c:v>
                </c:pt>
              </c:numCache>
            </c:numRef>
          </c:val>
          <c:extLst>
            <c:ext xmlns:c16="http://schemas.microsoft.com/office/drawing/2014/chart" uri="{C3380CC4-5D6E-409C-BE32-E72D297353CC}">
              <c16:uniqueId val="{00000000-F474-4344-A64F-9500F3F284CF}"/>
            </c:ext>
          </c:extLst>
        </c:ser>
        <c:ser>
          <c:idx val="1"/>
          <c:order val="1"/>
          <c:tx>
            <c:strRef>
              <c:f>'Summary of Building Performance'!$AD$22</c:f>
              <c:strCache>
                <c:ptCount val="1"/>
                <c:pt idx="0">
                  <c:v>Initial target setting</c:v>
                </c:pt>
              </c:strCache>
            </c:strRef>
          </c:tx>
          <c:spPr>
            <a:solidFill>
              <a:srgbClr val="56B146"/>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Performance'!$AD$23:$AD$32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474-4344-A64F-9500F3F284CF}"/>
            </c:ext>
          </c:extLst>
        </c:ser>
        <c:ser>
          <c:idx val="2"/>
          <c:order val="2"/>
          <c:tx>
            <c:strRef>
              <c:f>'Summary of Building Performance'!$AE$22</c:f>
              <c:strCache>
                <c:ptCount val="1"/>
                <c:pt idx="0">
                  <c:v>Design phase</c:v>
                </c:pt>
              </c:strCache>
            </c:strRef>
          </c:tx>
          <c:spPr>
            <a:solidFill>
              <a:schemeClr val="accent1">
                <a:lumMod val="40000"/>
                <a:lumOff val="60000"/>
              </a:schemeClr>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Performance'!$AE$23:$AE$32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F474-4344-A64F-9500F3F284CF}"/>
            </c:ext>
          </c:extLst>
        </c:ser>
        <c:ser>
          <c:idx val="3"/>
          <c:order val="3"/>
          <c:tx>
            <c:strRef>
              <c:f>'Summary of Building Performance'!$AF$22</c:f>
              <c:strCache>
                <c:ptCount val="1"/>
                <c:pt idx="0">
                  <c:v>Construction phase</c:v>
                </c:pt>
              </c:strCache>
            </c:strRef>
          </c:tx>
          <c:spPr>
            <a:solidFill>
              <a:schemeClr val="bg2">
                <a:lumMod val="75000"/>
              </a:schemeClr>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Performance'!$AF$23:$AF$32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474-4344-A64F-9500F3F284CF}"/>
            </c:ext>
          </c:extLst>
        </c:ser>
        <c:dLbls>
          <c:showLegendKey val="0"/>
          <c:showVal val="0"/>
          <c:showCatName val="0"/>
          <c:showSerName val="0"/>
          <c:showPercent val="0"/>
          <c:showBubbleSize val="0"/>
        </c:dLbls>
        <c:gapWidth val="75"/>
        <c:overlap val="-25"/>
        <c:axId val="621716544"/>
        <c:axId val="621717720"/>
      </c:barChart>
      <c:catAx>
        <c:axId val="62171654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21717720"/>
        <c:crosses val="autoZero"/>
        <c:auto val="1"/>
        <c:lblAlgn val="ctr"/>
        <c:lblOffset val="100"/>
        <c:noMultiLvlLbl val="0"/>
      </c:catAx>
      <c:valAx>
        <c:axId val="621717720"/>
        <c:scaling>
          <c:orientation val="minMax"/>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621716544"/>
        <c:crosses val="autoZero"/>
        <c:crossBetween val="between"/>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en-US"/>
          </a:p>
        </c:txPr>
      </c:legendEntry>
      <c:overlay val="0"/>
      <c:txPr>
        <a:bodyPr/>
        <a:lstStyle/>
        <a:p>
          <a:pPr>
            <a:defRPr sz="1000" b="0" i="0" u="none" strike="noStrike" baseline="0">
              <a:solidFill>
                <a:srgbClr val="000000"/>
              </a:solidFill>
              <a:latin typeface="Calibri"/>
              <a:ea typeface="Calibri"/>
              <a:cs typeface="Calibri"/>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733" l="0.70000000000000062" r="0.70000000000000062" t="0.750000000000007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6029043955481"/>
          <c:y val="4.2195507462141082E-2"/>
          <c:w val="0.85957557632275794"/>
          <c:h val="0.722508509326657"/>
        </c:manualLayout>
      </c:layout>
      <c:barChart>
        <c:barDir val="col"/>
        <c:grouping val="clustered"/>
        <c:varyColors val="0"/>
        <c:ser>
          <c:idx val="0"/>
          <c:order val="0"/>
          <c:tx>
            <c:strRef>
              <c:f>'Summary of Building Performance'!$AC$36</c:f>
              <c:strCache>
                <c:ptCount val="1"/>
                <c:pt idx="0">
                  <c:v>Initial target setting</c:v>
                </c:pt>
              </c:strCache>
            </c:strRef>
          </c:tx>
          <c:spPr>
            <a:solidFill>
              <a:srgbClr val="56B146"/>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Performance'!$AC$37:$AC$58</c:f>
              <c:numCache>
                <c:formatCode>General</c:formatCode>
                <c:ptCount val="22"/>
                <c:pt idx="0">
                  <c:v>3</c:v>
                </c:pt>
                <c:pt idx="1">
                  <c:v>0</c:v>
                </c:pt>
                <c:pt idx="2">
                  <c:v>0</c:v>
                </c:pt>
                <c:pt idx="3">
                  <c:v>3</c:v>
                </c:pt>
                <c:pt idx="4">
                  <c:v>0</c:v>
                </c:pt>
                <c:pt idx="5">
                  <c:v>0</c:v>
                </c:pt>
                <c:pt idx="6">
                  <c:v>3</c:v>
                </c:pt>
                <c:pt idx="7">
                  <c:v>0</c:v>
                </c:pt>
                <c:pt idx="8">
                  <c:v>3</c:v>
                </c:pt>
                <c:pt idx="9">
                  <c:v>3</c:v>
                </c:pt>
                <c:pt idx="10">
                  <c:v>0</c:v>
                </c:pt>
                <c:pt idx="11">
                  <c:v>0</c:v>
                </c:pt>
                <c:pt idx="12">
                  <c:v>0</c:v>
                </c:pt>
                <c:pt idx="13">
                  <c:v>3</c:v>
                </c:pt>
                <c:pt idx="14">
                  <c:v>0</c:v>
                </c:pt>
                <c:pt idx="15">
                  <c:v>3</c:v>
                </c:pt>
                <c:pt idx="16">
                  <c:v>2</c:v>
                </c:pt>
                <c:pt idx="17">
                  <c:v>3</c:v>
                </c:pt>
                <c:pt idx="18">
                  <c:v>3</c:v>
                </c:pt>
                <c:pt idx="19">
                  <c:v>2</c:v>
                </c:pt>
                <c:pt idx="20">
                  <c:v>4</c:v>
                </c:pt>
                <c:pt idx="21">
                  <c:v>3</c:v>
                </c:pt>
              </c:numCache>
            </c:numRef>
          </c:val>
          <c:extLst>
            <c:ext xmlns:c16="http://schemas.microsoft.com/office/drawing/2014/chart" uri="{C3380CC4-5D6E-409C-BE32-E72D297353CC}">
              <c16:uniqueId val="{00000000-F474-4344-A64F-9500F3F284CF}"/>
            </c:ext>
          </c:extLst>
        </c:ser>
        <c:ser>
          <c:idx val="1"/>
          <c:order val="1"/>
          <c:tx>
            <c:strRef>
              <c:f>'Summary of Building Performance'!$AD$36</c:f>
              <c:strCache>
                <c:ptCount val="1"/>
                <c:pt idx="0">
                  <c:v>Design phase</c:v>
                </c:pt>
              </c:strCache>
            </c:strRef>
          </c:tx>
          <c:spPr>
            <a:solidFill>
              <a:srgbClr val="B9CDE5"/>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Performance'!$AD$37:$AD$58</c:f>
              <c:numCache>
                <c:formatCode>General</c:formatCode>
                <c:ptCount val="22"/>
                <c:pt idx="0">
                  <c:v>3</c:v>
                </c:pt>
                <c:pt idx="1">
                  <c:v>0</c:v>
                </c:pt>
                <c:pt idx="2">
                  <c:v>0</c:v>
                </c:pt>
                <c:pt idx="3">
                  <c:v>3</c:v>
                </c:pt>
                <c:pt idx="4">
                  <c:v>0</c:v>
                </c:pt>
                <c:pt idx="5">
                  <c:v>0</c:v>
                </c:pt>
                <c:pt idx="6">
                  <c:v>3</c:v>
                </c:pt>
                <c:pt idx="7">
                  <c:v>0</c:v>
                </c:pt>
                <c:pt idx="8">
                  <c:v>3</c:v>
                </c:pt>
                <c:pt idx="9">
                  <c:v>3</c:v>
                </c:pt>
                <c:pt idx="10">
                  <c:v>0</c:v>
                </c:pt>
                <c:pt idx="11">
                  <c:v>0</c:v>
                </c:pt>
                <c:pt idx="12">
                  <c:v>0</c:v>
                </c:pt>
                <c:pt idx="13">
                  <c:v>3</c:v>
                </c:pt>
                <c:pt idx="14">
                  <c:v>0</c:v>
                </c:pt>
                <c:pt idx="15">
                  <c:v>3</c:v>
                </c:pt>
                <c:pt idx="16">
                  <c:v>2</c:v>
                </c:pt>
                <c:pt idx="17">
                  <c:v>3</c:v>
                </c:pt>
                <c:pt idx="18">
                  <c:v>3</c:v>
                </c:pt>
                <c:pt idx="19">
                  <c:v>2</c:v>
                </c:pt>
                <c:pt idx="20">
                  <c:v>4</c:v>
                </c:pt>
                <c:pt idx="21">
                  <c:v>3</c:v>
                </c:pt>
              </c:numCache>
            </c:numRef>
          </c:val>
          <c:extLst>
            <c:ext xmlns:c16="http://schemas.microsoft.com/office/drawing/2014/chart" uri="{C3380CC4-5D6E-409C-BE32-E72D297353CC}">
              <c16:uniqueId val="{00000001-F474-4344-A64F-9500F3F284CF}"/>
            </c:ext>
          </c:extLst>
        </c:ser>
        <c:ser>
          <c:idx val="2"/>
          <c:order val="2"/>
          <c:tx>
            <c:strRef>
              <c:f>'Summary of Building Performance'!$AE$36</c:f>
              <c:strCache>
                <c:ptCount val="1"/>
                <c:pt idx="0">
                  <c:v>Construction phase</c:v>
                </c:pt>
              </c:strCache>
            </c:strRef>
          </c:tx>
          <c:spPr>
            <a:solidFill>
              <a:srgbClr val="C4BD97"/>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Performance'!$AE$37:$AE$58</c:f>
              <c:numCache>
                <c:formatCode>General</c:formatCode>
                <c:ptCount val="22"/>
                <c:pt idx="0">
                  <c:v>3</c:v>
                </c:pt>
                <c:pt idx="1">
                  <c:v>0</c:v>
                </c:pt>
                <c:pt idx="2">
                  <c:v>0</c:v>
                </c:pt>
                <c:pt idx="3">
                  <c:v>3</c:v>
                </c:pt>
                <c:pt idx="4">
                  <c:v>0</c:v>
                </c:pt>
                <c:pt idx="5">
                  <c:v>0</c:v>
                </c:pt>
                <c:pt idx="6">
                  <c:v>3</c:v>
                </c:pt>
                <c:pt idx="7">
                  <c:v>0</c:v>
                </c:pt>
                <c:pt idx="8">
                  <c:v>3</c:v>
                </c:pt>
                <c:pt idx="9">
                  <c:v>3</c:v>
                </c:pt>
                <c:pt idx="10">
                  <c:v>0</c:v>
                </c:pt>
                <c:pt idx="11">
                  <c:v>0</c:v>
                </c:pt>
                <c:pt idx="12">
                  <c:v>0</c:v>
                </c:pt>
                <c:pt idx="13">
                  <c:v>3</c:v>
                </c:pt>
                <c:pt idx="14">
                  <c:v>0</c:v>
                </c:pt>
                <c:pt idx="15">
                  <c:v>3</c:v>
                </c:pt>
                <c:pt idx="16">
                  <c:v>2</c:v>
                </c:pt>
                <c:pt idx="17">
                  <c:v>3</c:v>
                </c:pt>
                <c:pt idx="18">
                  <c:v>3</c:v>
                </c:pt>
                <c:pt idx="19">
                  <c:v>2</c:v>
                </c:pt>
                <c:pt idx="20">
                  <c:v>4</c:v>
                </c:pt>
                <c:pt idx="21">
                  <c:v>3</c:v>
                </c:pt>
              </c:numCache>
            </c:numRef>
          </c:val>
          <c:extLst>
            <c:ext xmlns:c16="http://schemas.microsoft.com/office/drawing/2014/chart" uri="{C3380CC4-5D6E-409C-BE32-E72D297353CC}">
              <c16:uniqueId val="{00000002-F474-4344-A64F-9500F3F284CF}"/>
            </c:ext>
          </c:extLst>
        </c:ser>
        <c:dLbls>
          <c:showLegendKey val="0"/>
          <c:showVal val="0"/>
          <c:showCatName val="0"/>
          <c:showSerName val="0"/>
          <c:showPercent val="0"/>
          <c:showBubbleSize val="0"/>
        </c:dLbls>
        <c:gapWidth val="75"/>
        <c:overlap val="-25"/>
        <c:axId val="621713800"/>
        <c:axId val="621718504"/>
      </c:barChart>
      <c:catAx>
        <c:axId val="62171380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21718504"/>
        <c:crosses val="autoZero"/>
        <c:auto val="1"/>
        <c:lblAlgn val="ctr"/>
        <c:lblOffset val="100"/>
        <c:noMultiLvlLbl val="0"/>
      </c:catAx>
      <c:valAx>
        <c:axId val="621718504"/>
        <c:scaling>
          <c:orientation val="minMax"/>
          <c:max val="5"/>
        </c:scaling>
        <c:delete val="1"/>
        <c:axPos val="l"/>
        <c:majorGridlines/>
        <c:numFmt formatCode="0%" sourceLinked="0"/>
        <c:majorTickMark val="none"/>
        <c:minorTickMark val="none"/>
        <c:tickLblPos val="nextTo"/>
        <c:crossAx val="621713800"/>
        <c:crosses val="autoZero"/>
        <c:crossBetween val="between"/>
        <c:majorUnit val="1"/>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en-US"/>
          </a:p>
        </c:txPr>
      </c:legendEntry>
      <c:layout>
        <c:manualLayout>
          <c:xMode val="edge"/>
          <c:yMode val="edge"/>
          <c:x val="0.10425054779133901"/>
          <c:y val="0.88460329124958204"/>
          <c:w val="0.78340991326686749"/>
          <c:h val="9.2380977407431883E-2"/>
        </c:manualLayout>
      </c:layout>
      <c:overlay val="0"/>
      <c:txPr>
        <a:bodyPr/>
        <a:lstStyle/>
        <a:p>
          <a:pPr>
            <a:defRPr sz="1000" b="0" i="0" u="none" strike="noStrike" baseline="0">
              <a:solidFill>
                <a:srgbClr val="000000"/>
              </a:solidFill>
              <a:latin typeface="Calibri"/>
              <a:ea typeface="Calibri"/>
              <a:cs typeface="Calibri"/>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733" l="0.70000000000000062" r="0.70000000000000062" t="0.750000000000007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47944</xdr:colOff>
      <xdr:row>9</xdr:row>
      <xdr:rowOff>9524</xdr:rowOff>
    </xdr:from>
    <xdr:to>
      <xdr:col>3</xdr:col>
      <xdr:colOff>970683</xdr:colOff>
      <xdr:row>18</xdr:row>
      <xdr:rowOff>95249</xdr:rowOff>
    </xdr:to>
    <xdr:pic>
      <xdr:nvPicPr>
        <xdr:cNvPr id="8" name="Picture 7">
          <a:extLst>
            <a:ext uri="{FF2B5EF4-FFF2-40B4-BE49-F238E27FC236}">
              <a16:creationId xmlns:a16="http://schemas.microsoft.com/office/drawing/2014/main" id="{514DB9FE-E69C-44D8-90E6-192BCA61C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544" y="4724399"/>
          <a:ext cx="2199089" cy="1724025"/>
        </a:xfrm>
        <a:prstGeom prst="rect">
          <a:avLst/>
        </a:prstGeom>
      </xdr:spPr>
    </xdr:pic>
    <xdr:clientData/>
  </xdr:twoCellAnchor>
  <xdr:twoCellAnchor editAs="oneCell">
    <xdr:from>
      <xdr:col>11</xdr:col>
      <xdr:colOff>352425</xdr:colOff>
      <xdr:row>0</xdr:row>
      <xdr:rowOff>142875</xdr:rowOff>
    </xdr:from>
    <xdr:to>
      <xdr:col>16</xdr:col>
      <xdr:colOff>51435</xdr:colOff>
      <xdr:row>4</xdr:row>
      <xdr:rowOff>32138</xdr:rowOff>
    </xdr:to>
    <xdr:pic>
      <xdr:nvPicPr>
        <xdr:cNvPr id="9" name="Bilde 7">
          <a:extLst>
            <a:ext uri="{FF2B5EF4-FFF2-40B4-BE49-F238E27FC236}">
              <a16:creationId xmlns:a16="http://schemas.microsoft.com/office/drawing/2014/main" id="{2E416739-5696-4333-80A2-9773A284A9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8975" y="142875"/>
          <a:ext cx="2823210" cy="670313"/>
        </a:xfrm>
        <a:prstGeom prst="rect">
          <a:avLst/>
        </a:prstGeom>
      </xdr:spPr>
    </xdr:pic>
    <xdr:clientData/>
  </xdr:twoCellAnchor>
  <xdr:twoCellAnchor editAs="oneCell">
    <xdr:from>
      <xdr:col>5</xdr:col>
      <xdr:colOff>219074</xdr:colOff>
      <xdr:row>14</xdr:row>
      <xdr:rowOff>96843</xdr:rowOff>
    </xdr:from>
    <xdr:to>
      <xdr:col>8</xdr:col>
      <xdr:colOff>542925</xdr:colOff>
      <xdr:row>19</xdr:row>
      <xdr:rowOff>59076</xdr:rowOff>
    </xdr:to>
    <xdr:pic>
      <xdr:nvPicPr>
        <xdr:cNvPr id="3" name="Picture 2">
          <a:extLst>
            <a:ext uri="{FF2B5EF4-FFF2-40B4-BE49-F238E27FC236}">
              <a16:creationId xmlns:a16="http://schemas.microsoft.com/office/drawing/2014/main" id="{AA1CBD4F-DC3B-4EE6-AD68-16DE5317B1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2324" y="6307143"/>
          <a:ext cx="2095501" cy="914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71718</xdr:colOff>
      <xdr:row>40</xdr:row>
      <xdr:rowOff>56899</xdr:rowOff>
    </xdr:from>
    <xdr:to>
      <xdr:col>2</xdr:col>
      <xdr:colOff>2442173</xdr:colOff>
      <xdr:row>41</xdr:row>
      <xdr:rowOff>186238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2336" y="9974105"/>
          <a:ext cx="2374265" cy="538242"/>
        </a:xfrm>
        <a:prstGeom prst="rect">
          <a:avLst/>
        </a:prstGeom>
      </xdr:spPr>
    </xdr:pic>
    <xdr:clientData/>
  </xdr:twoCellAnchor>
  <xdr:twoCellAnchor>
    <xdr:from>
      <xdr:col>2</xdr:col>
      <xdr:colOff>3390900</xdr:colOff>
      <xdr:row>52</xdr:row>
      <xdr:rowOff>180975</xdr:rowOff>
    </xdr:from>
    <xdr:to>
      <xdr:col>4</xdr:col>
      <xdr:colOff>19050</xdr:colOff>
      <xdr:row>54</xdr:row>
      <xdr:rowOff>57150</xdr:rowOff>
    </xdr:to>
    <xdr:sp macro="" textlink="">
      <xdr:nvSpPr>
        <xdr:cNvPr id="6" name="TextBox 5">
          <a:extLst>
            <a:ext uri="{FF2B5EF4-FFF2-40B4-BE49-F238E27FC236}">
              <a16:creationId xmlns:a16="http://schemas.microsoft.com/office/drawing/2014/main" id="{A26ADC79-7EC8-47E4-B5D3-1CCBDADB2BE3}"/>
            </a:ext>
          </a:extLst>
        </xdr:cNvPr>
        <xdr:cNvSpPr txBox="1"/>
      </xdr:nvSpPr>
      <xdr:spPr>
        <a:xfrm>
          <a:off x="6096000" y="13611225"/>
          <a:ext cx="990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b-NO" sz="1100">
              <a:solidFill>
                <a:sysClr val="windowText" lastClr="000000"/>
              </a:solidFill>
            </a:rPr>
            <a:t>Tool date:</a:t>
          </a:r>
        </a:p>
      </xdr:txBody>
    </xdr:sp>
    <xdr:clientData/>
  </xdr:twoCellAnchor>
  <xdr:twoCellAnchor editAs="oneCell">
    <xdr:from>
      <xdr:col>5</xdr:col>
      <xdr:colOff>981075</xdr:colOff>
      <xdr:row>0</xdr:row>
      <xdr:rowOff>123825</xdr:rowOff>
    </xdr:from>
    <xdr:to>
      <xdr:col>34</xdr:col>
      <xdr:colOff>33655</xdr:colOff>
      <xdr:row>2</xdr:row>
      <xdr:rowOff>71508</xdr:rowOff>
    </xdr:to>
    <xdr:pic>
      <xdr:nvPicPr>
        <xdr:cNvPr id="5" name="Bilde 6">
          <a:extLst>
            <a:ext uri="{FF2B5EF4-FFF2-40B4-BE49-F238E27FC236}">
              <a16:creationId xmlns:a16="http://schemas.microsoft.com/office/drawing/2014/main" id="{D6381F30-8EEF-46F6-8E0F-07F579C38F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59000" y="123825"/>
          <a:ext cx="2815590" cy="67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572498</xdr:colOff>
      <xdr:row>0</xdr:row>
      <xdr:rowOff>38100</xdr:rowOff>
    </xdr:from>
    <xdr:to>
      <xdr:col>53</xdr:col>
      <xdr:colOff>33685</xdr:colOff>
      <xdr:row>2</xdr:row>
      <xdr:rowOff>1247</xdr:rowOff>
    </xdr:to>
    <xdr:pic>
      <xdr:nvPicPr>
        <xdr:cNvPr id="3" name="Bilde 2">
          <a:extLst>
            <a:ext uri="{FF2B5EF4-FFF2-40B4-BE49-F238E27FC236}">
              <a16:creationId xmlns:a16="http://schemas.microsoft.com/office/drawing/2014/main" id="{D95C09B3-24AB-4E08-9EEA-97C0984520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799"/>
        <a:stretch/>
      </xdr:blipFill>
      <xdr:spPr>
        <a:xfrm>
          <a:off x="18071604" y="38100"/>
          <a:ext cx="2921003" cy="5817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64</xdr:col>
      <xdr:colOff>69476</xdr:colOff>
      <xdr:row>271</xdr:row>
      <xdr:rowOff>80902</xdr:rowOff>
    </xdr:from>
    <xdr:to>
      <xdr:col>72</xdr:col>
      <xdr:colOff>119005</xdr:colOff>
      <xdr:row>276</xdr:row>
      <xdr:rowOff>229682</xdr:rowOff>
    </xdr:to>
    <xdr:pic>
      <xdr:nvPicPr>
        <xdr:cNvPr id="2" name="Picture 1">
          <a:extLst>
            <a:ext uri="{FF2B5EF4-FFF2-40B4-BE49-F238E27FC236}">
              <a16:creationId xmlns:a16="http://schemas.microsoft.com/office/drawing/2014/main" id="{855A0ECF-4CAF-4CEB-806C-D2BD151BA4A2}"/>
            </a:ext>
          </a:extLst>
        </xdr:cNvPr>
        <xdr:cNvPicPr>
          <a:picLocks noChangeAspect="1"/>
        </xdr:cNvPicPr>
      </xdr:nvPicPr>
      <xdr:blipFill>
        <a:blip xmlns:r="http://schemas.openxmlformats.org/officeDocument/2006/relationships" r:embed="rId1"/>
        <a:stretch>
          <a:fillRect/>
        </a:stretch>
      </xdr:blipFill>
      <xdr:spPr>
        <a:xfrm>
          <a:off x="42371682" y="58127373"/>
          <a:ext cx="5654374" cy="1091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8967</xdr:colOff>
      <xdr:row>14</xdr:row>
      <xdr:rowOff>96932</xdr:rowOff>
    </xdr:from>
    <xdr:to>
      <xdr:col>7</xdr:col>
      <xdr:colOff>259773</xdr:colOff>
      <xdr:row>31</xdr:row>
      <xdr:rowOff>141755</xdr:rowOff>
    </xdr:to>
    <xdr:graphicFrame macro="">
      <xdr:nvGraphicFramePr>
        <xdr:cNvPr id="6" name="Chart 4">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376152</xdr:colOff>
      <xdr:row>14</xdr:row>
      <xdr:rowOff>83594</xdr:rowOff>
    </xdr:from>
    <xdr:to>
      <xdr:col>15</xdr:col>
      <xdr:colOff>441960</xdr:colOff>
      <xdr:row>31</xdr:row>
      <xdr:rowOff>155873</xdr:rowOff>
    </xdr:to>
    <xdr:graphicFrame macro="">
      <xdr:nvGraphicFramePr>
        <xdr:cNvPr id="8" name="Chart 4">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412173</xdr:colOff>
      <xdr:row>27</xdr:row>
      <xdr:rowOff>9525</xdr:rowOff>
    </xdr:from>
    <xdr:to>
      <xdr:col>8</xdr:col>
      <xdr:colOff>688398</xdr:colOff>
      <xdr:row>28</xdr:row>
      <xdr:rowOff>47625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685559" y="6010275"/>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Unclassified</a:t>
          </a:r>
        </a:p>
      </xdr:txBody>
    </xdr:sp>
    <xdr:clientData/>
  </xdr:twoCellAnchor>
  <xdr:twoCellAnchor>
    <xdr:from>
      <xdr:col>8</xdr:col>
      <xdr:colOff>40698</xdr:colOff>
      <xdr:row>24</xdr:row>
      <xdr:rowOff>76199</xdr:rowOff>
    </xdr:from>
    <xdr:to>
      <xdr:col>8</xdr:col>
      <xdr:colOff>516948</xdr:colOff>
      <xdr:row>25</xdr:row>
      <xdr:rowOff>142874</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050107" y="5505449"/>
          <a:ext cx="476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Pass</a:t>
          </a:r>
        </a:p>
      </xdr:txBody>
    </xdr:sp>
    <xdr:clientData/>
  </xdr:twoCellAnchor>
  <xdr:twoCellAnchor>
    <xdr:from>
      <xdr:col>8</xdr:col>
      <xdr:colOff>12123</xdr:colOff>
      <xdr:row>21</xdr:row>
      <xdr:rowOff>190499</xdr:rowOff>
    </xdr:from>
    <xdr:to>
      <xdr:col>8</xdr:col>
      <xdr:colOff>497898</xdr:colOff>
      <xdr:row>23</xdr:row>
      <xdr:rowOff>66674</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021532" y="5048249"/>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Good</a:t>
          </a:r>
        </a:p>
      </xdr:txBody>
    </xdr:sp>
    <xdr:clientData/>
  </xdr:twoCellAnchor>
  <xdr:twoCellAnchor>
    <xdr:from>
      <xdr:col>7</xdr:col>
      <xdr:colOff>497898</xdr:colOff>
      <xdr:row>19</xdr:row>
      <xdr:rowOff>85725</xdr:rowOff>
    </xdr:from>
    <xdr:to>
      <xdr:col>8</xdr:col>
      <xdr:colOff>535998</xdr:colOff>
      <xdr:row>20</xdr:row>
      <xdr:rowOff>180975</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5771284" y="4562475"/>
          <a:ext cx="77412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Very Good</a:t>
          </a:r>
        </a:p>
      </xdr:txBody>
    </xdr:sp>
    <xdr:clientData/>
  </xdr:twoCellAnchor>
  <xdr:twoCellAnchor>
    <xdr:from>
      <xdr:col>7</xdr:col>
      <xdr:colOff>574098</xdr:colOff>
      <xdr:row>17</xdr:row>
      <xdr:rowOff>9525</xdr:rowOff>
    </xdr:from>
    <xdr:to>
      <xdr:col>8</xdr:col>
      <xdr:colOff>516948</xdr:colOff>
      <xdr:row>18</xdr:row>
      <xdr:rowOff>66675</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5847484" y="4105275"/>
          <a:ext cx="678873"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Excellent</a:t>
          </a:r>
        </a:p>
      </xdr:txBody>
    </xdr:sp>
    <xdr:clientData/>
  </xdr:twoCellAnchor>
  <xdr:twoCellAnchor>
    <xdr:from>
      <xdr:col>7</xdr:col>
      <xdr:colOff>421698</xdr:colOff>
      <xdr:row>14</xdr:row>
      <xdr:rowOff>95250</xdr:rowOff>
    </xdr:from>
    <xdr:to>
      <xdr:col>8</xdr:col>
      <xdr:colOff>697923</xdr:colOff>
      <xdr:row>15</xdr:row>
      <xdr:rowOff>133350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5695084" y="3619500"/>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Outstanding</a:t>
          </a:r>
        </a:p>
      </xdr:txBody>
    </xdr:sp>
    <xdr:clientData/>
  </xdr:twoCellAnchor>
  <xdr:twoCellAnchor editAs="oneCell">
    <xdr:from>
      <xdr:col>12</xdr:col>
      <xdr:colOff>347052</xdr:colOff>
      <xdr:row>0</xdr:row>
      <xdr:rowOff>116898</xdr:rowOff>
    </xdr:from>
    <xdr:to>
      <xdr:col>15</xdr:col>
      <xdr:colOff>414303</xdr:colOff>
      <xdr:row>2</xdr:row>
      <xdr:rowOff>77281</xdr:rowOff>
    </xdr:to>
    <xdr:pic>
      <xdr:nvPicPr>
        <xdr:cNvPr id="14" name="Bilde 14">
          <a:extLst>
            <a:ext uri="{FF2B5EF4-FFF2-40B4-BE49-F238E27FC236}">
              <a16:creationId xmlns:a16="http://schemas.microsoft.com/office/drawing/2014/main" id="{1C2864DC-DD23-4B28-9CDE-E141AEDE13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63492" y="116898"/>
          <a:ext cx="2837121" cy="6842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1376228</xdr:colOff>
      <xdr:row>0</xdr:row>
      <xdr:rowOff>68036</xdr:rowOff>
    </xdr:from>
    <xdr:to>
      <xdr:col>25</xdr:col>
      <xdr:colOff>1278799</xdr:colOff>
      <xdr:row>1</xdr:row>
      <xdr:rowOff>58537</xdr:rowOff>
    </xdr:to>
    <xdr:pic>
      <xdr:nvPicPr>
        <xdr:cNvPr id="3" name="Bilde 3">
          <a:extLst>
            <a:ext uri="{FF2B5EF4-FFF2-40B4-BE49-F238E27FC236}">
              <a16:creationId xmlns:a16="http://schemas.microsoft.com/office/drawing/2014/main" id="{5E8C092E-9A9A-47F0-A1C5-F1236DAD70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98"/>
        <a:stretch/>
      </xdr:blipFill>
      <xdr:spPr>
        <a:xfrm>
          <a:off x="35258014" y="68036"/>
          <a:ext cx="2828107" cy="6028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247650</xdr:colOff>
      <xdr:row>0</xdr:row>
      <xdr:rowOff>142875</xdr:rowOff>
    </xdr:from>
    <xdr:to>
      <xdr:col>16</xdr:col>
      <xdr:colOff>41910</xdr:colOff>
      <xdr:row>2</xdr:row>
      <xdr:rowOff>79763</xdr:rowOff>
    </xdr:to>
    <xdr:pic>
      <xdr:nvPicPr>
        <xdr:cNvPr id="4" name="Bilde 2">
          <a:extLst>
            <a:ext uri="{FF2B5EF4-FFF2-40B4-BE49-F238E27FC236}">
              <a16:creationId xmlns:a16="http://schemas.microsoft.com/office/drawing/2014/main" id="{BAD9EE81-3374-42DE-8AFE-1DDEF62D0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6175" y="142875"/>
          <a:ext cx="2846070" cy="6626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17"/>
  <sheetViews>
    <sheetView showGridLines="0" tabSelected="1" zoomScaleNormal="100" workbookViewId="0">
      <selection activeCell="T6" sqref="T6"/>
    </sheetView>
  </sheetViews>
  <sheetFormatPr defaultColWidth="8.85546875" defaultRowHeight="15"/>
  <cols>
    <col min="1" max="1" width="3.42578125" style="486" customWidth="1"/>
    <col min="2" max="2" width="10.28515625" style="486" customWidth="1"/>
    <col min="3" max="3" width="8.85546875" style="486"/>
    <col min="4" max="4" width="15.7109375" style="486" bestFit="1" customWidth="1"/>
    <col min="5" max="11" width="8.85546875" style="486"/>
    <col min="12" max="12" width="11.42578125" style="486" customWidth="1"/>
    <col min="13" max="17" width="8.85546875" style="486"/>
    <col min="18" max="18" width="7.42578125" style="486" customWidth="1"/>
    <col min="19" max="16384" width="8.85546875" style="486"/>
  </cols>
  <sheetData>
    <row r="2" spans="2:16" ht="21">
      <c r="B2" s="567" t="s">
        <v>0</v>
      </c>
      <c r="C2" s="1114"/>
      <c r="D2" s="1114"/>
      <c r="E2" s="1114"/>
      <c r="F2" s="1114"/>
      <c r="G2" s="1114"/>
      <c r="H2" s="1114"/>
      <c r="I2" s="1114"/>
      <c r="J2" s="1114"/>
      <c r="K2" s="1114"/>
      <c r="L2" s="1115"/>
      <c r="M2" s="1115"/>
      <c r="N2" s="1115"/>
      <c r="O2" s="1115"/>
      <c r="P2" s="490" t="str">
        <f>IF('Manuell filtrering og justering'!I2='Manuell filtrering og justering'!J2,"Bespoke","")</f>
        <v/>
      </c>
    </row>
    <row r="3" spans="2:16" ht="21">
      <c r="B3" s="567" t="s">
        <v>1</v>
      </c>
      <c r="C3" s="1116" t="str">
        <f>TVC_current_version</f>
        <v>1.6</v>
      </c>
      <c r="D3" s="1117">
        <f>TVC_current_date</f>
        <v>45033</v>
      </c>
      <c r="E3" s="1114"/>
      <c r="F3" s="1114"/>
      <c r="G3" s="1114"/>
      <c r="H3" s="1114"/>
      <c r="I3" s="1114"/>
      <c r="J3" s="1114"/>
      <c r="K3" s="1114"/>
      <c r="L3" s="1115"/>
      <c r="M3" s="1115"/>
      <c r="N3" s="1115"/>
      <c r="O3" s="1115"/>
      <c r="P3" s="1115"/>
    </row>
    <row r="4" spans="2:16" ht="4.5" customHeight="1">
      <c r="B4" s="1118"/>
      <c r="C4" s="1119"/>
      <c r="D4" s="1119"/>
      <c r="E4" s="1119"/>
      <c r="F4" s="1119"/>
      <c r="G4" s="1119"/>
      <c r="H4" s="1119"/>
      <c r="I4" s="1119"/>
      <c r="J4" s="1119"/>
      <c r="K4" s="1119"/>
      <c r="L4" s="1119"/>
      <c r="M4" s="1119"/>
      <c r="N4" s="1119"/>
      <c r="O4" s="1119"/>
      <c r="P4" s="1119"/>
    </row>
    <row r="5" spans="2:16" ht="126.75" customHeight="1">
      <c r="B5" s="1005" t="s">
        <v>2</v>
      </c>
      <c r="C5" s="1120"/>
      <c r="D5" s="1120"/>
      <c r="E5" s="1120"/>
      <c r="F5" s="1120"/>
      <c r="G5" s="1120"/>
      <c r="H5" s="1120"/>
      <c r="I5" s="1120"/>
      <c r="J5" s="1120"/>
      <c r="K5" s="1120"/>
      <c r="L5" s="1120"/>
      <c r="M5" s="1120"/>
      <c r="N5" s="1120"/>
      <c r="O5" s="1120"/>
      <c r="P5" s="1120"/>
    </row>
    <row r="6" spans="2:16" ht="85.5" customHeight="1">
      <c r="B6" s="1005" t="s">
        <v>3</v>
      </c>
      <c r="C6" s="1120"/>
      <c r="D6" s="1120"/>
      <c r="E6" s="1120"/>
      <c r="F6" s="1120"/>
      <c r="G6" s="1120"/>
      <c r="H6" s="1120"/>
      <c r="I6" s="1120"/>
      <c r="J6" s="1120"/>
      <c r="K6" s="1120"/>
      <c r="L6" s="1120"/>
      <c r="M6" s="1120"/>
      <c r="N6" s="1120"/>
      <c r="O6" s="1120"/>
      <c r="P6" s="1120"/>
    </row>
    <row r="7" spans="2:16" ht="80.25" customHeight="1">
      <c r="B7" s="1005" t="s">
        <v>4</v>
      </c>
      <c r="C7" s="1120"/>
      <c r="D7" s="1120"/>
      <c r="E7" s="1120"/>
      <c r="F7" s="1120"/>
      <c r="G7" s="1120"/>
      <c r="H7" s="1120"/>
      <c r="I7" s="1120"/>
      <c r="J7" s="1120"/>
      <c r="K7" s="1120"/>
      <c r="L7" s="1120"/>
      <c r="M7" s="1120"/>
      <c r="N7" s="1120"/>
      <c r="O7" s="1120"/>
      <c r="P7" s="1120"/>
    </row>
    <row r="8" spans="2:16" ht="2.25" customHeight="1">
      <c r="B8" s="1119"/>
      <c r="C8" s="1119"/>
      <c r="D8" s="1119"/>
      <c r="E8" s="1119"/>
      <c r="F8" s="1119"/>
      <c r="G8" s="1119"/>
      <c r="H8" s="1119"/>
      <c r="I8" s="1119"/>
      <c r="J8" s="1119"/>
      <c r="K8" s="1119"/>
      <c r="L8" s="1119"/>
      <c r="M8" s="1119"/>
      <c r="N8" s="1119"/>
      <c r="O8" s="1119"/>
      <c r="P8" s="1118"/>
    </row>
    <row r="9" spans="2:16">
      <c r="B9" s="112" t="s">
        <v>5</v>
      </c>
      <c r="C9" s="1119"/>
      <c r="D9" s="1119"/>
      <c r="E9" s="1119"/>
      <c r="F9" s="1119"/>
      <c r="G9" s="1119"/>
      <c r="H9" s="1119"/>
      <c r="I9" s="1119"/>
      <c r="J9" s="1119"/>
      <c r="K9" s="1119"/>
      <c r="L9" s="1119"/>
      <c r="M9" s="1119"/>
      <c r="N9" s="1119"/>
      <c r="O9" s="1119"/>
      <c r="P9" s="1119"/>
    </row>
    <row r="10" spans="2:16" ht="9" customHeight="1">
      <c r="B10" s="1119"/>
      <c r="C10" s="1119"/>
      <c r="D10" s="1119"/>
      <c r="E10" s="1119"/>
      <c r="F10" s="1119"/>
      <c r="G10" s="1119"/>
      <c r="H10" s="1119"/>
      <c r="I10" s="1119"/>
      <c r="J10" s="1119"/>
      <c r="K10" s="1119"/>
      <c r="L10" s="1119"/>
      <c r="M10" s="1119"/>
      <c r="N10" s="1119"/>
      <c r="O10" s="1119"/>
      <c r="P10" s="1119"/>
    </row>
    <row r="17" spans="9:9">
      <c r="I17" s="1121"/>
    </row>
  </sheetData>
  <sheetProtection algorithmName="SHA-512" hashValue="/JVbtRhYDF8YgNjpL7L2GuNHBAtafvonwT2HjSRWWSeTKXySYZiwgiAkwOJT4oWWu9CtQGMTeXpEkWHFKTtZHg==" saltValue="ozC9LegFm6PdmEXACPbPOQ==" spinCount="100000" sheet="1" objects="1" scenarios="1"/>
  <mergeCells count="3">
    <mergeCell ref="B5:P5"/>
    <mergeCell ref="B6:P6"/>
    <mergeCell ref="B7:P7"/>
  </mergeCells>
  <pageMargins left="0.7" right="0.7" top="0.75" bottom="0.75" header="0.3" footer="0.3"/>
  <pageSetup paperSize="9" scale="91"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topLeftCell="A13" workbookViewId="0">
      <selection activeCell="P43" sqref="P43"/>
    </sheetView>
  </sheetViews>
  <sheetFormatPr defaultColWidth="8.85546875" defaultRowHeight="15"/>
  <cols>
    <col min="2" max="2" width="9.1406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H9" sqref="H9:I9"/>
    </sheetView>
  </sheetViews>
  <sheetFormatPr defaultColWidth="8.85546875"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L36" sqref="L36:L37"/>
    </sheetView>
  </sheetViews>
  <sheetFormatPr defaultColWidth="8.85546875"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BACD-C024-4ADC-B854-BB0FD004EC57}">
  <dimension ref="B3:N104"/>
  <sheetViews>
    <sheetView topLeftCell="A37" workbookViewId="0">
      <selection activeCell="H52" sqref="H52"/>
    </sheetView>
  </sheetViews>
  <sheetFormatPr defaultRowHeight="15"/>
  <cols>
    <col min="3" max="3" width="72.42578125" bestFit="1" customWidth="1"/>
  </cols>
  <sheetData>
    <row r="3" spans="2:5">
      <c r="B3" s="997">
        <v>44789</v>
      </c>
      <c r="C3" s="53" t="s">
        <v>1105</v>
      </c>
      <c r="D3" s="53"/>
      <c r="E3" s="53"/>
    </row>
    <row r="4" spans="2:5">
      <c r="B4" s="997">
        <v>44796</v>
      </c>
      <c r="C4" s="53" t="s">
        <v>1106</v>
      </c>
      <c r="D4" s="53"/>
      <c r="E4" s="53"/>
    </row>
    <row r="5" spans="2:5">
      <c r="B5" s="997">
        <v>44796</v>
      </c>
      <c r="C5" s="53" t="s">
        <v>1107</v>
      </c>
      <c r="D5" s="53"/>
      <c r="E5" s="53"/>
    </row>
    <row r="6" spans="2:5">
      <c r="B6" s="997">
        <v>44796</v>
      </c>
      <c r="C6" s="53" t="s">
        <v>1108</v>
      </c>
      <c r="D6" s="53"/>
      <c r="E6" s="53"/>
    </row>
    <row r="7" spans="2:5">
      <c r="B7" s="997">
        <v>44796</v>
      </c>
      <c r="C7" s="53" t="s">
        <v>1109</v>
      </c>
      <c r="D7" s="53"/>
      <c r="E7" s="53"/>
    </row>
    <row r="8" spans="2:5">
      <c r="B8" s="35"/>
      <c r="C8" s="35"/>
      <c r="D8" s="35"/>
      <c r="E8" s="35"/>
    </row>
    <row r="9" spans="2:5">
      <c r="B9" s="35"/>
      <c r="C9" s="35"/>
      <c r="D9" s="35"/>
      <c r="E9" s="35"/>
    </row>
    <row r="10" spans="2:5">
      <c r="B10" s="35"/>
      <c r="C10" s="35"/>
      <c r="D10" s="35"/>
      <c r="E10" s="35"/>
    </row>
    <row r="11" spans="2:5" ht="75">
      <c r="B11" s="997">
        <v>44805</v>
      </c>
      <c r="C11" s="998" t="s">
        <v>1110</v>
      </c>
      <c r="D11" s="35"/>
      <c r="E11" s="35"/>
    </row>
    <row r="12" spans="2:5">
      <c r="B12" s="997">
        <v>44805</v>
      </c>
      <c r="C12" s="53" t="s">
        <v>1111</v>
      </c>
      <c r="D12" s="35"/>
      <c r="E12" s="35"/>
    </row>
    <row r="13" spans="2:5">
      <c r="B13" s="997">
        <v>44805</v>
      </c>
      <c r="C13" s="53" t="s">
        <v>1112</v>
      </c>
      <c r="D13" s="35"/>
      <c r="E13" s="35"/>
    </row>
    <row r="14" spans="2:5">
      <c r="B14" s="997">
        <v>44805</v>
      </c>
      <c r="C14" s="53" t="s">
        <v>1113</v>
      </c>
      <c r="D14" s="35"/>
      <c r="E14" s="35"/>
    </row>
    <row r="15" spans="2:5">
      <c r="B15" s="997">
        <v>44805</v>
      </c>
      <c r="C15" s="681" t="s">
        <v>1114</v>
      </c>
      <c r="D15" s="35"/>
      <c r="E15" s="35"/>
    </row>
    <row r="16" spans="2:5">
      <c r="B16" s="997">
        <v>44805</v>
      </c>
      <c r="C16" s="681" t="s">
        <v>1115</v>
      </c>
      <c r="D16" s="35"/>
      <c r="E16" s="35"/>
    </row>
    <row r="17" spans="2:5">
      <c r="B17" s="35"/>
      <c r="C17" s="35"/>
      <c r="D17" s="35"/>
      <c r="E17" s="35"/>
    </row>
    <row r="18" spans="2:5">
      <c r="B18" s="35"/>
      <c r="C18" s="35"/>
      <c r="D18" s="35"/>
      <c r="E18" s="35"/>
    </row>
    <row r="19" spans="2:5">
      <c r="B19" s="994"/>
      <c r="C19" s="35"/>
      <c r="D19" s="35"/>
      <c r="E19" s="35"/>
    </row>
    <row r="20" spans="2:5">
      <c r="B20" s="35"/>
      <c r="C20" s="35"/>
      <c r="D20" s="35"/>
      <c r="E20" s="35"/>
    </row>
    <row r="21" spans="2:5">
      <c r="B21" s="35"/>
      <c r="C21" s="35"/>
      <c r="D21" s="35"/>
      <c r="E21" s="35"/>
    </row>
    <row r="22" spans="2:5">
      <c r="B22" s="35"/>
      <c r="C22" s="35"/>
      <c r="D22" s="35"/>
      <c r="E22" s="35"/>
    </row>
    <row r="23" spans="2:5">
      <c r="B23" s="35"/>
      <c r="C23" s="35"/>
      <c r="D23" s="35"/>
      <c r="E23" s="35"/>
    </row>
    <row r="24" spans="2:5">
      <c r="B24" s="53"/>
      <c r="C24" s="661" t="s">
        <v>1116</v>
      </c>
      <c r="D24" s="195"/>
      <c r="E24" s="35"/>
    </row>
    <row r="25" spans="2:5">
      <c r="B25" s="997">
        <v>44879</v>
      </c>
      <c r="C25" s="53" t="s">
        <v>1117</v>
      </c>
      <c r="D25" s="195"/>
      <c r="E25" s="35"/>
    </row>
    <row r="26" spans="2:5">
      <c r="B26" s="997">
        <v>44879</v>
      </c>
      <c r="C26" s="53" t="s">
        <v>1118</v>
      </c>
      <c r="D26" s="195"/>
      <c r="E26" s="35"/>
    </row>
    <row r="27" spans="2:5">
      <c r="B27" s="997">
        <v>44879</v>
      </c>
      <c r="C27" s="53" t="s">
        <v>1119</v>
      </c>
      <c r="D27" s="195"/>
      <c r="E27" s="35"/>
    </row>
    <row r="28" spans="2:5">
      <c r="B28" s="997">
        <v>44879</v>
      </c>
      <c r="C28" s="53" t="s">
        <v>1120</v>
      </c>
      <c r="D28" s="195"/>
      <c r="E28" s="35"/>
    </row>
    <row r="29" spans="2:5">
      <c r="B29" s="997">
        <v>44879</v>
      </c>
      <c r="C29" s="53" t="s">
        <v>1121</v>
      </c>
      <c r="D29" s="195"/>
      <c r="E29" s="35"/>
    </row>
    <row r="30" spans="2:5">
      <c r="B30" s="997">
        <v>44879</v>
      </c>
      <c r="C30" s="53" t="s">
        <v>1122</v>
      </c>
      <c r="D30" s="195"/>
      <c r="E30" s="35"/>
    </row>
    <row r="31" spans="2:5">
      <c r="B31" s="997">
        <v>44879</v>
      </c>
      <c r="C31" s="53" t="s">
        <v>1123</v>
      </c>
    </row>
    <row r="32" spans="2:5">
      <c r="B32" s="997">
        <v>44879</v>
      </c>
      <c r="C32" s="53" t="s">
        <v>1124</v>
      </c>
    </row>
    <row r="35" spans="2:5">
      <c r="B35" s="997">
        <v>44885</v>
      </c>
      <c r="C35" s="53" t="s">
        <v>1125</v>
      </c>
      <c r="D35" s="35"/>
      <c r="E35" s="35"/>
    </row>
    <row r="36" spans="2:5">
      <c r="B36" s="997">
        <v>44885</v>
      </c>
      <c r="C36" s="54" t="s">
        <v>1126</v>
      </c>
    </row>
    <row r="37" spans="2:5">
      <c r="B37" s="997">
        <v>44885</v>
      </c>
      <c r="C37" s="54" t="s">
        <v>1127</v>
      </c>
    </row>
    <row r="38" spans="2:5">
      <c r="B38" s="997">
        <v>44885</v>
      </c>
      <c r="C38" s="54" t="s">
        <v>1128</v>
      </c>
    </row>
    <row r="41" spans="2:5">
      <c r="B41" s="112" t="s">
        <v>1129</v>
      </c>
      <c r="C41" s="112">
        <v>120423</v>
      </c>
    </row>
    <row r="42" spans="2:5">
      <c r="B42" s="54" t="s">
        <v>334</v>
      </c>
      <c r="C42" s="112" t="s">
        <v>1130</v>
      </c>
    </row>
    <row r="43" spans="2:5">
      <c r="C43" s="183" t="s">
        <v>1131</v>
      </c>
    </row>
    <row r="44" spans="2:5">
      <c r="C44" s="183" t="s">
        <v>1132</v>
      </c>
    </row>
    <row r="46" spans="2:5">
      <c r="B46" s="54" t="s">
        <v>288</v>
      </c>
      <c r="C46" t="s">
        <v>1133</v>
      </c>
    </row>
    <row r="47" spans="2:5">
      <c r="C47" t="s">
        <v>1134</v>
      </c>
    </row>
    <row r="50" spans="2:14">
      <c r="B50" s="54" t="s">
        <v>187</v>
      </c>
      <c r="C50" s="1002" t="s">
        <v>1135</v>
      </c>
    </row>
    <row r="51" spans="2:14">
      <c r="C51" t="s">
        <v>1136</v>
      </c>
    </row>
    <row r="55" spans="2:14">
      <c r="C55" s="1113" t="s">
        <v>1137</v>
      </c>
      <c r="D55" s="1113"/>
      <c r="E55" s="1113"/>
      <c r="F55" s="1113"/>
      <c r="G55" s="1113"/>
      <c r="H55" s="1113"/>
      <c r="I55" s="1113"/>
      <c r="J55" s="1113"/>
      <c r="K55" s="1113"/>
      <c r="L55" s="1113"/>
      <c r="M55" s="1113"/>
      <c r="N55" s="1113"/>
    </row>
    <row r="56" spans="2:14">
      <c r="C56" s="1113"/>
      <c r="D56" s="1113"/>
      <c r="E56" s="1113"/>
      <c r="F56" s="1113"/>
      <c r="G56" s="1113"/>
      <c r="H56" s="1113"/>
      <c r="I56" s="1113"/>
      <c r="J56" s="1113"/>
      <c r="K56" s="1113"/>
      <c r="L56" s="1113"/>
      <c r="M56" s="1113"/>
      <c r="N56" s="1113"/>
    </row>
    <row r="57" spans="2:14">
      <c r="C57" s="1113"/>
      <c r="D57" s="1113"/>
      <c r="E57" s="1113"/>
      <c r="F57" s="1113"/>
      <c r="G57" s="1113"/>
      <c r="H57" s="1113"/>
      <c r="I57" s="1113"/>
      <c r="J57" s="1113"/>
      <c r="K57" s="1113"/>
      <c r="L57" s="1113"/>
      <c r="M57" s="1113"/>
      <c r="N57" s="1113"/>
    </row>
    <row r="58" spans="2:14">
      <c r="C58" s="1113"/>
      <c r="D58" s="1113"/>
      <c r="E58" s="1113"/>
      <c r="F58" s="1113"/>
      <c r="G58" s="1113"/>
      <c r="H58" s="1113"/>
      <c r="I58" s="1113"/>
      <c r="J58" s="1113"/>
      <c r="K58" s="1113"/>
      <c r="L58" s="1113"/>
      <c r="M58" s="1113"/>
      <c r="N58" s="1113"/>
    </row>
    <row r="59" spans="2:14">
      <c r="C59" s="54"/>
      <c r="D59" s="54"/>
      <c r="E59" s="54"/>
      <c r="F59" s="54"/>
      <c r="G59" s="54"/>
      <c r="H59" s="54"/>
      <c r="I59" s="54"/>
      <c r="J59" s="54"/>
      <c r="K59" s="54"/>
      <c r="L59" s="54"/>
      <c r="M59" s="54"/>
      <c r="N59" s="54"/>
    </row>
    <row r="60" spans="2:14">
      <c r="C60" s="54"/>
      <c r="D60" s="54"/>
      <c r="E60" s="54"/>
      <c r="F60" s="54"/>
      <c r="G60" s="54"/>
      <c r="H60" s="54"/>
      <c r="I60" s="54"/>
      <c r="J60" s="54"/>
      <c r="K60" s="54"/>
      <c r="L60" s="54"/>
      <c r="M60" s="54"/>
      <c r="N60" s="54"/>
    </row>
    <row r="61" spans="2:14">
      <c r="C61" s="54"/>
      <c r="D61" s="54"/>
      <c r="E61" s="54"/>
      <c r="F61" s="54"/>
      <c r="G61" s="54"/>
      <c r="H61" s="54"/>
      <c r="I61" s="54"/>
      <c r="J61" s="54"/>
      <c r="K61" s="54"/>
      <c r="L61" s="54"/>
      <c r="M61" s="54"/>
      <c r="N61" s="54"/>
    </row>
    <row r="62" spans="2:14">
      <c r="C62" s="1004" t="s">
        <v>1138</v>
      </c>
      <c r="D62" s="54"/>
      <c r="E62" s="54"/>
      <c r="F62" s="54"/>
      <c r="G62" s="54"/>
      <c r="H62" s="54"/>
      <c r="I62" s="54"/>
      <c r="J62" s="54"/>
      <c r="K62" s="54"/>
      <c r="L62" s="54"/>
      <c r="M62" s="54"/>
      <c r="N62" s="54"/>
    </row>
    <row r="63" spans="2:14">
      <c r="C63" s="1004" t="s">
        <v>1139</v>
      </c>
      <c r="D63" s="54"/>
      <c r="E63" s="54"/>
      <c r="F63" s="54"/>
      <c r="G63" s="54"/>
      <c r="H63" s="54"/>
      <c r="I63" s="54"/>
      <c r="J63" s="54"/>
      <c r="K63" s="54"/>
      <c r="L63" s="54"/>
      <c r="M63" s="54"/>
      <c r="N63" s="54"/>
    </row>
    <row r="70" spans="2:3">
      <c r="B70" s="54" t="s">
        <v>387</v>
      </c>
      <c r="C70" t="s">
        <v>1140</v>
      </c>
    </row>
    <row r="71" spans="2:3">
      <c r="C71" s="183" t="s">
        <v>1141</v>
      </c>
    </row>
    <row r="76" spans="2:3">
      <c r="B76" s="54" t="s">
        <v>444</v>
      </c>
      <c r="C76" t="s">
        <v>1142</v>
      </c>
    </row>
    <row r="77" spans="2:3">
      <c r="C77" t="s">
        <v>1143</v>
      </c>
    </row>
    <row r="78" spans="2:3">
      <c r="C78" t="s">
        <v>1144</v>
      </c>
    </row>
    <row r="80" spans="2:3">
      <c r="B80" s="54" t="s">
        <v>444</v>
      </c>
      <c r="C80" t="s">
        <v>1145</v>
      </c>
    </row>
    <row r="83" spans="2:3">
      <c r="B83" s="54"/>
      <c r="C83" s="1003" t="s">
        <v>1146</v>
      </c>
    </row>
    <row r="84" spans="2:3">
      <c r="C84" s="1002" t="s">
        <v>1147</v>
      </c>
    </row>
    <row r="86" spans="2:3">
      <c r="C86" t="s">
        <v>1148</v>
      </c>
    </row>
    <row r="89" spans="2:3">
      <c r="B89" s="54" t="s">
        <v>188</v>
      </c>
      <c r="C89" t="s">
        <v>1149</v>
      </c>
    </row>
    <row r="90" spans="2:3">
      <c r="C90" t="s">
        <v>1150</v>
      </c>
    </row>
    <row r="94" spans="2:3">
      <c r="B94" s="54" t="s">
        <v>187</v>
      </c>
      <c r="C94" t="s">
        <v>1151</v>
      </c>
    </row>
    <row r="95" spans="2:3">
      <c r="C95" t="s">
        <v>1152</v>
      </c>
    </row>
    <row r="100" spans="2:3">
      <c r="B100" s="54" t="s">
        <v>394</v>
      </c>
      <c r="C100" t="s">
        <v>1153</v>
      </c>
    </row>
    <row r="101" spans="2:3">
      <c r="C101" t="s">
        <v>1154</v>
      </c>
    </row>
    <row r="103" spans="2:3">
      <c r="C103" t="s">
        <v>124</v>
      </c>
    </row>
    <row r="104" spans="2:3">
      <c r="C104" t="s">
        <v>128</v>
      </c>
    </row>
  </sheetData>
  <sheetProtection algorithmName="SHA-512" hashValue="zjQ+M59hOq0ICmJNwGXhMK0XOaZmo/VA10BEBfhB0ZXjclLs9o4jv7HvlTxaZmG5FSC3VXicMutfSqAYv2HEkw==" saltValue="Nt8q2isI/SUJVJQnIEIKKw==" spinCount="100000" sheet="1" objects="1" scenarios="1"/>
  <mergeCells count="1">
    <mergeCell ref="C55:N5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H186"/>
  <sheetViews>
    <sheetView showGridLines="0" zoomScaleNormal="100" zoomScalePageLayoutView="90" workbookViewId="0">
      <pane ySplit="3" topLeftCell="A4" activePane="bottomLeft" state="frozen"/>
      <selection pane="bottomLeft" activeCell="AL7" sqref="AL7"/>
      <selection activeCell="H9" sqref="H9:I9"/>
    </sheetView>
  </sheetViews>
  <sheetFormatPr defaultColWidth="9.140625" defaultRowHeight="15"/>
  <cols>
    <col min="1" max="1" width="2.7109375" style="12" customWidth="1"/>
    <col min="2" max="2" width="37.85546875" style="12" customWidth="1"/>
    <col min="3" max="3" width="59.85546875" style="12" customWidth="1"/>
    <col min="4" max="4" width="5.5703125" style="12" customWidth="1"/>
    <col min="5" max="5" width="102.140625" style="12" customWidth="1"/>
    <col min="6" max="6" width="56.5703125" style="12" customWidth="1"/>
    <col min="7" max="7" width="7.28515625" style="12" hidden="1" customWidth="1"/>
    <col min="8" max="8" width="11.42578125" style="12" hidden="1" customWidth="1"/>
    <col min="9" max="9" width="12.140625" style="12" hidden="1" customWidth="1"/>
    <col min="10" max="11" width="17" style="12" hidden="1" customWidth="1"/>
    <col min="12" max="12" width="42.140625" style="12" hidden="1" customWidth="1"/>
    <col min="13" max="13" width="30.85546875" style="12" hidden="1" customWidth="1"/>
    <col min="14" max="14" width="16.5703125" style="12" hidden="1" customWidth="1"/>
    <col min="15" max="15" width="34.5703125" style="12" hidden="1" customWidth="1"/>
    <col min="16" max="16" width="6.140625" style="12" hidden="1" customWidth="1"/>
    <col min="17" max="17" width="74.7109375" style="12" hidden="1" customWidth="1"/>
    <col min="18" max="18" width="30.28515625" style="12" hidden="1" customWidth="1"/>
    <col min="19" max="19" width="41.140625" style="12" hidden="1" customWidth="1"/>
    <col min="20" max="20" width="32" style="12" hidden="1" customWidth="1"/>
    <col min="21" max="25" width="31.140625" style="12" hidden="1" customWidth="1"/>
    <col min="26" max="26" width="60.7109375" style="12" hidden="1" customWidth="1"/>
    <col min="27" max="30" width="31.140625" style="12" hidden="1" customWidth="1"/>
    <col min="31" max="31" width="11.42578125" style="12" hidden="1" customWidth="1"/>
    <col min="32" max="34" width="9.140625" style="12" hidden="1" customWidth="1"/>
    <col min="35" max="120" width="9.140625" style="12" customWidth="1"/>
    <col min="121" max="16384" width="9.140625" style="12"/>
  </cols>
  <sheetData>
    <row r="1" spans="2:32" s="1" customFormat="1">
      <c r="B1" s="345"/>
      <c r="C1" s="345"/>
      <c r="G1" s="12"/>
      <c r="H1" s="12"/>
      <c r="I1" s="12"/>
      <c r="O1" s="12"/>
      <c r="P1" s="12"/>
      <c r="Q1" s="12"/>
      <c r="R1" s="12"/>
      <c r="S1" s="12"/>
      <c r="T1" s="12"/>
      <c r="U1" s="12"/>
      <c r="V1" s="12"/>
      <c r="W1" s="12"/>
      <c r="X1" s="12"/>
      <c r="Y1" s="12"/>
      <c r="Z1" s="12"/>
      <c r="AA1" s="12"/>
      <c r="AB1" s="12"/>
      <c r="AC1" s="12"/>
      <c r="AD1" s="12"/>
    </row>
    <row r="2" spans="2:32" s="1" customFormat="1" ht="42" customHeight="1">
      <c r="B2" s="388" t="s">
        <v>6</v>
      </c>
      <c r="C2" s="389"/>
      <c r="D2" s="389"/>
      <c r="E2" s="389"/>
      <c r="F2" s="491" t="str">
        <f>IF('Manuell filtrering og justering'!I2='Manuell filtrering og justering'!J2,"Bespoke","")</f>
        <v/>
      </c>
      <c r="G2" s="12"/>
      <c r="H2" s="12"/>
      <c r="I2" s="12"/>
      <c r="O2" s="12"/>
      <c r="P2" s="12"/>
      <c r="Q2" s="12"/>
      <c r="R2" s="12"/>
      <c r="S2" s="12"/>
      <c r="T2" s="12"/>
      <c r="U2" s="12"/>
      <c r="V2" s="12"/>
      <c r="W2" s="12"/>
      <c r="X2" s="12"/>
      <c r="Y2" s="12"/>
      <c r="Z2" s="12"/>
      <c r="AA2" s="12"/>
      <c r="AB2" s="12"/>
      <c r="AC2" s="12"/>
      <c r="AD2" s="12"/>
    </row>
    <row r="3" spans="2:32" s="1" customFormat="1">
      <c r="B3" s="390"/>
      <c r="C3" s="390"/>
      <c r="F3" s="391"/>
      <c r="G3" s="12"/>
      <c r="H3" s="12"/>
      <c r="I3" s="12"/>
      <c r="O3" s="12"/>
      <c r="P3" s="12"/>
      <c r="Q3" s="12"/>
      <c r="R3" s="32"/>
      <c r="S3" s="32"/>
      <c r="T3" s="32"/>
      <c r="U3" s="32"/>
      <c r="V3" s="32"/>
      <c r="W3" s="32"/>
      <c r="X3" s="32"/>
      <c r="Y3" s="32"/>
      <c r="Z3" s="32"/>
      <c r="AA3" s="32"/>
      <c r="AB3" s="32"/>
      <c r="AC3" s="32"/>
      <c r="AD3" s="32"/>
      <c r="AE3" s="32"/>
    </row>
    <row r="4" spans="2:32" s="1" customFormat="1" ht="18.75">
      <c r="B4" s="392" t="s">
        <v>7</v>
      </c>
      <c r="C4" s="4"/>
      <c r="E4" s="392" t="s">
        <v>8</v>
      </c>
      <c r="F4" s="392"/>
      <c r="G4" s="12"/>
      <c r="H4" s="12"/>
      <c r="I4" s="12"/>
      <c r="L4" s="9"/>
      <c r="M4" s="9"/>
      <c r="N4" s="9"/>
      <c r="O4" s="12"/>
      <c r="P4" s="12"/>
      <c r="Q4" s="12"/>
      <c r="R4" s="12"/>
      <c r="S4" s="12"/>
      <c r="T4" s="12"/>
      <c r="U4" s="12"/>
      <c r="V4" s="12"/>
      <c r="W4" s="12"/>
      <c r="X4" s="12"/>
      <c r="Y4" s="12"/>
      <c r="Z4" s="12"/>
      <c r="AA4" s="12"/>
      <c r="AB4" s="12"/>
      <c r="AC4" s="12"/>
      <c r="AD4" s="12"/>
    </row>
    <row r="5" spans="2:32" s="1" customFormat="1" ht="15.75">
      <c r="B5" s="393" t="s">
        <v>9</v>
      </c>
      <c r="C5" s="475"/>
      <c r="D5" s="12"/>
      <c r="E5" s="395" t="s">
        <v>10</v>
      </c>
      <c r="F5" s="394" t="s">
        <v>11</v>
      </c>
      <c r="G5" s="12"/>
      <c r="H5" s="12"/>
      <c r="I5" s="12"/>
      <c r="J5" s="12"/>
      <c r="K5" s="12"/>
      <c r="L5" s="77" t="str">
        <f>IF('Manuell filtrering og justering'!I2='Manuell filtrering og justering'!J2,'Manuell filtrering og justering'!H2,M6)</f>
        <v>Industrial</v>
      </c>
      <c r="M5" t="s">
        <v>11</v>
      </c>
      <c r="N5" s="9"/>
      <c r="O5" s="77" t="str">
        <f t="shared" ref="O5:O13" si="0">IF(HLOOKUP(ADBT0,$R$5:$AE$14,AF6,FALSE)=0,"",HLOOKUP(ADBT0,$R$5:$AE$14,AF6,FALSE))</f>
        <v>General office buildings</v>
      </c>
      <c r="P5" s="12"/>
      <c r="Q5" s="77" t="s">
        <v>12</v>
      </c>
      <c r="R5" s="75" t="s">
        <v>13</v>
      </c>
      <c r="S5" s="75" t="s">
        <v>11</v>
      </c>
      <c r="T5" s="75" t="s">
        <v>14</v>
      </c>
      <c r="U5" s="75" t="s">
        <v>15</v>
      </c>
      <c r="V5" s="75" t="s">
        <v>16</v>
      </c>
      <c r="W5" s="75" t="s">
        <v>17</v>
      </c>
      <c r="X5" s="75" t="s">
        <v>18</v>
      </c>
      <c r="Y5" s="75" t="s">
        <v>19</v>
      </c>
      <c r="Z5" s="75" t="s">
        <v>20</v>
      </c>
      <c r="AA5" s="75" t="s">
        <v>21</v>
      </c>
      <c r="AB5" s="75" t="s">
        <v>22</v>
      </c>
      <c r="AC5" s="75" t="s">
        <v>23</v>
      </c>
      <c r="AD5" s="925" t="s">
        <v>24</v>
      </c>
      <c r="AE5" s="75" t="s">
        <v>25</v>
      </c>
      <c r="AF5" s="1">
        <v>1</v>
      </c>
    </row>
    <row r="6" spans="2:32" s="1" customFormat="1" ht="15.75">
      <c r="B6" s="396" t="s">
        <v>26</v>
      </c>
      <c r="C6" s="475"/>
      <c r="D6" s="12"/>
      <c r="E6" s="397" t="s">
        <v>27</v>
      </c>
      <c r="F6" s="398" t="s">
        <v>28</v>
      </c>
      <c r="G6" s="12"/>
      <c r="H6" s="12"/>
      <c r="I6" s="12"/>
      <c r="J6" s="12"/>
      <c r="K6" s="12"/>
      <c r="L6" s="77" t="str">
        <f>IF('Manuell filtrering og justering'!I2='Manuell filtrering og justering'!J2,"",M5)</f>
        <v>Office</v>
      </c>
      <c r="M6" t="s">
        <v>13</v>
      </c>
      <c r="N6" s="9"/>
      <c r="O6" s="77" t="str">
        <f t="shared" si="0"/>
        <v>Offices with research and development areas (i.e. category 1 labs only)</v>
      </c>
      <c r="P6" s="12"/>
      <c r="Q6" s="12"/>
      <c r="R6" s="12" t="s">
        <v>29</v>
      </c>
      <c r="S6" s="12" t="s">
        <v>28</v>
      </c>
      <c r="T6" s="12" t="s">
        <v>30</v>
      </c>
      <c r="U6" s="1" t="s">
        <v>31</v>
      </c>
      <c r="V6" s="1" t="s">
        <v>32</v>
      </c>
      <c r="W6" s="1" t="s">
        <v>33</v>
      </c>
      <c r="X6" s="1" t="s">
        <v>34</v>
      </c>
      <c r="Y6" s="1" t="s">
        <v>35</v>
      </c>
      <c r="Z6" s="1" t="s">
        <v>36</v>
      </c>
      <c r="AA6" s="1" t="s">
        <v>37</v>
      </c>
      <c r="AB6" s="1" t="s">
        <v>38</v>
      </c>
      <c r="AC6" s="1" t="s">
        <v>39</v>
      </c>
      <c r="AD6" s="1" t="s">
        <v>40</v>
      </c>
      <c r="AE6" s="12" t="s">
        <v>25</v>
      </c>
      <c r="AF6" s="1">
        <v>2</v>
      </c>
    </row>
    <row r="7" spans="2:32" s="1" customFormat="1" ht="15.75">
      <c r="B7" s="396" t="s">
        <v>41</v>
      </c>
      <c r="C7" s="475"/>
      <c r="D7" s="12"/>
      <c r="E7" s="400" t="s">
        <v>42</v>
      </c>
      <c r="F7" s="398" t="s">
        <v>43</v>
      </c>
      <c r="G7" s="12"/>
      <c r="H7" s="12"/>
      <c r="I7" s="12"/>
      <c r="J7" s="12"/>
      <c r="K7" s="12"/>
      <c r="L7" s="77" t="str">
        <f>IF('Manuell filtrering og justering'!I2='Manuell filtrering og justering'!J2,"",M7)</f>
        <v>Retail</v>
      </c>
      <c r="M7" t="s">
        <v>14</v>
      </c>
      <c r="N7" s="9"/>
      <c r="O7" s="77" t="str">
        <f t="shared" si="0"/>
        <v/>
      </c>
      <c r="P7" s="12"/>
      <c r="Q7" s="12"/>
      <c r="R7" s="12" t="s">
        <v>44</v>
      </c>
      <c r="S7" s="1" t="s">
        <v>45</v>
      </c>
      <c r="T7" s="12" t="s">
        <v>46</v>
      </c>
      <c r="U7" s="1" t="s">
        <v>47</v>
      </c>
      <c r="V7" s="1" t="s">
        <v>48</v>
      </c>
      <c r="W7" s="1" t="s">
        <v>49</v>
      </c>
      <c r="X7" s="1" t="s">
        <v>50</v>
      </c>
      <c r="Y7" s="1" t="s">
        <v>51</v>
      </c>
      <c r="Z7" s="1" t="s">
        <v>52</v>
      </c>
      <c r="AA7" s="1" t="s">
        <v>53</v>
      </c>
      <c r="AB7" s="1" t="s">
        <v>54</v>
      </c>
      <c r="AC7" s="1" t="s">
        <v>55</v>
      </c>
      <c r="AD7" s="1" t="s">
        <v>56</v>
      </c>
      <c r="AF7" s="1">
        <v>3</v>
      </c>
    </row>
    <row r="8" spans="2:32" s="1" customFormat="1" ht="15.75">
      <c r="B8" s="396" t="s">
        <v>57</v>
      </c>
      <c r="C8" s="475"/>
      <c r="D8" s="12"/>
      <c r="G8" s="12"/>
      <c r="H8" s="12"/>
      <c r="I8" s="12"/>
      <c r="J8" s="12"/>
      <c r="K8" s="12"/>
      <c r="L8" s="77" t="str">
        <f>IF('Manuell filtrering og justering'!I2='Manuell filtrering og justering'!J2,"",M8)</f>
        <v>Education</v>
      </c>
      <c r="M8" t="s">
        <v>15</v>
      </c>
      <c r="N8" s="9"/>
      <c r="O8" s="77" t="str">
        <f t="shared" si="0"/>
        <v/>
      </c>
      <c r="P8" s="12"/>
      <c r="Q8" s="18" t="s">
        <v>58</v>
      </c>
      <c r="T8" s="12" t="s">
        <v>59</v>
      </c>
      <c r="U8" s="1" t="s">
        <v>60</v>
      </c>
      <c r="V8" s="1" t="s">
        <v>61</v>
      </c>
      <c r="W8" s="1" t="s">
        <v>62</v>
      </c>
      <c r="X8" s="1" t="s">
        <v>63</v>
      </c>
      <c r="Y8" s="1" t="s">
        <v>64</v>
      </c>
      <c r="Z8" s="1" t="s">
        <v>65</v>
      </c>
      <c r="AA8" s="1" t="s">
        <v>66</v>
      </c>
      <c r="AB8" s="1" t="s">
        <v>67</v>
      </c>
      <c r="AC8" s="1" t="s">
        <v>68</v>
      </c>
      <c r="AD8" s="1" t="s">
        <v>69</v>
      </c>
      <c r="AE8" s="12"/>
      <c r="AF8" s="1">
        <v>4</v>
      </c>
    </row>
    <row r="9" spans="2:32" s="1" customFormat="1" ht="15.75">
      <c r="B9" s="396" t="s">
        <v>70</v>
      </c>
      <c r="C9" s="475"/>
      <c r="D9" s="12"/>
      <c r="G9" s="12"/>
      <c r="H9" s="12"/>
      <c r="I9" s="12"/>
      <c r="J9" s="12"/>
      <c r="K9" s="12"/>
      <c r="L9" s="77" t="str">
        <f>IF('Manuell filtrering og justering'!I2='Manuell filtrering og justering'!J2,"",M16)</f>
        <v>Residential</v>
      </c>
      <c r="M9" t="s">
        <v>17</v>
      </c>
      <c r="N9" s="9"/>
      <c r="O9" s="77" t="str">
        <f t="shared" si="0"/>
        <v/>
      </c>
      <c r="P9" s="12"/>
      <c r="Q9" s="12"/>
      <c r="T9" s="1" t="s">
        <v>71</v>
      </c>
      <c r="U9" s="1" t="s">
        <v>72</v>
      </c>
      <c r="W9" s="1" t="s">
        <v>73</v>
      </c>
      <c r="X9" s="1" t="s">
        <v>74</v>
      </c>
      <c r="Y9" s="1" t="s">
        <v>75</v>
      </c>
      <c r="Z9" s="1" t="s">
        <v>76</v>
      </c>
      <c r="AB9" s="1" t="s">
        <v>77</v>
      </c>
      <c r="AC9" s="1" t="s">
        <v>78</v>
      </c>
      <c r="AD9" s="1" t="s">
        <v>79</v>
      </c>
      <c r="AF9" s="1">
        <v>5</v>
      </c>
    </row>
    <row r="10" spans="2:32" s="1" customFormat="1" ht="15.75">
      <c r="B10" s="400" t="s">
        <v>80</v>
      </c>
      <c r="C10" s="475"/>
      <c r="D10" s="12"/>
      <c r="F10" s="216"/>
      <c r="G10" s="12"/>
      <c r="H10" s="12"/>
      <c r="I10" s="12"/>
      <c r="J10" s="12"/>
      <c r="K10" s="12"/>
      <c r="L10" s="77" t="str">
        <f>IF('Manuell filtrering og justering'!$I$2='Manuell filtrering og justering'!$J$2,"",M9)</f>
        <v>Healthcare</v>
      </c>
      <c r="M10" t="s">
        <v>18</v>
      </c>
      <c r="N10" s="9"/>
      <c r="O10" s="77" t="str">
        <f t="shared" si="0"/>
        <v/>
      </c>
      <c r="P10" s="12"/>
      <c r="Q10" s="12"/>
      <c r="T10" s="1" t="s">
        <v>81</v>
      </c>
      <c r="U10" s="1" t="s">
        <v>82</v>
      </c>
      <c r="W10" s="1" t="s">
        <v>83</v>
      </c>
      <c r="X10" s="1" t="s">
        <v>84</v>
      </c>
      <c r="Y10" s="1" t="s">
        <v>85</v>
      </c>
      <c r="Z10" s="1" t="s">
        <v>86</v>
      </c>
      <c r="AD10" s="1" t="s">
        <v>87</v>
      </c>
      <c r="AF10" s="1">
        <v>6</v>
      </c>
    </row>
    <row r="11" spans="2:32" s="1" customFormat="1" ht="15.75" customHeight="1">
      <c r="C11"/>
      <c r="E11" s="402" t="s">
        <v>88</v>
      </c>
      <c r="F11" s="477"/>
      <c r="G11" s="12"/>
      <c r="H11" s="12"/>
      <c r="I11" s="12"/>
      <c r="J11" s="12"/>
      <c r="K11" s="12"/>
      <c r="L11" s="77" t="str">
        <f>IF('Manuell filtrering og justering'!$I$2='Manuell filtrering og justering'!$J$2,"",M10)</f>
        <v>Prison</v>
      </c>
      <c r="M11" t="s">
        <v>19</v>
      </c>
      <c r="N11" s="9"/>
      <c r="O11" s="77" t="str">
        <f t="shared" si="0"/>
        <v/>
      </c>
      <c r="P11" s="12"/>
      <c r="Q11" s="77" t="s">
        <v>43</v>
      </c>
      <c r="T11" s="12" t="s">
        <v>89</v>
      </c>
      <c r="Y11" s="1" t="s">
        <v>90</v>
      </c>
      <c r="Z11" s="1" t="s">
        <v>91</v>
      </c>
      <c r="AF11" s="1">
        <v>7</v>
      </c>
    </row>
    <row r="12" spans="2:32" s="1" customFormat="1" ht="15" customHeight="1">
      <c r="B12" s="392" t="s">
        <v>8</v>
      </c>
      <c r="C12" s="476"/>
      <c r="E12" s="396" t="s">
        <v>92</v>
      </c>
      <c r="F12" s="477"/>
      <c r="G12" s="12"/>
      <c r="H12" s="12"/>
      <c r="I12" s="12"/>
      <c r="J12" s="12"/>
      <c r="K12" s="12"/>
      <c r="L12" s="77" t="str">
        <f>IF('Manuell filtrering og justering'!$I$2='Manuell filtrering og justering'!$J$2,"",M11)</f>
        <v>Law Court</v>
      </c>
      <c r="M12" t="s">
        <v>20</v>
      </c>
      <c r="N12" s="9"/>
      <c r="O12" s="77" t="str">
        <f t="shared" si="0"/>
        <v/>
      </c>
      <c r="P12" s="12"/>
      <c r="Q12" s="77" t="str">
        <f>IF(ADBT0=ADBT12,"","New Construction (shell and core)")</f>
        <v>New Construction (shell and core)</v>
      </c>
      <c r="T12" s="12"/>
      <c r="U12" s="12"/>
      <c r="V12" s="12"/>
      <c r="W12" s="12"/>
      <c r="X12" s="12"/>
      <c r="Y12" s="12" t="s">
        <v>93</v>
      </c>
      <c r="Z12" s="12"/>
      <c r="AA12" s="12"/>
      <c r="AB12" s="12"/>
      <c r="AC12" s="12"/>
      <c r="AD12" s="12"/>
      <c r="AF12" s="1">
        <v>8</v>
      </c>
    </row>
    <row r="13" spans="2:32" s="1" customFormat="1" ht="15.75" customHeight="1">
      <c r="B13" s="393" t="s">
        <v>94</v>
      </c>
      <c r="C13" s="477"/>
      <c r="E13" s="999" t="s">
        <v>95</v>
      </c>
      <c r="F13" s="477"/>
      <c r="G13" s="12"/>
      <c r="H13" s="12"/>
      <c r="I13" s="290" t="s">
        <v>96</v>
      </c>
      <c r="J13" s="12"/>
      <c r="K13" s="12"/>
      <c r="L13" s="77" t="str">
        <f>IF('Manuell filtrering og justering'!$I$2='Manuell filtrering og justering'!$J$2,"",M12)</f>
        <v>Residential institution (long term stay)</v>
      </c>
      <c r="M13" t="s">
        <v>21</v>
      </c>
      <c r="N13" s="9"/>
      <c r="O13" s="77" t="str">
        <f t="shared" si="0"/>
        <v/>
      </c>
      <c r="P13" s="12"/>
      <c r="Q13" s="77" t="str">
        <f>IF(ADBT0=ADBT12,"","New Construction (shell only)")</f>
        <v>New Construction (shell only)</v>
      </c>
      <c r="T13" s="12"/>
      <c r="U13" s="12"/>
      <c r="V13" s="12"/>
      <c r="W13" s="12"/>
      <c r="X13" s="12"/>
      <c r="Y13" s="12" t="s">
        <v>97</v>
      </c>
      <c r="Z13" s="12"/>
      <c r="AA13" s="12"/>
      <c r="AB13" s="12"/>
      <c r="AC13" s="12"/>
      <c r="AD13" s="12"/>
      <c r="AF13" s="1">
        <v>9</v>
      </c>
    </row>
    <row r="14" spans="2:32" s="1" customFormat="1" ht="15.75">
      <c r="B14" s="403" t="s">
        <v>98</v>
      </c>
      <c r="C14" s="478"/>
      <c r="E14" s="1000"/>
      <c r="G14" s="12"/>
      <c r="H14" s="12"/>
      <c r="I14" s="290"/>
      <c r="J14" s="12"/>
      <c r="K14" s="12"/>
      <c r="L14" s="77" t="str">
        <f>IF('Manuell filtrering og justering'!$I$2='Manuell filtrering og justering'!$J$2,"",M13)</f>
        <v>Residential institution (short term stay)</v>
      </c>
      <c r="M14" t="s">
        <v>22</v>
      </c>
      <c r="N14" s="9"/>
      <c r="O14" s="12"/>
      <c r="P14" s="12"/>
      <c r="Q14" s="77" t="s">
        <v>99</v>
      </c>
      <c r="T14" s="12"/>
      <c r="U14" s="12"/>
      <c r="V14" s="12"/>
      <c r="W14" s="12"/>
      <c r="X14" s="12"/>
      <c r="Y14" s="12"/>
      <c r="Z14" s="12"/>
      <c r="AA14" s="12"/>
      <c r="AB14" s="12"/>
      <c r="AC14" s="12"/>
      <c r="AD14" s="12"/>
      <c r="AF14" s="1">
        <v>10</v>
      </c>
    </row>
    <row r="15" spans="2:32" s="1" customFormat="1" ht="16.5" customHeight="1">
      <c r="B15" s="404"/>
      <c r="C15" s="479"/>
      <c r="E15" s="393" t="s">
        <v>100</v>
      </c>
      <c r="F15" s="398"/>
      <c r="G15" s="12"/>
      <c r="H15" s="12"/>
      <c r="I15" s="290">
        <f>IF(ADBT0=ADBT16,1,0)</f>
        <v>0</v>
      </c>
      <c r="K15" s="12"/>
      <c r="L15" s="77" t="str">
        <f>IF('Manuell filtrering og justering'!$I$2='Manuell filtrering og justering'!$J$2,"",M14)</f>
        <v>Non-residential institution</v>
      </c>
      <c r="M15" t="s">
        <v>23</v>
      </c>
      <c r="N15" s="9"/>
      <c r="O15" s="12"/>
      <c r="P15" s="12"/>
      <c r="Q15" s="77" t="s">
        <v>101</v>
      </c>
      <c r="U15" s="12"/>
      <c r="V15" s="12"/>
      <c r="W15" s="12"/>
      <c r="X15" s="12"/>
      <c r="Y15" s="12"/>
      <c r="Z15" s="12"/>
      <c r="AA15" s="12"/>
      <c r="AB15" s="12"/>
      <c r="AC15" s="12"/>
      <c r="AD15" s="12"/>
      <c r="AF15" s="1">
        <v>11</v>
      </c>
    </row>
    <row r="16" spans="2:32" s="1" customFormat="1" ht="15.75">
      <c r="B16" s="407"/>
      <c r="C16" s="480"/>
      <c r="E16" s="396" t="s">
        <v>102</v>
      </c>
      <c r="F16" s="399"/>
      <c r="H16" s="32" t="str">
        <f>IF(ADBT0&lt;&gt;ADBT1,AD_Yes,F16)</f>
        <v>Yes</v>
      </c>
      <c r="I16" s="290">
        <f>IF(Pol05_credits=0,0,1)</f>
        <v>1</v>
      </c>
      <c r="J16" s="926" t="s">
        <v>103</v>
      </c>
      <c r="K16" s="12"/>
      <c r="L16" s="77" t="str">
        <f>IF('Manuell filtrering og justering'!$I$2='Manuell filtrering og justering'!$J$2,"",M15)</f>
        <v>Assembly and leisure</v>
      </c>
      <c r="M16" t="s">
        <v>16</v>
      </c>
      <c r="N16" s="9"/>
      <c r="O16" s="12"/>
      <c r="P16" s="12"/>
      <c r="Q16" s="12"/>
      <c r="U16" s="12"/>
      <c r="V16" s="12"/>
      <c r="W16" s="12"/>
      <c r="X16" s="12"/>
      <c r="Y16" s="12"/>
      <c r="Z16" s="12"/>
      <c r="AA16" s="12"/>
      <c r="AB16" s="12"/>
      <c r="AC16" s="12"/>
      <c r="AD16" s="12"/>
      <c r="AF16" s="1">
        <v>12</v>
      </c>
    </row>
    <row r="17" spans="2:34" s="1" customFormat="1" ht="15.75">
      <c r="B17" s="408" t="str">
        <f>IF('Manuell filtrering og justering'!I2='Manuell filtrering og justering'!J2,"Building type (main description)","")</f>
        <v/>
      </c>
      <c r="C17" s="481"/>
      <c r="E17" s="397" t="s">
        <v>104</v>
      </c>
      <c r="F17" s="399"/>
      <c r="H17" s="32"/>
      <c r="I17" s="290"/>
      <c r="J17" s="926" t="s">
        <v>105</v>
      </c>
      <c r="K17" s="12"/>
      <c r="L17" s="77" t="str">
        <f>IF('Manuell filtrering og justering'!$I$2='Manuell filtrering og justering'!$J$2,"",M17)</f>
        <v>Other</v>
      </c>
      <c r="M17" s="1" t="s">
        <v>24</v>
      </c>
      <c r="N17" s="9"/>
      <c r="O17" s="12"/>
      <c r="P17" s="12"/>
      <c r="Q17" s="12"/>
      <c r="U17" s="12"/>
      <c r="V17" s="12"/>
      <c r="W17" s="12"/>
      <c r="X17" s="12"/>
      <c r="Y17" s="12"/>
      <c r="Z17" s="12"/>
      <c r="AA17" s="12"/>
      <c r="AB17" s="12"/>
      <c r="AC17" s="12"/>
      <c r="AD17" s="12"/>
      <c r="AF17" s="1">
        <v>13</v>
      </c>
      <c r="AH17" s="32" t="s">
        <v>106</v>
      </c>
    </row>
    <row r="18" spans="2:34" s="1" customFormat="1" ht="15.75">
      <c r="B18" s="396" t="s">
        <v>107</v>
      </c>
      <c r="C18" s="482"/>
      <c r="E18" s="397" t="s">
        <v>108</v>
      </c>
      <c r="F18" s="398"/>
      <c r="G18" s="962" t="s">
        <v>25</v>
      </c>
      <c r="I18" s="56">
        <f>IF(Ene03_credits+Pol04_credits=0,0,1)</f>
        <v>1</v>
      </c>
      <c r="J18" s="926" t="s">
        <v>109</v>
      </c>
      <c r="K18" s="12"/>
      <c r="L18" s="25"/>
      <c r="N18" s="9"/>
      <c r="O18" s="12"/>
      <c r="P18" s="12"/>
      <c r="Q18" s="77" t="s">
        <v>110</v>
      </c>
      <c r="U18" s="12"/>
      <c r="V18" s="12"/>
      <c r="W18" s="12"/>
      <c r="X18" s="12"/>
      <c r="Y18" s="12"/>
      <c r="Z18" s="12"/>
      <c r="AA18" s="12"/>
      <c r="AB18" s="12"/>
      <c r="AC18" s="12"/>
      <c r="AD18" s="12"/>
      <c r="AH18" s="32" t="s">
        <v>111</v>
      </c>
    </row>
    <row r="19" spans="2:34" s="1" customFormat="1" ht="15.75">
      <c r="B19" s="396" t="s">
        <v>112</v>
      </c>
      <c r="C19" s="483"/>
      <c r="E19" s="397" t="s">
        <v>113</v>
      </c>
      <c r="F19" s="405"/>
      <c r="G19" s="32"/>
      <c r="H19" s="12"/>
      <c r="I19" s="290">
        <f>IF(ADBT0='Manuell filtrering og justering'!H2,0,IF(Poeng!Y84+Poeng!Y85=2,0,1))</f>
        <v>1</v>
      </c>
      <c r="J19" s="926" t="s">
        <v>114</v>
      </c>
      <c r="K19" s="12"/>
      <c r="L19" s="25"/>
      <c r="M19" s="9"/>
      <c r="N19" s="9"/>
      <c r="O19" s="12"/>
      <c r="P19" s="12"/>
      <c r="Q19" s="77" t="s">
        <v>115</v>
      </c>
      <c r="U19" s="12"/>
      <c r="V19" s="12"/>
      <c r="W19" s="12"/>
      <c r="X19" s="12"/>
      <c r="Y19" s="12"/>
      <c r="Z19" s="12"/>
      <c r="AA19" s="12"/>
      <c r="AB19" s="12"/>
      <c r="AC19" s="12"/>
      <c r="AD19" s="12"/>
    </row>
    <row r="20" spans="2:34" s="1" customFormat="1" ht="15.75">
      <c r="B20" s="400" t="s">
        <v>116</v>
      </c>
      <c r="C20" s="483"/>
      <c r="E20" s="397" t="s">
        <v>117</v>
      </c>
      <c r="F20" s="398"/>
      <c r="G20" s="12"/>
      <c r="H20" s="12"/>
      <c r="I20" s="290">
        <v>1</v>
      </c>
      <c r="J20" s="926" t="s">
        <v>109</v>
      </c>
      <c r="K20" s="12"/>
      <c r="L20" s="25"/>
      <c r="M20" s="9"/>
      <c r="N20" s="9"/>
      <c r="O20" s="12"/>
      <c r="P20" s="12"/>
      <c r="Q20" s="12"/>
      <c r="U20" s="12"/>
      <c r="V20" s="12"/>
      <c r="W20" s="12"/>
      <c r="X20" s="12"/>
      <c r="Y20" s="12"/>
      <c r="Z20" s="12"/>
      <c r="AA20" s="12"/>
      <c r="AB20" s="12"/>
      <c r="AC20" s="12"/>
      <c r="AD20" s="12"/>
    </row>
    <row r="21" spans="2:34" s="1" customFormat="1" ht="15.75">
      <c r="C21" s="79"/>
      <c r="E21" s="397" t="s">
        <v>118</v>
      </c>
      <c r="F21" s="398"/>
      <c r="G21" s="962" t="s">
        <v>119</v>
      </c>
      <c r="H21" s="12">
        <f>IF(ADBT0=AE5,1,IF(OR(ADBT0=ADBT13,ADBT0=AD5,ADBT0=ADBT1,ADBT0=ADBT2,AND(ADBT0=ADBT8,OR(F6=U9,F6=U10))),1,0))</f>
        <v>1</v>
      </c>
      <c r="I21" s="290">
        <f>IF(Poeng!Y91+Poeng!Y92=Poeng!T91+Poeng!T92,0,1)</f>
        <v>1</v>
      </c>
      <c r="J21" s="926" t="s">
        <v>109</v>
      </c>
      <c r="K21" s="12">
        <f>Poeng!AB91</f>
        <v>1</v>
      </c>
      <c r="L21" s="25"/>
      <c r="M21" s="9"/>
      <c r="N21" s="9"/>
      <c r="P21" s="12"/>
      <c r="Q21" s="12"/>
      <c r="U21" s="12"/>
      <c r="V21" s="12"/>
      <c r="W21" s="12"/>
      <c r="X21" s="12"/>
      <c r="Y21" s="12"/>
      <c r="Z21" s="12"/>
      <c r="AA21" s="12"/>
      <c r="AB21" s="12"/>
      <c r="AC21" s="12"/>
      <c r="AD21" s="12"/>
    </row>
    <row r="22" spans="2:34" s="1" customFormat="1" ht="15" customHeight="1">
      <c r="B22" s="392" t="s">
        <v>120</v>
      </c>
      <c r="C22" s="484"/>
      <c r="E22" s="411" t="s">
        <v>121</v>
      </c>
      <c r="F22" s="398"/>
      <c r="I22" s="56">
        <f>IF(Poeng!Y94=Poeng!T94,0,1)</f>
        <v>1</v>
      </c>
      <c r="J22" s="926" t="s">
        <v>109</v>
      </c>
      <c r="K22" s="12">
        <f>Poeng!AB92</f>
        <v>4</v>
      </c>
      <c r="L22" s="25"/>
      <c r="M22" s="9"/>
      <c r="N22" s="9" t="s">
        <v>122</v>
      </c>
      <c r="O22" s="12"/>
      <c r="P22" s="12"/>
      <c r="Q22" s="77" t="s">
        <v>123</v>
      </c>
      <c r="R22" s="1" t="s">
        <v>124</v>
      </c>
      <c r="U22" s="12"/>
      <c r="V22" s="12"/>
      <c r="W22" s="12"/>
      <c r="X22" s="12"/>
      <c r="Y22" s="12"/>
      <c r="Z22" s="12"/>
      <c r="AA22" s="12"/>
      <c r="AB22" s="12"/>
      <c r="AC22" s="12"/>
      <c r="AD22" s="12"/>
    </row>
    <row r="23" spans="2:34" s="1" customFormat="1" ht="15" customHeight="1">
      <c r="B23" s="409" t="s">
        <v>125</v>
      </c>
      <c r="C23" s="475"/>
      <c r="E23" s="872" t="s">
        <v>126</v>
      </c>
      <c r="F23" s="398"/>
      <c r="G23" s="32"/>
      <c r="H23" s="12"/>
      <c r="I23" s="290">
        <f>IF(ADBT0='Manuell filtrering og justering'!H2,0,1)</f>
        <v>1</v>
      </c>
      <c r="J23" s="926" t="s">
        <v>109</v>
      </c>
      <c r="M23" s="9"/>
      <c r="N23" s="9"/>
      <c r="O23" s="12"/>
      <c r="P23" s="12"/>
      <c r="Q23" s="77" t="s">
        <v>127</v>
      </c>
      <c r="R23" s="1" t="s">
        <v>128</v>
      </c>
      <c r="T23" s="12"/>
      <c r="U23" s="12"/>
      <c r="V23" s="12"/>
      <c r="W23" s="12"/>
      <c r="X23" s="12"/>
      <c r="Y23" s="12"/>
      <c r="Z23" s="12"/>
      <c r="AA23" s="12"/>
      <c r="AB23" s="12"/>
      <c r="AC23" s="12"/>
      <c r="AD23" s="12"/>
    </row>
    <row r="24" spans="2:34" s="1" customFormat="1" ht="15" customHeight="1">
      <c r="B24" s="410" t="s">
        <v>129</v>
      </c>
      <c r="C24" s="475"/>
      <c r="E24" s="411" t="s">
        <v>130</v>
      </c>
      <c r="F24" s="398"/>
      <c r="G24" s="962" t="s">
        <v>25</v>
      </c>
      <c r="H24" s="32"/>
      <c r="I24" s="290">
        <f>IF(Pol01_credits=0,0,1)</f>
        <v>1</v>
      </c>
      <c r="J24" s="926" t="s">
        <v>109</v>
      </c>
      <c r="K24" s="12"/>
      <c r="L24" s="25"/>
      <c r="M24" s="9"/>
      <c r="N24" s="9"/>
      <c r="O24" s="77" t="s">
        <v>131</v>
      </c>
      <c r="P24" s="12"/>
      <c r="Q24" s="77" t="s">
        <v>132</v>
      </c>
      <c r="T24" s="12"/>
      <c r="U24" s="12"/>
      <c r="V24" s="12"/>
      <c r="W24" s="12"/>
      <c r="X24" s="12"/>
      <c r="Y24" s="12"/>
      <c r="Z24" s="12"/>
      <c r="AA24" s="12"/>
      <c r="AB24" s="12"/>
      <c r="AC24" s="12"/>
      <c r="AD24" s="12"/>
    </row>
    <row r="25" spans="2:34" s="1" customFormat="1" ht="15" customHeight="1">
      <c r="B25" s="410" t="s">
        <v>133</v>
      </c>
      <c r="C25" s="475"/>
      <c r="E25" s="411" t="s">
        <v>134</v>
      </c>
      <c r="F25" s="398"/>
      <c r="G25" s="962" t="s">
        <v>25</v>
      </c>
      <c r="H25" s="32"/>
      <c r="I25" s="290">
        <f>IF(Poeng!Y205+Poeng!Y206=Poeng!T205+Poeng!T206,0,1)</f>
        <v>1</v>
      </c>
      <c r="J25" s="926" t="s">
        <v>109</v>
      </c>
      <c r="K25" s="12"/>
      <c r="L25" s="25"/>
      <c r="M25" s="9"/>
      <c r="N25" s="9"/>
      <c r="O25" s="77" t="s">
        <v>135</v>
      </c>
      <c r="P25" s="12"/>
      <c r="Q25" s="12"/>
      <c r="T25" s="12"/>
      <c r="U25" s="12"/>
      <c r="V25" s="12"/>
      <c r="W25" s="12"/>
      <c r="X25" s="12"/>
      <c r="Y25" s="12"/>
      <c r="Z25" s="12"/>
      <c r="AA25" s="12"/>
      <c r="AB25" s="12"/>
      <c r="AC25" s="12"/>
      <c r="AD25" s="12"/>
    </row>
    <row r="26" spans="2:34" s="1" customFormat="1" ht="15.75">
      <c r="B26" s="410" t="s">
        <v>136</v>
      </c>
      <c r="C26" s="475"/>
      <c r="E26" s="396" t="s">
        <v>137</v>
      </c>
      <c r="F26" s="398"/>
      <c r="G26" s="32"/>
      <c r="H26" s="12"/>
      <c r="I26" s="290">
        <f>IF(ADBT0='Manuell filtrering og justering'!H2,0,IF(Mat06_credits=0,0,1))</f>
        <v>1</v>
      </c>
      <c r="J26" s="926" t="s">
        <v>138</v>
      </c>
      <c r="K26" s="12"/>
      <c r="L26" s="25"/>
      <c r="M26" s="9"/>
      <c r="N26" s="9"/>
      <c r="O26" s="77" t="s">
        <v>139</v>
      </c>
      <c r="P26" s="12"/>
      <c r="Q26" s="77" t="s">
        <v>140</v>
      </c>
      <c r="T26" s="12"/>
      <c r="U26" s="12"/>
      <c r="V26" s="12"/>
      <c r="W26" s="12"/>
      <c r="X26" s="12"/>
      <c r="Y26" s="12"/>
      <c r="Z26" s="12"/>
      <c r="AA26" s="12"/>
      <c r="AB26" s="12"/>
      <c r="AC26" s="12"/>
      <c r="AD26" s="12"/>
    </row>
    <row r="27" spans="2:34" s="1" customFormat="1" ht="15.75">
      <c r="B27" s="410" t="s">
        <v>141</v>
      </c>
      <c r="C27" s="475"/>
      <c r="E27" s="928" t="s">
        <v>142</v>
      </c>
      <c r="F27" s="398"/>
      <c r="G27" s="962" t="s">
        <v>25</v>
      </c>
      <c r="H27" s="12"/>
      <c r="I27" s="290">
        <f>IF(Pol05_credits=0,0,1)</f>
        <v>1</v>
      </c>
      <c r="J27" s="926" t="s">
        <v>109</v>
      </c>
      <c r="K27" s="12"/>
      <c r="L27" s="25"/>
      <c r="M27" s="9"/>
      <c r="N27" s="9"/>
      <c r="O27" s="77" t="s">
        <v>143</v>
      </c>
      <c r="P27" s="12"/>
      <c r="Q27" s="77" t="s">
        <v>144</v>
      </c>
      <c r="S27" s="12"/>
      <c r="T27" s="12"/>
      <c r="U27" s="12"/>
      <c r="V27" s="12"/>
      <c r="W27" s="12"/>
      <c r="X27" s="12"/>
      <c r="Y27" s="12"/>
      <c r="Z27" s="12"/>
      <c r="AA27" s="12"/>
      <c r="AB27" s="12"/>
      <c r="AC27" s="12"/>
      <c r="AD27" s="12"/>
    </row>
    <row r="28" spans="2:34" s="1" customFormat="1" ht="15.75">
      <c r="B28" s="410" t="s">
        <v>145</v>
      </c>
      <c r="C28" s="475"/>
      <c r="E28" s="927" t="s">
        <v>146</v>
      </c>
      <c r="F28" s="398"/>
      <c r="G28" s="12"/>
      <c r="H28" s="12"/>
      <c r="I28" s="290">
        <f>IF(Inn05_credits=0,0,IF(OR(F6=U6,F6=U7,F6=V8,F5=Y5,F5=X5,F5=Z5),1,0))</f>
        <v>0</v>
      </c>
      <c r="J28" s="926" t="s">
        <v>109</v>
      </c>
      <c r="K28" s="12"/>
      <c r="L28" s="27"/>
      <c r="M28" s="9"/>
      <c r="N28" s="9"/>
      <c r="O28" s="77" t="s">
        <v>147</v>
      </c>
      <c r="P28" s="12"/>
      <c r="Q28" s="77" t="s">
        <v>148</v>
      </c>
      <c r="T28" s="12"/>
      <c r="U28" s="12"/>
      <c r="V28" s="12"/>
      <c r="W28" s="12"/>
      <c r="X28" s="12"/>
      <c r="Y28" s="12"/>
      <c r="Z28" s="12"/>
      <c r="AA28" s="12"/>
      <c r="AB28" s="12"/>
      <c r="AC28" s="12"/>
      <c r="AD28" s="12"/>
    </row>
    <row r="29" spans="2:34" s="1" customFormat="1" ht="15.75">
      <c r="B29" s="410" t="s">
        <v>149</v>
      </c>
      <c r="C29" s="475"/>
      <c r="E29" s="794"/>
      <c r="F29" s="406"/>
      <c r="G29" s="12"/>
      <c r="H29" s="12"/>
      <c r="I29" s="290"/>
      <c r="M29" s="9"/>
      <c r="N29" s="9"/>
      <c r="O29" s="77" t="s">
        <v>150</v>
      </c>
      <c r="P29" s="12"/>
      <c r="Q29" s="77" t="s">
        <v>151</v>
      </c>
      <c r="T29" s="12"/>
      <c r="U29" s="12"/>
      <c r="V29" s="12"/>
      <c r="W29" s="12"/>
      <c r="X29" s="12"/>
      <c r="Y29" s="12"/>
      <c r="Z29" s="12"/>
      <c r="AA29" s="12"/>
      <c r="AB29" s="12"/>
      <c r="AC29" s="12"/>
      <c r="AD29" s="12"/>
    </row>
    <row r="30" spans="2:34" s="1" customFormat="1" ht="15.75">
      <c r="B30" s="410" t="s">
        <v>152</v>
      </c>
      <c r="C30" s="475"/>
      <c r="E30" s="412" t="s">
        <v>153</v>
      </c>
      <c r="F30" s="413">
        <f>Poeng_tot</f>
        <v>153</v>
      </c>
      <c r="G30" s="12"/>
      <c r="H30" s="12"/>
      <c r="I30" s="12"/>
      <c r="J30" s="77" t="s">
        <v>154</v>
      </c>
      <c r="L30" s="27"/>
      <c r="M30" s="9"/>
      <c r="N30" s="9"/>
      <c r="O30" s="77" t="s">
        <v>155</v>
      </c>
      <c r="P30" s="12"/>
      <c r="Q30" s="12"/>
      <c r="T30" s="12"/>
      <c r="U30" s="12"/>
      <c r="V30" s="12"/>
      <c r="W30" s="12"/>
      <c r="X30" s="12"/>
      <c r="Y30" s="12"/>
      <c r="Z30" s="12"/>
      <c r="AA30" s="12"/>
      <c r="AB30" s="12"/>
      <c r="AC30" s="12"/>
      <c r="AD30" s="12"/>
    </row>
    <row r="31" spans="2:34" s="1" customFormat="1" ht="15.75">
      <c r="B31" s="410" t="s">
        <v>156</v>
      </c>
      <c r="C31" s="475"/>
      <c r="E31" s="397" t="s">
        <v>157</v>
      </c>
      <c r="F31" s="413">
        <f>Poeng_bort</f>
        <v>0</v>
      </c>
      <c r="G31" s="12"/>
      <c r="H31" s="12"/>
      <c r="I31" s="12"/>
      <c r="J31" s="77" t="s">
        <v>158</v>
      </c>
      <c r="L31" s="27"/>
      <c r="M31" s="9"/>
      <c r="N31" s="9"/>
      <c r="O31" s="12"/>
      <c r="P31" s="12"/>
      <c r="Q31" s="77" t="s">
        <v>159</v>
      </c>
      <c r="S31" s="12"/>
      <c r="T31" s="12"/>
      <c r="U31" s="12"/>
      <c r="V31" s="12"/>
      <c r="W31" s="12"/>
      <c r="X31" s="12"/>
      <c r="Y31" s="12"/>
      <c r="Z31" s="12"/>
      <c r="AA31" s="12"/>
      <c r="AB31" s="12"/>
      <c r="AC31" s="12"/>
      <c r="AD31" s="12"/>
    </row>
    <row r="32" spans="2:34" s="1" customFormat="1" ht="15.75">
      <c r="B32" s="414" t="s">
        <v>160</v>
      </c>
      <c r="C32" s="475"/>
      <c r="E32" s="415" t="s">
        <v>161</v>
      </c>
      <c r="F32" s="413">
        <f>Poeng_tilgj</f>
        <v>153</v>
      </c>
      <c r="G32" s="12"/>
      <c r="H32" s="12"/>
      <c r="I32" s="12"/>
      <c r="L32" s="27"/>
      <c r="M32" s="10"/>
      <c r="N32" s="10"/>
      <c r="O32" s="12"/>
      <c r="P32" s="12"/>
      <c r="Q32" s="77" t="s">
        <v>162</v>
      </c>
      <c r="R32" s="12"/>
      <c r="S32" s="12"/>
      <c r="T32" s="12"/>
      <c r="U32" s="12"/>
      <c r="V32" s="12"/>
      <c r="W32" s="12"/>
      <c r="X32" s="12"/>
      <c r="Y32" s="12"/>
      <c r="Z32" s="12"/>
      <c r="AA32" s="12"/>
      <c r="AB32" s="12"/>
      <c r="AC32" s="12"/>
      <c r="AD32" s="12"/>
    </row>
    <row r="33" spans="2:30" s="1" customFormat="1" ht="15.75">
      <c r="G33" s="12"/>
      <c r="H33" s="12"/>
      <c r="I33" s="12"/>
      <c r="J33" s="6"/>
      <c r="K33" s="6"/>
      <c r="L33" s="25"/>
      <c r="M33" s="10"/>
      <c r="N33" s="10"/>
      <c r="O33" s="32" t="s">
        <v>163</v>
      </c>
      <c r="P33" s="12"/>
      <c r="Q33" s="77" t="s">
        <v>164</v>
      </c>
      <c r="R33" s="12"/>
      <c r="S33" s="12"/>
      <c r="T33" s="12"/>
      <c r="U33" s="12"/>
      <c r="V33" s="12"/>
      <c r="W33" s="12"/>
      <c r="X33" s="12"/>
      <c r="Y33" s="12"/>
      <c r="Z33" s="12"/>
      <c r="AA33" s="12"/>
      <c r="AB33" s="12"/>
      <c r="AC33" s="12"/>
      <c r="AD33" s="12"/>
    </row>
    <row r="34" spans="2:30" s="1" customFormat="1" ht="18.75">
      <c r="B34" s="416" t="s">
        <v>165</v>
      </c>
      <c r="E34" s="416" t="s">
        <v>166</v>
      </c>
      <c r="G34" s="12"/>
      <c r="H34" s="12"/>
      <c r="I34" s="12"/>
      <c r="J34" s="6"/>
      <c r="K34" s="6"/>
      <c r="L34" s="25"/>
      <c r="M34" s="10"/>
      <c r="N34" s="10"/>
      <c r="O34" s="32" t="s">
        <v>167</v>
      </c>
      <c r="P34" s="12"/>
      <c r="Q34" s="32"/>
      <c r="R34" s="12"/>
      <c r="S34" s="12"/>
      <c r="T34" s="12"/>
      <c r="U34" s="12"/>
      <c r="V34" s="12"/>
      <c r="W34" s="12"/>
      <c r="X34" s="12"/>
      <c r="Y34" s="12"/>
      <c r="Z34" s="12"/>
      <c r="AA34" s="12"/>
      <c r="AB34" s="12"/>
      <c r="AC34" s="12"/>
      <c r="AD34" s="12"/>
    </row>
    <row r="35" spans="2:30" s="1" customFormat="1" ht="80.25" customHeight="1">
      <c r="B35" s="1009"/>
      <c r="C35" s="1010"/>
      <c r="E35" s="1009"/>
      <c r="F35" s="1010"/>
      <c r="G35" s="12"/>
      <c r="H35" s="12"/>
      <c r="I35" s="12"/>
      <c r="J35" s="75"/>
      <c r="K35" s="75"/>
      <c r="L35" s="9"/>
      <c r="M35" s="9"/>
      <c r="N35" s="9"/>
      <c r="O35" s="12"/>
      <c r="P35" s="12"/>
      <c r="Q35" s="12"/>
      <c r="R35" s="12"/>
      <c r="S35" s="12"/>
      <c r="T35" s="12"/>
      <c r="U35" s="12"/>
      <c r="V35" s="12"/>
      <c r="W35" s="12"/>
      <c r="X35" s="12"/>
      <c r="Y35" s="12"/>
      <c r="Z35" s="12"/>
      <c r="AA35" s="12"/>
      <c r="AB35" s="12"/>
      <c r="AC35" s="12"/>
      <c r="AD35" s="12"/>
    </row>
    <row r="36" spans="2:30" s="1" customFormat="1" ht="15.75">
      <c r="E36" s="75"/>
      <c r="F36" s="75"/>
      <c r="G36" s="12"/>
      <c r="H36" s="12"/>
      <c r="I36" s="12"/>
      <c r="J36" s="75"/>
      <c r="K36" s="75"/>
      <c r="L36" s="9"/>
      <c r="M36" s="9"/>
      <c r="N36" s="9"/>
      <c r="O36" s="12"/>
      <c r="P36" s="12"/>
      <c r="Q36" s="12"/>
      <c r="R36" s="12"/>
      <c r="S36" s="12"/>
      <c r="T36" s="12"/>
      <c r="U36" s="12"/>
      <c r="V36" s="12"/>
      <c r="W36" s="12"/>
      <c r="X36" s="12"/>
      <c r="Y36" s="12"/>
      <c r="Z36" s="12"/>
      <c r="AA36" s="12"/>
      <c r="AB36" s="12"/>
      <c r="AC36" s="12"/>
      <c r="AD36" s="12"/>
    </row>
    <row r="37" spans="2:30" s="1" customFormat="1" ht="15.75">
      <c r="B37" s="12" t="s">
        <v>168</v>
      </c>
      <c r="E37" s="75"/>
      <c r="F37" s="75"/>
      <c r="G37" s="12"/>
      <c r="H37" s="12"/>
      <c r="I37" s="12"/>
      <c r="J37" s="75"/>
      <c r="K37" s="75"/>
      <c r="L37" s="9"/>
      <c r="M37" s="9"/>
      <c r="N37" s="9"/>
      <c r="O37" s="12"/>
      <c r="P37" s="12"/>
      <c r="Q37"/>
      <c r="R37" s="12"/>
      <c r="S37" s="12"/>
      <c r="T37" s="12"/>
      <c r="U37" s="12"/>
      <c r="V37" s="12"/>
      <c r="W37" s="12"/>
      <c r="X37" s="12"/>
      <c r="Y37" s="12"/>
      <c r="Z37" s="12"/>
      <c r="AA37" s="12"/>
      <c r="AB37" s="12"/>
      <c r="AC37" s="12"/>
      <c r="AD37" s="12"/>
    </row>
    <row r="38" spans="2:30" s="1" customFormat="1" ht="15.75">
      <c r="E38" s="75"/>
      <c r="F38" s="75"/>
      <c r="G38" s="12"/>
      <c r="H38" s="12"/>
      <c r="I38" s="12"/>
      <c r="J38" s="75"/>
      <c r="K38" s="75"/>
      <c r="L38" s="9"/>
      <c r="M38" s="9"/>
      <c r="N38" s="9"/>
      <c r="O38" s="12"/>
      <c r="P38" s="12"/>
      <c r="Q38"/>
      <c r="R38" s="12"/>
      <c r="S38" s="12"/>
      <c r="T38" s="12"/>
      <c r="U38" s="12"/>
      <c r="V38" s="12"/>
      <c r="W38" s="12"/>
      <c r="X38" s="12"/>
      <c r="Y38" s="12"/>
      <c r="Z38" s="12"/>
      <c r="AA38" s="12"/>
      <c r="AB38" s="12"/>
      <c r="AC38" s="12"/>
      <c r="AD38" s="12"/>
    </row>
    <row r="39" spans="2:30" s="1" customFormat="1" ht="18.75">
      <c r="B39" s="392" t="s">
        <v>169</v>
      </c>
      <c r="C39" s="4"/>
      <c r="D39" s="4"/>
      <c r="E39" s="4"/>
      <c r="F39" s="417"/>
      <c r="G39" s="12"/>
      <c r="H39" s="12"/>
      <c r="I39" s="12"/>
      <c r="L39" s="9"/>
      <c r="M39" s="9"/>
      <c r="N39" s="9"/>
      <c r="O39" s="12"/>
      <c r="P39" s="12"/>
      <c r="Q39"/>
      <c r="R39" s="12"/>
      <c r="S39" s="12"/>
      <c r="T39" s="12"/>
      <c r="U39" s="12"/>
      <c r="V39" s="12"/>
      <c r="W39" s="12"/>
      <c r="X39" s="12"/>
      <c r="Y39" s="12"/>
      <c r="Z39" s="12"/>
      <c r="AA39" s="12"/>
      <c r="AB39" s="12"/>
      <c r="AC39" s="12"/>
      <c r="AD39" s="12"/>
    </row>
    <row r="40" spans="2:30" s="1" customFormat="1" ht="64.5" customHeight="1">
      <c r="B40" s="1008" t="str">
        <f>"I, "&amp;AD_assessor&amp;O33</f>
        <v>I, ,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v>
      </c>
      <c r="C40" s="1008"/>
      <c r="D40" s="1008"/>
      <c r="E40" s="1008"/>
      <c r="F40" s="1008"/>
      <c r="G40" s="12"/>
      <c r="H40" s="12"/>
      <c r="I40" s="12"/>
      <c r="L40" s="11"/>
      <c r="M40" s="11"/>
      <c r="N40" s="9"/>
      <c r="O40" s="1" t="s">
        <v>170</v>
      </c>
      <c r="R40" s="12"/>
      <c r="S40" s="12"/>
      <c r="T40" s="12"/>
      <c r="U40" s="12"/>
      <c r="V40" s="12"/>
      <c r="W40" s="12"/>
      <c r="X40" s="12"/>
      <c r="Y40" s="12"/>
      <c r="Z40" s="12"/>
      <c r="AA40" s="12"/>
      <c r="AB40" s="12"/>
      <c r="AC40" s="12"/>
      <c r="AD40" s="12"/>
    </row>
    <row r="41" spans="2:30" s="1" customFormat="1" ht="32.25" customHeight="1">
      <c r="B41" s="418"/>
      <c r="C41" s="418"/>
      <c r="D41" s="418"/>
      <c r="E41" s="418"/>
      <c r="F41" s="418"/>
      <c r="G41" s="12"/>
      <c r="H41" s="12"/>
      <c r="I41" s="12"/>
      <c r="L41" s="11"/>
      <c r="M41" s="11"/>
      <c r="N41" s="9"/>
      <c r="R41" s="12"/>
      <c r="S41" s="12"/>
      <c r="T41" s="12"/>
      <c r="U41" s="12"/>
      <c r="V41" s="12"/>
      <c r="W41" s="12"/>
      <c r="X41" s="12"/>
      <c r="Y41" s="12"/>
      <c r="Z41" s="12"/>
      <c r="AA41" s="12"/>
      <c r="AB41" s="12"/>
      <c r="AC41" s="12"/>
      <c r="AD41" s="12"/>
    </row>
    <row r="42" spans="2:30" s="1" customFormat="1" ht="15.75">
      <c r="B42" s="419" t="s">
        <v>171</v>
      </c>
      <c r="C42" s="485"/>
      <c r="D42" s="216"/>
      <c r="E42" s="420"/>
      <c r="F42" s="421"/>
      <c r="G42" s="12"/>
      <c r="H42" s="12"/>
      <c r="I42" s="12"/>
      <c r="J42" s="9"/>
      <c r="K42" s="9"/>
      <c r="L42" s="9"/>
      <c r="M42" s="9"/>
      <c r="N42" s="9"/>
      <c r="O42" s="76" t="s">
        <v>172</v>
      </c>
      <c r="P42" s="33" t="s">
        <v>173</v>
      </c>
      <c r="Q42" s="413"/>
      <c r="R42" s="12"/>
      <c r="S42" s="12"/>
      <c r="T42" s="12"/>
      <c r="U42" s="12"/>
      <c r="V42" s="12"/>
      <c r="W42" s="12"/>
      <c r="X42" s="12"/>
      <c r="Y42" s="12"/>
      <c r="Z42" s="12"/>
      <c r="AA42" s="12"/>
      <c r="AB42" s="12"/>
      <c r="AC42" s="12"/>
      <c r="AD42" s="12"/>
    </row>
    <row r="43" spans="2:30" s="1" customFormat="1" ht="15.75">
      <c r="B43" s="231" t="s">
        <v>174</v>
      </c>
      <c r="C43" s="485"/>
      <c r="D43" s="216"/>
      <c r="E43" s="420"/>
      <c r="F43" s="421"/>
      <c r="G43" s="12"/>
      <c r="H43" s="12"/>
      <c r="I43" s="12"/>
      <c r="J43" s="9"/>
      <c r="K43" s="9"/>
      <c r="L43" s="9"/>
      <c r="M43" s="9"/>
      <c r="N43" s="9"/>
      <c r="O43" s="33" t="s">
        <v>175</v>
      </c>
      <c r="P43" s="413"/>
      <c r="Q43" s="12"/>
      <c r="R43" s="26" t="s">
        <v>176</v>
      </c>
      <c r="S43" s="12"/>
      <c r="T43" s="12"/>
      <c r="U43" s="12"/>
      <c r="V43" s="12"/>
      <c r="W43" s="12"/>
      <c r="X43" s="12"/>
      <c r="Y43" s="12"/>
      <c r="Z43" s="12"/>
      <c r="AA43" s="12"/>
      <c r="AB43" s="12"/>
      <c r="AC43" s="12"/>
      <c r="AD43" s="12"/>
    </row>
    <row r="44" spans="2:30" s="1" customFormat="1" ht="16.5" thickBot="1">
      <c r="C44" s="216"/>
      <c r="D44" s="216"/>
      <c r="E44" s="422"/>
      <c r="F44" s="422"/>
      <c r="G44" s="12"/>
      <c r="H44" s="12"/>
      <c r="I44" s="12"/>
      <c r="J44" s="1122"/>
      <c r="K44" s="1122"/>
      <c r="L44" s="1122"/>
      <c r="M44" s="1122"/>
      <c r="N44" s="1122"/>
      <c r="P44" s="12"/>
      <c r="Q44" s="12"/>
      <c r="R44" s="12"/>
      <c r="S44" s="12"/>
      <c r="T44" s="12"/>
      <c r="U44" s="12"/>
      <c r="V44" s="12"/>
      <c r="W44" s="12"/>
      <c r="X44" s="12"/>
      <c r="Y44" s="12"/>
      <c r="Z44" s="12"/>
      <c r="AA44" s="12"/>
      <c r="AB44" s="12"/>
      <c r="AC44" s="12"/>
      <c r="AD44" s="12"/>
    </row>
    <row r="45" spans="2:30" s="1" customFormat="1" ht="28.5" customHeight="1">
      <c r="B45" s="392" t="s">
        <v>177</v>
      </c>
      <c r="C45" s="4"/>
      <c r="D45" s="4"/>
      <c r="E45" s="1123"/>
      <c r="F45" s="1123"/>
      <c r="G45" s="12"/>
      <c r="H45" s="12"/>
      <c r="I45" s="12"/>
      <c r="J45" s="1122"/>
      <c r="K45" s="1122"/>
      <c r="L45" s="1122"/>
      <c r="M45" s="1122"/>
      <c r="N45" s="221"/>
      <c r="O45" s="423" t="s">
        <v>178</v>
      </c>
      <c r="P45" s="59">
        <v>1</v>
      </c>
      <c r="Q45" s="12"/>
      <c r="R45" s="12"/>
      <c r="S45" s="12"/>
      <c r="T45" s="12"/>
      <c r="U45" s="12"/>
      <c r="V45" s="12"/>
      <c r="W45" s="12"/>
      <c r="X45" s="12"/>
      <c r="Y45" s="12"/>
      <c r="Z45" s="12"/>
      <c r="AA45" s="12"/>
      <c r="AB45" s="12"/>
      <c r="AC45" s="12"/>
      <c r="AD45" s="12"/>
    </row>
    <row r="46" spans="2:30" s="1" customFormat="1" ht="73.5" customHeight="1">
      <c r="B46" s="1006" t="s">
        <v>179</v>
      </c>
      <c r="C46" s="1006"/>
      <c r="D46" s="1006"/>
      <c r="E46" s="1006"/>
      <c r="F46" s="1006"/>
      <c r="G46" s="12"/>
      <c r="H46" s="12"/>
      <c r="I46" s="12"/>
      <c r="J46" s="1122"/>
      <c r="K46" s="1122"/>
      <c r="L46" s="1122"/>
      <c r="M46" s="1122"/>
      <c r="N46" s="220"/>
      <c r="O46" s="424" t="s">
        <v>180</v>
      </c>
      <c r="P46" s="60">
        <v>2</v>
      </c>
      <c r="Q46" s="12"/>
      <c r="R46" s="12"/>
      <c r="S46" s="12"/>
      <c r="T46" s="12"/>
      <c r="U46" s="12"/>
      <c r="V46" s="12"/>
      <c r="W46" s="12"/>
      <c r="X46" s="12"/>
      <c r="Y46" s="12"/>
      <c r="Z46" s="12"/>
      <c r="AA46" s="12"/>
      <c r="AB46" s="12"/>
      <c r="AC46" s="12"/>
      <c r="AD46" s="12"/>
    </row>
    <row r="47" spans="2:30" s="1" customFormat="1" ht="15.75">
      <c r="D47" s="425"/>
      <c r="E47" s="1122"/>
      <c r="F47" s="1122"/>
      <c r="G47" s="12"/>
      <c r="H47" s="12"/>
      <c r="I47" s="12"/>
      <c r="J47" s="1122"/>
      <c r="K47" s="1122"/>
      <c r="L47" s="1122"/>
      <c r="M47" s="1122"/>
      <c r="N47" s="219"/>
      <c r="O47" s="426" t="s">
        <v>181</v>
      </c>
      <c r="P47" s="60">
        <v>3</v>
      </c>
      <c r="Q47" s="12"/>
      <c r="R47" s="12"/>
      <c r="S47" s="12"/>
      <c r="T47" s="12"/>
      <c r="U47" s="12"/>
      <c r="V47" s="12"/>
      <c r="W47" s="12"/>
      <c r="X47" s="12"/>
      <c r="Y47" s="12"/>
      <c r="Z47" s="12"/>
      <c r="AA47" s="12"/>
      <c r="AB47" s="12"/>
      <c r="AC47" s="12"/>
      <c r="AD47" s="12"/>
    </row>
    <row r="48" spans="2:30" s="1" customFormat="1" ht="19.5" thickBot="1">
      <c r="B48" s="392" t="s">
        <v>182</v>
      </c>
      <c r="C48" s="4"/>
      <c r="D48" s="4"/>
      <c r="E48" s="1123"/>
      <c r="F48" s="427"/>
      <c r="G48" s="12"/>
      <c r="H48" s="12"/>
      <c r="I48" s="12"/>
      <c r="J48" s="9"/>
      <c r="K48" s="9"/>
      <c r="L48" s="9"/>
      <c r="M48" s="9"/>
      <c r="N48" s="9"/>
      <c r="O48" s="61" t="s">
        <v>183</v>
      </c>
      <c r="P48" s="62">
        <v>4</v>
      </c>
      <c r="Q48" s="12"/>
      <c r="R48" s="12"/>
      <c r="S48" s="12"/>
      <c r="T48" s="12"/>
      <c r="U48" s="12"/>
      <c r="V48" s="12"/>
      <c r="W48" s="12"/>
      <c r="X48" s="12"/>
      <c r="Y48" s="12"/>
      <c r="Z48" s="12"/>
      <c r="AA48" s="12"/>
      <c r="AB48" s="12"/>
      <c r="AC48" s="12"/>
      <c r="AD48" s="12"/>
    </row>
    <row r="49" spans="2:30" s="1" customFormat="1" ht="15.75">
      <c r="B49" s="1007" t="s">
        <v>184</v>
      </c>
      <c r="C49" s="1007"/>
      <c r="D49" s="1007"/>
      <c r="E49" s="1007"/>
      <c r="F49" s="1007"/>
      <c r="G49" s="12"/>
      <c r="H49" s="12"/>
      <c r="I49" s="12"/>
      <c r="J49" s="9"/>
      <c r="K49" s="9"/>
      <c r="L49" s="9"/>
      <c r="M49" s="9"/>
      <c r="N49" s="9"/>
      <c r="Q49" s="12"/>
      <c r="R49" s="12"/>
      <c r="S49" s="12"/>
      <c r="T49" s="12"/>
      <c r="U49" s="12"/>
      <c r="V49" s="12"/>
      <c r="W49" s="12"/>
      <c r="X49" s="12"/>
      <c r="Y49" s="12"/>
      <c r="Z49" s="12"/>
      <c r="AA49" s="12"/>
      <c r="AB49" s="12"/>
      <c r="AC49" s="12"/>
      <c r="AD49" s="12"/>
    </row>
    <row r="50" spans="2:30" s="1" customFormat="1" ht="15.75">
      <c r="E50" s="428"/>
      <c r="F50" s="429"/>
      <c r="G50" s="12"/>
      <c r="H50" s="12"/>
      <c r="I50" s="12"/>
      <c r="J50" s="9"/>
      <c r="K50" s="9"/>
      <c r="L50" s="9"/>
      <c r="M50" s="9"/>
      <c r="N50" s="9"/>
      <c r="O50" s="65" t="s">
        <v>185</v>
      </c>
      <c r="Q50" s="572" t="s">
        <v>186</v>
      </c>
      <c r="R50" s="572" t="s">
        <v>187</v>
      </c>
      <c r="S50" s="572" t="s">
        <v>188</v>
      </c>
      <c r="T50" s="572" t="s">
        <v>189</v>
      </c>
      <c r="U50" s="572" t="s">
        <v>190</v>
      </c>
      <c r="V50" s="572" t="s">
        <v>191</v>
      </c>
      <c r="W50" s="572" t="s">
        <v>192</v>
      </c>
      <c r="X50" s="572" t="s">
        <v>193</v>
      </c>
      <c r="Y50" s="572" t="s">
        <v>194</v>
      </c>
      <c r="Z50" s="12"/>
      <c r="AA50" s="12"/>
      <c r="AB50" s="12"/>
      <c r="AC50" s="12"/>
      <c r="AD50" s="12"/>
    </row>
    <row r="51" spans="2:30" s="1" customFormat="1" ht="15.75">
      <c r="B51" s="428" t="s">
        <v>195</v>
      </c>
      <c r="E51" s="428"/>
      <c r="F51" s="429"/>
      <c r="G51" s="12"/>
      <c r="H51" s="12"/>
      <c r="I51" s="12"/>
      <c r="J51" s="9"/>
      <c r="K51" s="9"/>
      <c r="L51" s="9"/>
      <c r="M51" s="9"/>
      <c r="N51" s="9"/>
      <c r="O51" s="56" t="s">
        <v>123</v>
      </c>
      <c r="Q51" s="290" t="s">
        <v>196</v>
      </c>
      <c r="R51" s="290" t="s">
        <v>197</v>
      </c>
      <c r="S51" s="290" t="s">
        <v>198</v>
      </c>
      <c r="T51" s="290" t="s">
        <v>199</v>
      </c>
      <c r="U51" s="290"/>
      <c r="V51" s="290" t="s">
        <v>200</v>
      </c>
      <c r="W51" s="290"/>
      <c r="X51" s="290"/>
      <c r="Y51" s="290" t="s">
        <v>201</v>
      </c>
      <c r="Z51" s="12"/>
      <c r="AA51" s="12"/>
      <c r="AB51" s="12"/>
      <c r="AC51" s="12"/>
      <c r="AD51" s="12"/>
    </row>
    <row r="52" spans="2:30" s="1" customFormat="1" ht="15.75">
      <c r="C52" s="14"/>
      <c r="D52" s="14"/>
      <c r="E52" s="430"/>
      <c r="F52" s="431"/>
      <c r="G52" s="12"/>
      <c r="H52" s="12"/>
      <c r="I52" s="12"/>
      <c r="J52" s="9"/>
      <c r="K52" s="9"/>
      <c r="L52" s="9"/>
      <c r="M52" s="9"/>
      <c r="N52" s="9"/>
      <c r="O52" s="56" t="s">
        <v>127</v>
      </c>
      <c r="Q52" s="290" t="s">
        <v>202</v>
      </c>
      <c r="R52" s="290" t="s">
        <v>203</v>
      </c>
      <c r="S52" s="290" t="s">
        <v>204</v>
      </c>
      <c r="T52" s="290" t="s">
        <v>205</v>
      </c>
      <c r="U52" s="290"/>
      <c r="V52" s="290" t="s">
        <v>206</v>
      </c>
      <c r="W52" s="290"/>
      <c r="X52" s="290"/>
      <c r="Y52" s="290" t="s">
        <v>207</v>
      </c>
      <c r="Z52" s="12"/>
      <c r="AA52" s="12"/>
      <c r="AB52" s="12"/>
      <c r="AC52" s="12"/>
      <c r="AD52" s="12"/>
    </row>
    <row r="53" spans="2:30" s="1" customFormat="1" ht="15.75">
      <c r="F53" s="25"/>
      <c r="G53" s="12"/>
      <c r="H53" s="12"/>
      <c r="I53" s="12"/>
      <c r="J53" s="9"/>
      <c r="K53" s="9"/>
      <c r="L53" s="9"/>
      <c r="M53" s="9"/>
      <c r="N53" s="9"/>
      <c r="O53" s="12" t="s">
        <v>208</v>
      </c>
      <c r="P53" s="12"/>
      <c r="Q53" s="290" t="s">
        <v>209</v>
      </c>
      <c r="R53" s="290" t="s">
        <v>127</v>
      </c>
      <c r="S53" s="290" t="s">
        <v>210</v>
      </c>
      <c r="T53" s="290" t="s">
        <v>127</v>
      </c>
      <c r="U53" s="290"/>
      <c r="V53" s="290" t="s">
        <v>127</v>
      </c>
      <c r="W53" s="290"/>
      <c r="X53" s="290"/>
      <c r="Y53" s="290" t="s">
        <v>211</v>
      </c>
      <c r="Z53" s="12"/>
      <c r="AA53" s="12"/>
      <c r="AB53" s="12"/>
      <c r="AC53" s="12"/>
      <c r="AD53" s="12"/>
    </row>
    <row r="54" spans="2:30" s="1" customFormat="1" ht="15.75">
      <c r="B54" s="432" t="s">
        <v>212</v>
      </c>
      <c r="C54" s="433" t="str">
        <f>TVC_current_version</f>
        <v>1.6</v>
      </c>
      <c r="E54" s="434">
        <f>TVC_current_date</f>
        <v>45033</v>
      </c>
      <c r="F54" s="25"/>
      <c r="G54" s="12"/>
      <c r="H54" s="12"/>
      <c r="I54" s="12"/>
      <c r="J54" s="9"/>
      <c r="K54" s="9"/>
      <c r="L54" s="9"/>
      <c r="M54" s="9"/>
      <c r="N54" s="9"/>
      <c r="O54" s="12"/>
      <c r="P54" s="12"/>
      <c r="Q54" s="290" t="s">
        <v>127</v>
      </c>
      <c r="R54" s="290"/>
      <c r="S54" s="290" t="s">
        <v>127</v>
      </c>
      <c r="T54" s="290"/>
      <c r="U54" s="290"/>
      <c r="V54" s="290"/>
      <c r="W54" s="290"/>
      <c r="X54" s="290"/>
      <c r="Y54" s="290" t="s">
        <v>127</v>
      </c>
      <c r="Z54" s="12"/>
      <c r="AA54" s="12"/>
      <c r="AB54" s="12"/>
      <c r="AC54" s="12"/>
      <c r="AD54" s="12"/>
    </row>
    <row r="55" spans="2:30" s="1" customFormat="1" ht="15.75">
      <c r="E55" s="2"/>
      <c r="F55" s="25"/>
      <c r="G55" s="12"/>
      <c r="H55" s="12"/>
      <c r="I55" s="12"/>
      <c r="J55" s="9"/>
      <c r="K55" s="9"/>
      <c r="L55" s="9"/>
      <c r="M55" s="9"/>
      <c r="N55" s="9"/>
      <c r="O55" s="56" t="s">
        <v>213</v>
      </c>
      <c r="P55" s="12"/>
      <c r="Q55" s="290"/>
      <c r="R55" s="290"/>
      <c r="S55" s="290"/>
      <c r="T55" s="290"/>
      <c r="U55" s="290"/>
      <c r="V55" s="290"/>
      <c r="W55" s="290"/>
      <c r="X55" s="290"/>
      <c r="Y55" s="290"/>
      <c r="Z55" s="12"/>
      <c r="AA55" s="12"/>
      <c r="AB55" s="12"/>
      <c r="AC55" s="12"/>
      <c r="AD55" s="12"/>
    </row>
    <row r="56" spans="2:30">
      <c r="C56" s="13"/>
      <c r="O56" s="290" t="s">
        <v>214</v>
      </c>
    </row>
    <row r="57" spans="2:30" s="1" customFormat="1" ht="15.75">
      <c r="B57" s="12"/>
      <c r="C57" s="12"/>
      <c r="D57" s="12"/>
      <c r="E57" s="1124"/>
      <c r="F57" s="9"/>
      <c r="G57" s="12"/>
      <c r="H57" s="12"/>
      <c r="I57" s="12"/>
      <c r="J57" s="9"/>
      <c r="K57" s="9"/>
      <c r="L57" s="9"/>
      <c r="M57" s="9"/>
      <c r="N57" s="9"/>
      <c r="O57" s="290" t="s">
        <v>123</v>
      </c>
      <c r="P57" s="12"/>
      <c r="Q57" s="12"/>
      <c r="R57" s="12"/>
      <c r="S57" s="12"/>
      <c r="T57" s="12"/>
      <c r="U57" s="12"/>
      <c r="V57" s="12"/>
      <c r="W57" s="12"/>
      <c r="X57" s="12"/>
      <c r="Y57" s="12"/>
      <c r="Z57" s="12"/>
      <c r="AA57" s="12"/>
      <c r="AB57" s="12"/>
      <c r="AC57" s="12"/>
      <c r="AD57" s="12"/>
    </row>
    <row r="58" spans="2:30" s="1" customFormat="1" ht="15.75">
      <c r="B58" s="12"/>
      <c r="C58" s="12"/>
      <c r="D58" s="12"/>
      <c r="E58" s="1124"/>
      <c r="F58" s="9"/>
      <c r="G58" s="12"/>
      <c r="H58" s="12"/>
      <c r="I58" s="12"/>
      <c r="J58" s="9"/>
      <c r="K58" s="9"/>
      <c r="L58" s="9"/>
      <c r="M58" s="9"/>
      <c r="N58" s="9"/>
      <c r="O58" s="290" t="s">
        <v>215</v>
      </c>
      <c r="P58" s="12"/>
      <c r="Q58" s="12"/>
      <c r="R58" s="12"/>
      <c r="S58" s="12"/>
      <c r="T58" s="12"/>
      <c r="U58" s="12"/>
      <c r="V58" s="12"/>
      <c r="W58" s="12"/>
      <c r="X58" s="12"/>
      <c r="Y58" s="12"/>
      <c r="Z58" s="12"/>
      <c r="AA58" s="12"/>
      <c r="AB58" s="12"/>
      <c r="AC58" s="12"/>
      <c r="AD58" s="12"/>
    </row>
    <row r="59" spans="2:30" s="1" customFormat="1" ht="15.75">
      <c r="C59" s="1125"/>
      <c r="E59" s="12"/>
      <c r="F59" s="12"/>
      <c r="G59" s="12"/>
      <c r="H59" s="12"/>
      <c r="I59" s="12"/>
      <c r="J59" s="12"/>
      <c r="K59" s="12"/>
      <c r="L59" s="12"/>
      <c r="M59" s="12"/>
      <c r="N59" s="12"/>
      <c r="O59" s="290" t="s">
        <v>208</v>
      </c>
      <c r="P59" s="78"/>
      <c r="Q59" s="12"/>
      <c r="R59" s="12"/>
      <c r="S59" s="12"/>
      <c r="T59" s="12"/>
      <c r="U59" s="12"/>
      <c r="V59" s="12"/>
      <c r="W59" s="12"/>
      <c r="X59" s="12"/>
      <c r="Y59" s="12"/>
      <c r="Z59" s="12"/>
      <c r="AA59" s="12"/>
      <c r="AB59" s="12"/>
      <c r="AC59" s="12"/>
      <c r="AD59" s="12"/>
    </row>
    <row r="60" spans="2:30" s="1" customFormat="1" ht="15.75">
      <c r="B60" s="24"/>
      <c r="C60" s="22" t="s">
        <v>174</v>
      </c>
      <c r="E60" s="1124"/>
      <c r="F60" s="9"/>
      <c r="G60" s="12"/>
      <c r="H60" s="12"/>
      <c r="I60" s="12"/>
      <c r="J60" s="9"/>
      <c r="K60" s="9"/>
      <c r="L60" s="9"/>
      <c r="M60" s="9"/>
      <c r="N60" s="9"/>
      <c r="O60" s="12"/>
      <c r="P60" s="78"/>
      <c r="Q60" s="12"/>
      <c r="R60" s="12"/>
      <c r="S60" s="12"/>
      <c r="T60" s="12"/>
      <c r="U60" s="12"/>
      <c r="V60" s="12"/>
      <c r="W60" s="12"/>
      <c r="X60" s="12"/>
      <c r="Y60" s="12"/>
      <c r="Z60" s="12"/>
      <c r="AA60" s="12"/>
      <c r="AB60" s="12"/>
      <c r="AC60" s="12"/>
      <c r="AD60" s="12"/>
    </row>
    <row r="61" spans="2:30" s="1" customFormat="1" ht="15.75">
      <c r="C61" s="435"/>
      <c r="E61" s="1124"/>
      <c r="F61" s="9"/>
      <c r="G61" s="12"/>
      <c r="H61" s="12"/>
      <c r="I61" s="12"/>
      <c r="J61" s="9"/>
      <c r="K61" s="9"/>
      <c r="L61" s="9"/>
      <c r="M61" s="9"/>
      <c r="N61" s="9"/>
      <c r="O61" s="290" t="s">
        <v>216</v>
      </c>
      <c r="P61" s="78"/>
      <c r="Q61" s="12"/>
      <c r="R61" s="12"/>
      <c r="S61" s="12"/>
      <c r="T61" s="12"/>
      <c r="U61" s="12"/>
      <c r="V61" s="12"/>
      <c r="W61" s="12"/>
      <c r="X61" s="12"/>
      <c r="Y61" s="12"/>
      <c r="Z61" s="12"/>
      <c r="AA61" s="12"/>
      <c r="AB61" s="12"/>
      <c r="AC61" s="12"/>
      <c r="AD61" s="12"/>
    </row>
    <row r="62" spans="2:30" s="1" customFormat="1" ht="15.75">
      <c r="E62" s="1124"/>
      <c r="F62" s="9"/>
      <c r="G62" s="12"/>
      <c r="H62" s="12"/>
      <c r="I62" s="12"/>
      <c r="J62" s="9"/>
      <c r="K62" s="9"/>
      <c r="L62" s="9"/>
      <c r="M62" s="9"/>
      <c r="N62" s="9"/>
      <c r="O62" s="12"/>
      <c r="P62" s="12"/>
      <c r="Q62" s="12"/>
      <c r="R62" s="12"/>
      <c r="S62" s="12"/>
      <c r="T62" s="12"/>
      <c r="U62" s="12"/>
      <c r="V62" s="12"/>
      <c r="W62" s="12"/>
      <c r="X62" s="12"/>
      <c r="Y62" s="12"/>
      <c r="Z62" s="12"/>
      <c r="AA62" s="12"/>
      <c r="AB62" s="12"/>
      <c r="AC62" s="12"/>
      <c r="AD62" s="12"/>
    </row>
    <row r="63" spans="2:30" s="1" customFormat="1" ht="15.75">
      <c r="B63" s="16"/>
      <c r="C63" s="1126"/>
      <c r="E63" s="1127"/>
      <c r="F63" s="1127"/>
      <c r="G63" s="12"/>
      <c r="H63" s="12"/>
      <c r="I63" s="12"/>
      <c r="J63" s="1127"/>
      <c r="K63" s="1127"/>
      <c r="L63" s="1127"/>
      <c r="M63" s="1127"/>
      <c r="N63" s="1127"/>
      <c r="O63" s="12"/>
      <c r="P63" s="12"/>
      <c r="Q63" s="12"/>
      <c r="R63" s="12"/>
      <c r="S63" s="12"/>
      <c r="T63" s="12"/>
      <c r="U63" s="12"/>
      <c r="V63" s="12"/>
      <c r="W63" s="12"/>
      <c r="X63" s="12"/>
      <c r="Y63" s="12"/>
      <c r="Z63" s="12"/>
      <c r="AA63" s="12"/>
      <c r="AB63" s="12"/>
      <c r="AC63" s="12"/>
      <c r="AD63" s="12"/>
    </row>
    <row r="64" spans="2:30" s="1" customFormat="1" ht="15" customHeight="1">
      <c r="B64" s="7"/>
      <c r="C64" s="23"/>
      <c r="E64" s="1128"/>
      <c r="F64" s="11"/>
      <c r="G64" s="12"/>
      <c r="H64" s="12"/>
      <c r="I64" s="12"/>
      <c r="J64" s="11"/>
      <c r="K64" s="11"/>
      <c r="L64" s="11"/>
      <c r="M64" s="11"/>
      <c r="N64" s="11"/>
      <c r="O64" s="34" t="s">
        <v>217</v>
      </c>
      <c r="P64" s="398" t="s">
        <v>155</v>
      </c>
      <c r="Q64" s="12"/>
      <c r="R64" s="12"/>
      <c r="S64" s="12"/>
      <c r="T64" s="12"/>
      <c r="U64" s="12"/>
      <c r="V64" s="12"/>
      <c r="W64" s="12"/>
      <c r="X64" s="12"/>
      <c r="Y64" s="12"/>
      <c r="Z64" s="12"/>
      <c r="AA64" s="12"/>
      <c r="AB64" s="12"/>
      <c r="AC64" s="12"/>
      <c r="AD64" s="12"/>
    </row>
    <row r="65" spans="2:30" s="1" customFormat="1" ht="15.75">
      <c r="B65" s="8"/>
      <c r="C65" s="23"/>
      <c r="E65" s="1128"/>
      <c r="F65" s="11"/>
      <c r="G65" s="12"/>
      <c r="H65" s="12"/>
      <c r="I65" s="12"/>
      <c r="J65" s="11"/>
      <c r="K65" s="11"/>
      <c r="L65" s="11"/>
      <c r="M65" s="11"/>
      <c r="N65" s="11"/>
      <c r="O65" s="12"/>
      <c r="P65" s="12"/>
      <c r="Q65" s="12"/>
      <c r="R65" s="12"/>
      <c r="S65" s="12"/>
      <c r="T65" s="12"/>
      <c r="U65" s="12"/>
      <c r="V65" s="12"/>
      <c r="W65" s="12"/>
      <c r="X65" s="12"/>
      <c r="Y65" s="12"/>
      <c r="Z65" s="12"/>
      <c r="AA65" s="12"/>
      <c r="AB65" s="12"/>
      <c r="AC65" s="12"/>
      <c r="AD65" s="12"/>
    </row>
    <row r="66" spans="2:30" s="1" customFormat="1" ht="15.75">
      <c r="B66" s="16"/>
      <c r="C66" s="1126"/>
      <c r="E66" s="1124"/>
      <c r="F66" s="9"/>
      <c r="G66" s="12"/>
      <c r="H66" s="12"/>
      <c r="I66" s="12"/>
      <c r="J66" s="9"/>
      <c r="K66" s="9"/>
      <c r="L66" s="9"/>
      <c r="M66" s="9"/>
      <c r="N66" s="9"/>
      <c r="O66" s="12"/>
      <c r="P66" s="12"/>
      <c r="Q66" s="12"/>
      <c r="R66" s="12"/>
      <c r="S66" s="12"/>
      <c r="T66" s="12"/>
      <c r="U66" s="12"/>
      <c r="V66" s="12"/>
      <c r="W66" s="12"/>
      <c r="X66" s="12"/>
      <c r="Y66" s="12"/>
      <c r="Z66" s="12"/>
      <c r="AA66" s="12"/>
      <c r="AB66" s="12"/>
      <c r="AC66" s="12"/>
      <c r="AD66" s="12"/>
    </row>
    <row r="67" spans="2:30" s="1" customFormat="1" ht="15.75">
      <c r="B67" s="7"/>
      <c r="C67" s="23"/>
      <c r="E67" s="1124"/>
      <c r="F67" s="9"/>
      <c r="G67" s="12"/>
      <c r="H67" s="12"/>
      <c r="I67" s="12"/>
      <c r="J67" s="9"/>
      <c r="K67" s="9"/>
      <c r="L67" s="9"/>
      <c r="M67" s="9"/>
      <c r="N67" s="9"/>
      <c r="O67" s="12"/>
      <c r="Q67" s="12"/>
      <c r="R67" s="12"/>
      <c r="S67" s="12"/>
      <c r="T67" s="12"/>
      <c r="U67" s="12"/>
      <c r="V67" s="12"/>
      <c r="W67" s="12"/>
      <c r="X67" s="12"/>
      <c r="Y67" s="12"/>
      <c r="Z67" s="12"/>
      <c r="AA67" s="12"/>
      <c r="AB67" s="12"/>
      <c r="AC67" s="12"/>
      <c r="AD67" s="12"/>
    </row>
    <row r="68" spans="2:30" s="1" customFormat="1" ht="15.75">
      <c r="B68" s="1129"/>
      <c r="C68" s="13"/>
      <c r="E68" s="1124"/>
      <c r="F68" s="9"/>
      <c r="G68" s="12"/>
      <c r="H68" s="12"/>
      <c r="I68" s="12"/>
      <c r="J68" s="9"/>
      <c r="K68" s="9"/>
      <c r="L68" s="9"/>
      <c r="M68" s="9"/>
      <c r="N68" s="9"/>
      <c r="O68" s="12"/>
      <c r="P68" s="12"/>
      <c r="Q68" s="12"/>
      <c r="R68" s="12"/>
      <c r="S68" s="12"/>
      <c r="T68" s="12"/>
      <c r="U68" s="12"/>
      <c r="V68" s="12"/>
      <c r="W68" s="12"/>
      <c r="X68" s="12"/>
      <c r="Y68" s="12"/>
      <c r="Z68" s="12"/>
      <c r="AA68" s="12"/>
      <c r="AB68" s="12"/>
      <c r="AC68" s="12"/>
      <c r="AD68" s="12"/>
    </row>
    <row r="69" spans="2:30" s="1" customFormat="1" ht="15.75">
      <c r="C69" s="13"/>
      <c r="E69" s="1124"/>
      <c r="F69" s="9"/>
      <c r="G69" s="12"/>
      <c r="H69" s="12"/>
      <c r="I69" s="12"/>
      <c r="J69" s="9"/>
      <c r="K69" s="9"/>
      <c r="L69" s="9"/>
      <c r="M69" s="9"/>
      <c r="N69" s="9"/>
      <c r="O69" s="397" t="s">
        <v>218</v>
      </c>
      <c r="P69" s="398" t="s">
        <v>123</v>
      </c>
      <c r="Q69" s="12"/>
      <c r="R69" s="12"/>
      <c r="S69" s="12"/>
      <c r="T69" s="12"/>
      <c r="U69" s="12"/>
      <c r="V69" s="12"/>
      <c r="W69" s="12"/>
      <c r="X69" s="12"/>
      <c r="Y69" s="12"/>
      <c r="Z69" s="12"/>
      <c r="AA69" s="12"/>
      <c r="AB69" s="12"/>
      <c r="AC69" s="12"/>
      <c r="AD69" s="12"/>
    </row>
    <row r="70" spans="2:30" s="1" customFormat="1">
      <c r="C70" s="13"/>
      <c r="G70" s="12"/>
      <c r="H70" s="12"/>
      <c r="I70" s="12"/>
      <c r="O70" s="12"/>
      <c r="P70" s="12"/>
      <c r="Q70" s="12"/>
      <c r="R70" s="12"/>
      <c r="S70" s="12"/>
      <c r="T70" s="12"/>
      <c r="U70" s="12"/>
      <c r="V70" s="12"/>
      <c r="W70" s="12"/>
      <c r="X70" s="12"/>
      <c r="Y70" s="12"/>
      <c r="Z70" s="12"/>
      <c r="AA70" s="12"/>
      <c r="AB70" s="12"/>
      <c r="AC70" s="12"/>
      <c r="AD70" s="12"/>
    </row>
    <row r="71" spans="2:30" s="1" customFormat="1">
      <c r="C71" s="13"/>
      <c r="G71" s="12"/>
      <c r="H71" s="12"/>
      <c r="I71" s="12"/>
      <c r="O71" s="12"/>
      <c r="P71" s="12"/>
      <c r="Q71" s="12"/>
      <c r="R71" s="12"/>
      <c r="S71" s="12"/>
      <c r="T71" s="12"/>
      <c r="U71" s="12"/>
      <c r="V71" s="12"/>
      <c r="W71" s="12"/>
      <c r="X71" s="12"/>
      <c r="Y71" s="12"/>
      <c r="Z71" s="12"/>
      <c r="AA71" s="12"/>
      <c r="AB71" s="12"/>
      <c r="AC71" s="12"/>
      <c r="AD71" s="12"/>
    </row>
    <row r="72" spans="2:30" s="1" customFormat="1">
      <c r="C72" s="13"/>
      <c r="G72" s="12"/>
      <c r="H72" s="12"/>
      <c r="I72" s="12"/>
      <c r="O72" s="12"/>
      <c r="P72" s="12"/>
      <c r="Q72" s="12"/>
      <c r="R72" s="12"/>
      <c r="S72" s="12"/>
      <c r="T72" s="12"/>
      <c r="U72" s="12"/>
      <c r="V72" s="12"/>
      <c r="W72" s="12"/>
      <c r="X72" s="12"/>
      <c r="Y72" s="12"/>
      <c r="Z72" s="12"/>
      <c r="AA72" s="12"/>
      <c r="AB72" s="12"/>
      <c r="AC72" s="12"/>
      <c r="AD72" s="12"/>
    </row>
    <row r="73" spans="2:30" s="1" customFormat="1">
      <c r="G73" s="12"/>
      <c r="H73" s="12"/>
      <c r="I73" s="12"/>
      <c r="O73" s="12"/>
      <c r="P73" s="12"/>
      <c r="Q73" s="12"/>
      <c r="R73" s="12"/>
      <c r="S73" s="12"/>
      <c r="T73" s="12"/>
      <c r="U73" s="12"/>
      <c r="V73" s="12"/>
      <c r="W73" s="12"/>
      <c r="X73" s="12"/>
      <c r="Y73" s="12"/>
      <c r="Z73" s="12"/>
      <c r="AA73" s="12"/>
      <c r="AB73" s="12"/>
      <c r="AC73" s="12"/>
      <c r="AD73" s="12"/>
    </row>
    <row r="74" spans="2:30" s="1" customFormat="1">
      <c r="C74" s="13"/>
      <c r="G74" s="12"/>
      <c r="H74" s="12"/>
      <c r="I74" s="12"/>
      <c r="O74" s="12"/>
      <c r="P74" s="12"/>
      <c r="Q74" s="12"/>
      <c r="R74" s="12"/>
      <c r="S74" s="12"/>
      <c r="T74" s="12"/>
      <c r="U74" s="12"/>
      <c r="V74" s="12"/>
      <c r="W74" s="12"/>
      <c r="X74" s="12"/>
      <c r="Y74" s="12"/>
      <c r="Z74" s="12"/>
      <c r="AA74" s="12"/>
      <c r="AB74" s="12"/>
      <c r="AC74" s="12"/>
      <c r="AD74" s="12"/>
    </row>
    <row r="75" spans="2:30" s="1" customFormat="1">
      <c r="C75" s="13"/>
      <c r="G75" s="12"/>
      <c r="H75" s="12"/>
      <c r="I75" s="12"/>
      <c r="O75" s="12"/>
      <c r="P75" s="12"/>
      <c r="Q75" s="12"/>
      <c r="R75" s="12"/>
      <c r="S75" s="12"/>
      <c r="T75" s="12"/>
      <c r="U75" s="12"/>
      <c r="V75" s="12"/>
      <c r="W75" s="12"/>
      <c r="X75" s="12"/>
      <c r="Y75" s="12"/>
      <c r="Z75" s="12"/>
      <c r="AA75" s="12"/>
      <c r="AB75" s="12"/>
      <c r="AC75" s="12"/>
      <c r="AD75" s="12"/>
    </row>
    <row r="76" spans="2:30" s="1" customFormat="1">
      <c r="C76" s="13"/>
      <c r="G76" s="12"/>
      <c r="H76" s="12"/>
      <c r="I76" s="12"/>
      <c r="O76" s="12"/>
      <c r="P76" s="12"/>
      <c r="Q76" s="12"/>
      <c r="R76" s="12"/>
      <c r="S76" s="12"/>
      <c r="T76" s="12"/>
      <c r="U76" s="12"/>
      <c r="V76" s="12"/>
      <c r="W76" s="12"/>
      <c r="X76" s="12"/>
      <c r="Y76" s="12"/>
      <c r="Z76" s="12"/>
      <c r="AA76" s="12"/>
      <c r="AB76" s="12"/>
      <c r="AC76" s="12"/>
      <c r="AD76" s="12"/>
    </row>
    <row r="77" spans="2:30" s="1" customFormat="1">
      <c r="C77" s="13"/>
      <c r="G77" s="12"/>
      <c r="H77" s="12"/>
      <c r="I77" s="12"/>
      <c r="O77" s="12"/>
      <c r="P77" s="12"/>
      <c r="Q77" s="12"/>
      <c r="R77" s="12"/>
      <c r="S77" s="12"/>
      <c r="T77" s="12"/>
      <c r="U77" s="12"/>
      <c r="V77" s="12"/>
      <c r="W77" s="12"/>
      <c r="X77" s="12"/>
      <c r="Y77" s="12"/>
      <c r="Z77" s="12"/>
      <c r="AA77" s="12"/>
      <c r="AB77" s="12"/>
      <c r="AC77" s="12"/>
      <c r="AD77" s="12"/>
    </row>
    <row r="78" spans="2:30" s="1" customFormat="1">
      <c r="C78" s="13"/>
      <c r="G78" s="12"/>
      <c r="H78" s="12"/>
      <c r="I78" s="12"/>
      <c r="O78" s="12"/>
      <c r="P78" s="12"/>
      <c r="Q78" s="12"/>
      <c r="R78" s="12"/>
      <c r="S78" s="12"/>
      <c r="T78" s="12"/>
      <c r="U78" s="12"/>
      <c r="V78" s="12"/>
      <c r="W78" s="12"/>
      <c r="X78" s="12"/>
      <c r="Y78" s="12"/>
      <c r="Z78" s="12"/>
      <c r="AA78" s="12"/>
      <c r="AB78" s="12"/>
      <c r="AC78" s="12"/>
      <c r="AD78" s="12"/>
    </row>
    <row r="79" spans="2:30" s="1" customFormat="1">
      <c r="C79" s="13"/>
      <c r="G79" s="12"/>
      <c r="H79" s="12"/>
      <c r="I79" s="12"/>
      <c r="O79" s="12"/>
      <c r="P79" s="12"/>
      <c r="Q79" s="12"/>
      <c r="R79" s="12"/>
      <c r="S79" s="12"/>
      <c r="T79" s="12"/>
      <c r="U79" s="12"/>
      <c r="V79" s="12"/>
      <c r="W79" s="12"/>
      <c r="X79" s="12"/>
      <c r="Y79" s="12"/>
      <c r="Z79" s="12"/>
      <c r="AA79" s="12"/>
      <c r="AB79" s="12"/>
      <c r="AC79" s="12"/>
      <c r="AD79" s="12"/>
    </row>
    <row r="80" spans="2:30" s="1" customFormat="1">
      <c r="C80" s="13"/>
      <c r="G80" s="12"/>
      <c r="H80" s="12"/>
      <c r="I80" s="12"/>
      <c r="O80" s="12"/>
      <c r="P80" s="12"/>
      <c r="Q80" s="397" t="s">
        <v>219</v>
      </c>
      <c r="R80" s="398" t="s">
        <v>110</v>
      </c>
      <c r="S80" s="12"/>
      <c r="T80" s="12"/>
      <c r="U80" s="12"/>
      <c r="V80" s="12"/>
      <c r="W80" s="12"/>
      <c r="X80" s="12"/>
      <c r="Y80" s="12"/>
      <c r="Z80" s="12"/>
      <c r="AA80" s="12"/>
      <c r="AB80" s="12"/>
      <c r="AC80" s="12"/>
      <c r="AD80" s="12"/>
    </row>
    <row r="81" spans="3:30" s="1" customFormat="1">
      <c r="C81" s="13"/>
      <c r="G81" s="12"/>
      <c r="H81" s="12"/>
      <c r="I81" s="12"/>
      <c r="O81" s="12"/>
      <c r="P81" s="12"/>
      <c r="Q81" s="397" t="s">
        <v>220</v>
      </c>
      <c r="R81" s="399" t="s">
        <v>12</v>
      </c>
      <c r="S81" s="12"/>
      <c r="T81" s="12"/>
      <c r="U81" s="12"/>
      <c r="V81" s="12"/>
      <c r="W81" s="12"/>
      <c r="X81" s="12"/>
      <c r="Y81" s="12"/>
      <c r="Z81" s="12"/>
      <c r="AA81" s="12"/>
      <c r="AB81" s="12"/>
      <c r="AC81" s="12"/>
      <c r="AD81" s="12"/>
    </row>
    <row r="82" spans="3:30" s="1" customFormat="1">
      <c r="C82" s="13"/>
      <c r="G82" s="12"/>
      <c r="H82" s="12"/>
      <c r="I82" s="12"/>
      <c r="O82" s="12"/>
      <c r="P82" s="12"/>
      <c r="Q82" s="401" t="s">
        <v>221</v>
      </c>
      <c r="R82" s="399" t="s">
        <v>58</v>
      </c>
      <c r="S82" s="12"/>
      <c r="T82" s="12"/>
      <c r="U82" s="12"/>
      <c r="V82" s="12"/>
      <c r="W82" s="12"/>
      <c r="X82" s="12"/>
      <c r="Y82" s="12"/>
      <c r="Z82" s="12"/>
      <c r="AA82" s="12"/>
      <c r="AB82" s="12"/>
      <c r="AC82" s="12"/>
      <c r="AD82" s="12"/>
    </row>
    <row r="83" spans="3:30" s="1" customFormat="1">
      <c r="C83" s="13"/>
      <c r="G83" s="12"/>
      <c r="H83" s="12"/>
      <c r="I83" s="12"/>
      <c r="O83" s="12"/>
      <c r="P83" s="12"/>
      <c r="Q83" s="12"/>
      <c r="R83" s="12"/>
      <c r="S83" s="12"/>
      <c r="T83" s="12"/>
      <c r="U83" s="12"/>
      <c r="V83" s="12"/>
      <c r="W83" s="12"/>
      <c r="X83" s="12"/>
      <c r="Y83" s="12"/>
      <c r="Z83" s="12"/>
      <c r="AA83" s="12"/>
      <c r="AB83" s="12"/>
      <c r="AC83" s="12"/>
      <c r="AD83" s="12"/>
    </row>
    <row r="84" spans="3:30" s="1" customFormat="1">
      <c r="G84" s="12"/>
      <c r="H84" s="12"/>
      <c r="I84" s="12"/>
      <c r="O84" s="12"/>
      <c r="P84" s="12"/>
      <c r="Q84" s="12"/>
      <c r="R84" s="12"/>
      <c r="S84" s="12"/>
      <c r="T84" s="12"/>
      <c r="U84" s="12"/>
      <c r="V84" s="12"/>
      <c r="W84" s="12"/>
      <c r="X84" s="12"/>
      <c r="Y84" s="12"/>
      <c r="Z84" s="12"/>
      <c r="AA84" s="12"/>
      <c r="AB84" s="12"/>
      <c r="AC84" s="12"/>
      <c r="AD84" s="12"/>
    </row>
    <row r="85" spans="3:30" s="1" customFormat="1">
      <c r="G85" s="12"/>
      <c r="H85" s="12"/>
      <c r="I85" s="12"/>
      <c r="O85" s="12"/>
      <c r="P85" s="12"/>
      <c r="Q85" s="12"/>
      <c r="R85" s="12"/>
      <c r="S85" s="12"/>
      <c r="T85" s="12"/>
      <c r="U85" s="12"/>
      <c r="V85" s="12"/>
      <c r="W85" s="12"/>
      <c r="X85" s="12"/>
      <c r="Y85" s="12"/>
      <c r="Z85" s="12"/>
      <c r="AA85" s="12"/>
      <c r="AB85" s="12"/>
      <c r="AC85" s="12"/>
      <c r="AD85" s="12"/>
    </row>
    <row r="86" spans="3:30" s="1" customFormat="1">
      <c r="G86" s="12"/>
      <c r="H86" s="12"/>
      <c r="I86" s="12"/>
      <c r="O86" s="12"/>
      <c r="P86" s="12"/>
      <c r="Q86" s="12"/>
      <c r="R86" s="12"/>
      <c r="S86" s="12"/>
      <c r="T86" s="12"/>
      <c r="U86" s="12"/>
      <c r="V86" s="12"/>
      <c r="W86" s="12"/>
      <c r="X86" s="12"/>
      <c r="Y86" s="12"/>
      <c r="Z86" s="12"/>
      <c r="AA86" s="12"/>
      <c r="AB86" s="12"/>
      <c r="AC86" s="12"/>
      <c r="AD86" s="12"/>
    </row>
    <row r="87" spans="3:30" s="1" customFormat="1">
      <c r="G87" s="12"/>
      <c r="H87" s="12"/>
      <c r="I87" s="12"/>
      <c r="O87" s="12"/>
      <c r="P87" s="12"/>
      <c r="Q87" s="12"/>
      <c r="R87" s="12"/>
      <c r="S87" s="12"/>
      <c r="T87" s="12"/>
      <c r="U87" s="12"/>
      <c r="V87" s="12"/>
      <c r="W87" s="12"/>
      <c r="X87" s="12"/>
      <c r="Y87" s="12"/>
      <c r="Z87" s="12"/>
      <c r="AA87" s="12"/>
      <c r="AB87" s="12"/>
      <c r="AC87" s="12"/>
      <c r="AD87" s="12"/>
    </row>
    <row r="88" spans="3:30" s="1" customFormat="1">
      <c r="G88" s="12"/>
      <c r="H88" s="12"/>
      <c r="I88" s="12"/>
      <c r="O88" s="12"/>
      <c r="P88" s="12"/>
      <c r="Q88" s="12"/>
      <c r="R88" s="12"/>
      <c r="S88" s="12"/>
      <c r="T88" s="12"/>
      <c r="U88" s="12"/>
      <c r="V88" s="12"/>
      <c r="W88" s="12"/>
      <c r="X88" s="12"/>
      <c r="Y88" s="12"/>
      <c r="Z88" s="12"/>
      <c r="AA88" s="12"/>
      <c r="AB88" s="12"/>
      <c r="AC88" s="12"/>
      <c r="AD88" s="12"/>
    </row>
    <row r="89" spans="3:30" s="1" customFormat="1">
      <c r="G89" s="12"/>
      <c r="H89" s="12"/>
      <c r="I89" s="12"/>
      <c r="O89" s="12"/>
      <c r="P89" s="12"/>
      <c r="Q89" s="12"/>
      <c r="R89" s="12"/>
      <c r="S89" s="12"/>
      <c r="T89" s="12"/>
      <c r="U89" s="12"/>
      <c r="V89" s="12"/>
      <c r="W89" s="12"/>
      <c r="X89" s="12"/>
      <c r="Y89" s="12"/>
      <c r="Z89" s="12"/>
      <c r="AA89" s="12"/>
      <c r="AB89" s="12"/>
      <c r="AC89" s="12"/>
      <c r="AD89" s="12"/>
    </row>
    <row r="90" spans="3:30" s="1" customFormat="1">
      <c r="G90" s="12"/>
      <c r="H90" s="12"/>
      <c r="I90" s="12"/>
      <c r="O90" s="12"/>
      <c r="P90" s="12"/>
      <c r="Q90" s="12"/>
      <c r="R90" s="12"/>
      <c r="S90" s="12"/>
      <c r="T90" s="12"/>
      <c r="U90" s="12"/>
      <c r="V90" s="12"/>
      <c r="W90" s="12"/>
      <c r="X90" s="12"/>
      <c r="Y90" s="12"/>
      <c r="Z90" s="12"/>
      <c r="AA90" s="12"/>
      <c r="AB90" s="12"/>
      <c r="AC90" s="12"/>
      <c r="AD90" s="12"/>
    </row>
    <row r="91" spans="3:30" s="1" customFormat="1">
      <c r="G91" s="12"/>
      <c r="H91" s="12"/>
      <c r="I91" s="12"/>
      <c r="O91" s="12"/>
      <c r="P91" s="12"/>
      <c r="Q91" s="12"/>
      <c r="R91" s="12"/>
      <c r="S91" s="12"/>
      <c r="T91" s="12"/>
      <c r="U91" s="12"/>
      <c r="V91" s="12"/>
      <c r="W91" s="12"/>
      <c r="X91" s="12"/>
      <c r="Y91" s="12"/>
      <c r="Z91" s="12"/>
      <c r="AA91" s="12"/>
      <c r="AB91" s="12"/>
      <c r="AC91" s="12"/>
      <c r="AD91" s="12"/>
    </row>
    <row r="92" spans="3:30" s="1" customFormat="1">
      <c r="G92" s="12"/>
      <c r="H92" s="12"/>
      <c r="I92" s="12"/>
      <c r="O92" s="12"/>
      <c r="P92" s="12"/>
      <c r="Q92" s="12"/>
      <c r="R92" s="12"/>
      <c r="S92" s="12"/>
      <c r="T92" s="12"/>
      <c r="U92" s="12"/>
      <c r="V92" s="12"/>
      <c r="W92" s="12"/>
      <c r="X92" s="12"/>
      <c r="Y92" s="12"/>
      <c r="Z92" s="12"/>
      <c r="AA92" s="12"/>
      <c r="AB92" s="12"/>
      <c r="AC92" s="12"/>
      <c r="AD92" s="12"/>
    </row>
    <row r="93" spans="3:30" s="1" customFormat="1">
      <c r="G93" s="12"/>
      <c r="H93" s="12"/>
      <c r="I93" s="12"/>
      <c r="O93" s="12"/>
      <c r="P93" s="12"/>
      <c r="Q93" s="12"/>
      <c r="R93" s="12"/>
      <c r="S93" s="12"/>
      <c r="T93" s="12"/>
      <c r="U93" s="12"/>
      <c r="V93" s="12"/>
      <c r="W93" s="12"/>
      <c r="X93" s="12"/>
      <c r="Y93" s="12"/>
      <c r="Z93" s="12"/>
      <c r="AA93" s="12"/>
      <c r="AB93" s="12"/>
      <c r="AC93" s="12"/>
      <c r="AD93" s="12"/>
    </row>
    <row r="94" spans="3:30" s="1" customFormat="1">
      <c r="G94" s="12"/>
      <c r="H94" s="12"/>
      <c r="I94" s="12"/>
      <c r="O94" s="12"/>
      <c r="P94" s="12"/>
      <c r="Q94" s="12"/>
      <c r="R94" s="12"/>
      <c r="S94" s="12"/>
      <c r="T94" s="12"/>
      <c r="U94" s="12"/>
      <c r="V94" s="12"/>
      <c r="W94" s="12"/>
      <c r="X94" s="12"/>
      <c r="Y94" s="12"/>
      <c r="Z94" s="12"/>
      <c r="AA94" s="12"/>
      <c r="AB94" s="12"/>
      <c r="AC94" s="12"/>
      <c r="AD94" s="12"/>
    </row>
    <row r="95" spans="3:30" s="1" customFormat="1">
      <c r="G95" s="12"/>
      <c r="H95" s="12"/>
      <c r="I95" s="12"/>
      <c r="O95" s="12"/>
      <c r="P95" s="12"/>
      <c r="Q95" s="12"/>
      <c r="R95" s="12"/>
      <c r="S95" s="12"/>
      <c r="T95" s="12"/>
      <c r="U95" s="12"/>
      <c r="V95" s="12"/>
      <c r="W95" s="12"/>
      <c r="X95" s="12"/>
      <c r="Y95" s="12"/>
      <c r="Z95" s="12"/>
      <c r="AA95" s="12"/>
      <c r="AB95" s="12"/>
      <c r="AC95" s="12"/>
      <c r="AD95" s="12"/>
    </row>
    <row r="96" spans="3:30" s="1" customFormat="1">
      <c r="G96" s="12"/>
      <c r="H96" s="12"/>
      <c r="I96" s="12"/>
      <c r="O96" s="12"/>
      <c r="P96" s="12"/>
      <c r="Q96" s="12"/>
      <c r="R96" s="12"/>
      <c r="S96" s="12"/>
      <c r="T96" s="12"/>
      <c r="U96" s="12"/>
      <c r="V96" s="12"/>
      <c r="W96" s="12"/>
      <c r="X96" s="12"/>
      <c r="Y96" s="12"/>
      <c r="Z96" s="12"/>
      <c r="AA96" s="12"/>
      <c r="AB96" s="12"/>
      <c r="AC96" s="12"/>
      <c r="AD96" s="12"/>
    </row>
    <row r="97" spans="7:30" s="1" customFormat="1">
      <c r="G97" s="12"/>
      <c r="H97" s="12"/>
      <c r="I97" s="12"/>
      <c r="O97" s="12"/>
      <c r="P97" s="12"/>
      <c r="Q97" s="12"/>
      <c r="R97" s="12"/>
      <c r="S97" s="12"/>
      <c r="T97" s="12"/>
      <c r="U97" s="12"/>
      <c r="V97" s="12"/>
      <c r="W97" s="12"/>
      <c r="X97" s="12"/>
      <c r="Y97" s="12"/>
      <c r="Z97" s="12"/>
      <c r="AA97" s="12"/>
      <c r="AB97" s="12"/>
      <c r="AC97" s="12"/>
      <c r="AD97" s="12"/>
    </row>
    <row r="98" spans="7:30" s="1" customFormat="1">
      <c r="G98" s="12"/>
      <c r="H98" s="12"/>
      <c r="I98" s="12"/>
      <c r="O98" s="12"/>
      <c r="P98" s="12"/>
      <c r="Q98" s="12"/>
      <c r="R98" s="12"/>
      <c r="S98" s="12"/>
      <c r="T98" s="12"/>
      <c r="U98" s="12"/>
      <c r="V98" s="12"/>
      <c r="W98" s="12"/>
      <c r="X98" s="12"/>
      <c r="Y98" s="12"/>
      <c r="Z98" s="12"/>
      <c r="AA98" s="12"/>
      <c r="AB98" s="12"/>
      <c r="AC98" s="12"/>
      <c r="AD98" s="12"/>
    </row>
    <row r="99" spans="7:30" s="1" customFormat="1">
      <c r="G99" s="12"/>
      <c r="H99" s="12"/>
      <c r="I99" s="12"/>
      <c r="O99" s="12"/>
      <c r="P99" s="12"/>
      <c r="Q99" s="12"/>
      <c r="R99" s="12"/>
      <c r="S99" s="12"/>
      <c r="T99" s="12"/>
      <c r="U99" s="12"/>
      <c r="V99" s="12"/>
      <c r="W99" s="12"/>
      <c r="X99" s="12"/>
      <c r="Y99" s="12"/>
      <c r="Z99" s="12"/>
      <c r="AA99" s="12"/>
      <c r="AB99" s="12"/>
      <c r="AC99" s="12"/>
      <c r="AD99" s="12"/>
    </row>
    <row r="100" spans="7:30" s="1" customFormat="1">
      <c r="G100" s="12"/>
      <c r="H100" s="12"/>
      <c r="I100" s="12"/>
      <c r="O100" s="12"/>
      <c r="P100" s="12"/>
      <c r="Q100" s="12"/>
      <c r="R100" s="12"/>
      <c r="S100" s="12"/>
      <c r="T100" s="12"/>
      <c r="U100" s="12"/>
      <c r="V100" s="12"/>
      <c r="W100" s="12"/>
      <c r="X100" s="12"/>
      <c r="Y100" s="12"/>
      <c r="Z100" s="12"/>
      <c r="AA100" s="12"/>
      <c r="AB100" s="12"/>
      <c r="AC100" s="12"/>
      <c r="AD100" s="12"/>
    </row>
    <row r="101" spans="7:30" s="1" customFormat="1">
      <c r="G101" s="12"/>
      <c r="H101" s="12"/>
      <c r="I101" s="12"/>
      <c r="O101" s="12"/>
      <c r="P101" s="12"/>
      <c r="Q101" s="12"/>
      <c r="R101" s="12"/>
      <c r="S101" s="12"/>
      <c r="T101" s="12"/>
      <c r="U101" s="12"/>
      <c r="V101" s="12"/>
      <c r="W101" s="12"/>
      <c r="X101" s="12"/>
      <c r="Y101" s="12"/>
      <c r="Z101" s="12"/>
      <c r="AA101" s="12"/>
      <c r="AB101" s="12"/>
      <c r="AC101" s="12"/>
      <c r="AD101" s="12"/>
    </row>
    <row r="102" spans="7:30" s="1" customFormat="1">
      <c r="G102" s="12"/>
      <c r="H102" s="12"/>
      <c r="I102" s="12"/>
      <c r="O102" s="12"/>
      <c r="P102" s="12"/>
      <c r="Q102" s="12"/>
      <c r="R102" s="12"/>
      <c r="S102" s="12"/>
      <c r="T102" s="12"/>
      <c r="U102" s="12"/>
      <c r="V102" s="12"/>
      <c r="W102" s="12"/>
      <c r="X102" s="12"/>
      <c r="Y102" s="12"/>
      <c r="Z102" s="12"/>
      <c r="AA102" s="12"/>
      <c r="AB102" s="12"/>
      <c r="AC102" s="12"/>
      <c r="AD102" s="12"/>
    </row>
    <row r="103" spans="7:30" s="1" customFormat="1">
      <c r="G103" s="12"/>
      <c r="H103" s="12"/>
      <c r="I103" s="12"/>
      <c r="O103" s="12"/>
      <c r="P103" s="12"/>
      <c r="Q103" s="12"/>
      <c r="R103" s="12"/>
      <c r="S103" s="12"/>
      <c r="T103" s="12"/>
      <c r="U103" s="12"/>
      <c r="V103" s="12"/>
      <c r="W103" s="12"/>
      <c r="X103" s="12"/>
      <c r="Y103" s="12"/>
      <c r="Z103" s="12"/>
      <c r="AA103" s="12"/>
      <c r="AB103" s="12"/>
      <c r="AC103" s="12"/>
      <c r="AD103" s="12"/>
    </row>
    <row r="104" spans="7:30" s="1" customFormat="1">
      <c r="G104" s="12"/>
      <c r="H104" s="12"/>
      <c r="I104" s="12"/>
      <c r="O104" s="12"/>
      <c r="P104" s="12"/>
      <c r="Q104" s="12"/>
      <c r="R104" s="12"/>
      <c r="S104" s="12"/>
      <c r="T104" s="12"/>
      <c r="U104" s="12"/>
      <c r="V104" s="12"/>
      <c r="W104" s="12"/>
      <c r="X104" s="12"/>
      <c r="Y104" s="12"/>
      <c r="Z104" s="12"/>
      <c r="AA104" s="12"/>
      <c r="AB104" s="12"/>
      <c r="AC104" s="12"/>
      <c r="AD104" s="12"/>
    </row>
    <row r="105" spans="7:30" s="1" customFormat="1">
      <c r="G105" s="12"/>
      <c r="H105" s="12"/>
      <c r="I105" s="12"/>
      <c r="O105" s="12"/>
      <c r="P105" s="12"/>
      <c r="Q105" s="12"/>
      <c r="R105" s="12"/>
      <c r="S105" s="12"/>
      <c r="T105" s="12"/>
      <c r="U105" s="12"/>
      <c r="V105" s="12"/>
      <c r="W105" s="12"/>
      <c r="X105" s="12"/>
      <c r="Y105" s="12"/>
      <c r="Z105" s="12"/>
      <c r="AA105" s="12"/>
      <c r="AB105" s="12"/>
      <c r="AC105" s="12"/>
      <c r="AD105" s="12"/>
    </row>
    <row r="106" spans="7:30" s="1" customFormat="1">
      <c r="G106" s="12"/>
      <c r="H106" s="12"/>
      <c r="I106" s="12"/>
      <c r="O106" s="12"/>
      <c r="P106" s="12"/>
      <c r="Q106" s="12"/>
      <c r="R106" s="12"/>
      <c r="S106" s="12"/>
      <c r="T106" s="12"/>
      <c r="U106" s="12"/>
      <c r="V106" s="12"/>
      <c r="W106" s="12"/>
      <c r="X106" s="12"/>
      <c r="Y106" s="12"/>
      <c r="Z106" s="12"/>
      <c r="AA106" s="12"/>
      <c r="AB106" s="12"/>
      <c r="AC106" s="12"/>
      <c r="AD106" s="12"/>
    </row>
    <row r="107" spans="7:30" s="1" customFormat="1">
      <c r="G107" s="12"/>
      <c r="H107" s="12"/>
      <c r="I107" s="12"/>
      <c r="O107" s="12"/>
      <c r="P107" s="12"/>
      <c r="Q107" s="12"/>
      <c r="R107" s="12"/>
      <c r="S107" s="12"/>
      <c r="T107" s="12"/>
      <c r="U107" s="12"/>
      <c r="V107" s="12"/>
      <c r="W107" s="12"/>
      <c r="X107" s="12"/>
      <c r="Y107" s="12"/>
      <c r="Z107" s="12"/>
      <c r="AA107" s="12"/>
      <c r="AB107" s="12"/>
      <c r="AC107" s="12"/>
      <c r="AD107" s="12"/>
    </row>
    <row r="108" spans="7:30" s="1" customFormat="1">
      <c r="G108" s="12"/>
      <c r="H108" s="12"/>
      <c r="I108" s="12"/>
      <c r="O108" s="12"/>
      <c r="P108" s="12"/>
      <c r="Q108" s="12"/>
      <c r="R108" s="12"/>
      <c r="S108" s="12"/>
      <c r="T108" s="12"/>
      <c r="U108" s="12"/>
      <c r="V108" s="12"/>
      <c r="W108" s="12"/>
      <c r="X108" s="12"/>
      <c r="Y108" s="12"/>
      <c r="Z108" s="12"/>
      <c r="AA108" s="12"/>
      <c r="AB108" s="12"/>
      <c r="AC108" s="12"/>
      <c r="AD108" s="12"/>
    </row>
    <row r="109" spans="7:30" s="1" customFormat="1">
      <c r="G109" s="12"/>
      <c r="H109" s="12"/>
      <c r="I109" s="12"/>
      <c r="O109" s="12"/>
      <c r="P109" s="12"/>
      <c r="Q109" s="12"/>
      <c r="R109" s="12"/>
      <c r="S109" s="12"/>
      <c r="T109" s="12"/>
      <c r="U109" s="12"/>
      <c r="V109" s="12"/>
      <c r="W109" s="12"/>
      <c r="X109" s="12"/>
      <c r="Y109" s="12"/>
      <c r="Z109" s="12"/>
      <c r="AA109" s="12"/>
      <c r="AB109" s="12"/>
      <c r="AC109" s="12"/>
      <c r="AD109" s="12"/>
    </row>
    <row r="110" spans="7:30" s="1" customFormat="1">
      <c r="G110" s="12"/>
      <c r="H110" s="12"/>
      <c r="I110" s="12"/>
      <c r="O110" s="12"/>
      <c r="P110" s="12"/>
      <c r="Q110" s="12"/>
      <c r="R110" s="12"/>
      <c r="S110" s="12"/>
      <c r="T110" s="12"/>
      <c r="U110" s="12"/>
      <c r="V110" s="12"/>
      <c r="W110" s="12"/>
      <c r="X110" s="12"/>
      <c r="Y110" s="12"/>
      <c r="Z110" s="12"/>
      <c r="AA110" s="12"/>
      <c r="AB110" s="12"/>
      <c r="AC110" s="12"/>
      <c r="AD110" s="12"/>
    </row>
    <row r="111" spans="7:30" s="1" customFormat="1">
      <c r="G111" s="12"/>
      <c r="H111" s="12"/>
      <c r="I111" s="12"/>
      <c r="O111" s="12"/>
      <c r="P111" s="12"/>
      <c r="Q111" s="12"/>
      <c r="R111" s="12"/>
      <c r="S111" s="12"/>
      <c r="T111" s="12"/>
      <c r="U111" s="12"/>
      <c r="V111" s="12"/>
      <c r="W111" s="12"/>
      <c r="X111" s="12"/>
      <c r="Y111" s="12"/>
      <c r="Z111" s="12"/>
      <c r="AA111" s="12"/>
      <c r="AB111" s="12"/>
      <c r="AC111" s="12"/>
      <c r="AD111" s="12"/>
    </row>
    <row r="112" spans="7:30" s="1" customFormat="1">
      <c r="G112" s="12"/>
      <c r="H112" s="12"/>
      <c r="I112" s="12"/>
      <c r="O112" s="12"/>
      <c r="P112" s="12"/>
      <c r="Q112" s="12"/>
      <c r="R112" s="12"/>
      <c r="S112" s="12"/>
      <c r="T112" s="12"/>
      <c r="U112" s="12"/>
      <c r="V112" s="12"/>
      <c r="W112" s="12"/>
      <c r="X112" s="12"/>
      <c r="Y112" s="12"/>
      <c r="Z112" s="12"/>
      <c r="AA112" s="12"/>
      <c r="AB112" s="12"/>
      <c r="AC112" s="12"/>
      <c r="AD112" s="12"/>
    </row>
    <row r="113" spans="7:30" s="1" customFormat="1">
      <c r="G113" s="12"/>
      <c r="H113" s="12"/>
      <c r="I113" s="12"/>
      <c r="O113" s="12"/>
      <c r="P113" s="12"/>
      <c r="Q113" s="12"/>
      <c r="R113" s="12"/>
      <c r="S113" s="12"/>
      <c r="T113" s="12"/>
      <c r="U113" s="12"/>
      <c r="V113" s="12"/>
      <c r="W113" s="12"/>
      <c r="X113" s="12"/>
      <c r="Y113" s="12"/>
      <c r="Z113" s="12"/>
      <c r="AA113" s="12"/>
      <c r="AB113" s="12"/>
      <c r="AC113" s="12"/>
      <c r="AD113" s="12"/>
    </row>
    <row r="114" spans="7:30" s="1" customFormat="1">
      <c r="G114" s="12"/>
      <c r="H114" s="12"/>
      <c r="I114" s="12"/>
      <c r="O114" s="12"/>
      <c r="P114" s="12"/>
      <c r="Q114" s="12"/>
      <c r="R114" s="12"/>
      <c r="S114" s="12"/>
      <c r="T114" s="12"/>
      <c r="U114" s="12"/>
      <c r="V114" s="12"/>
      <c r="W114" s="12"/>
      <c r="X114" s="12"/>
      <c r="Y114" s="12"/>
      <c r="Z114" s="12"/>
      <c r="AA114" s="12"/>
      <c r="AB114" s="12"/>
      <c r="AC114" s="12"/>
      <c r="AD114" s="12"/>
    </row>
    <row r="115" spans="7:30" s="1" customFormat="1">
      <c r="G115" s="12"/>
      <c r="H115" s="12"/>
      <c r="I115" s="12"/>
      <c r="O115" s="12"/>
      <c r="P115" s="12"/>
      <c r="Q115" s="12"/>
      <c r="R115" s="12"/>
      <c r="S115" s="12"/>
      <c r="T115" s="12"/>
      <c r="U115" s="12"/>
      <c r="V115" s="12"/>
      <c r="W115" s="12"/>
      <c r="X115" s="12"/>
      <c r="Y115" s="12"/>
      <c r="Z115" s="12"/>
      <c r="AA115" s="12"/>
      <c r="AB115" s="12"/>
      <c r="AC115" s="12"/>
      <c r="AD115" s="12"/>
    </row>
    <row r="116" spans="7:30" s="1" customFormat="1">
      <c r="G116" s="12"/>
      <c r="H116" s="12"/>
      <c r="I116" s="12"/>
      <c r="O116" s="12"/>
      <c r="P116" s="12"/>
      <c r="Q116" s="12"/>
      <c r="R116" s="12"/>
      <c r="S116" s="12"/>
      <c r="T116" s="12"/>
      <c r="U116" s="12"/>
      <c r="V116" s="12"/>
      <c r="W116" s="12"/>
      <c r="X116" s="12"/>
      <c r="Y116" s="12"/>
      <c r="Z116" s="12"/>
      <c r="AA116" s="12"/>
      <c r="AB116" s="12"/>
      <c r="AC116" s="12"/>
      <c r="AD116" s="12"/>
    </row>
    <row r="117" spans="7:30" s="1" customFormat="1">
      <c r="G117" s="12"/>
      <c r="H117" s="12"/>
      <c r="I117" s="12"/>
      <c r="O117" s="12"/>
      <c r="P117" s="12"/>
      <c r="Q117" s="12"/>
      <c r="R117" s="12"/>
      <c r="S117" s="12"/>
      <c r="T117" s="12"/>
      <c r="U117" s="12"/>
      <c r="V117" s="12"/>
      <c r="W117" s="12"/>
      <c r="X117" s="12"/>
      <c r="Y117" s="12"/>
      <c r="Z117" s="12"/>
      <c r="AA117" s="12"/>
      <c r="AB117" s="12"/>
      <c r="AC117" s="12"/>
      <c r="AD117" s="12"/>
    </row>
    <row r="118" spans="7:30" s="1" customFormat="1">
      <c r="G118" s="12"/>
      <c r="H118" s="12"/>
      <c r="I118" s="12"/>
      <c r="O118" s="12"/>
      <c r="P118" s="12"/>
      <c r="Q118" s="12"/>
      <c r="R118" s="12"/>
      <c r="S118" s="12"/>
      <c r="T118" s="12"/>
      <c r="U118" s="12"/>
      <c r="V118" s="12"/>
      <c r="W118" s="12"/>
      <c r="X118" s="12"/>
      <c r="Y118" s="12"/>
      <c r="Z118" s="12"/>
      <c r="AA118" s="12"/>
      <c r="AB118" s="12"/>
      <c r="AC118" s="12"/>
      <c r="AD118" s="12"/>
    </row>
    <row r="119" spans="7:30" s="1" customFormat="1">
      <c r="G119" s="12"/>
      <c r="H119" s="12"/>
      <c r="I119" s="12"/>
      <c r="O119" s="12"/>
      <c r="P119" s="12"/>
      <c r="Q119" s="12"/>
      <c r="R119" s="12"/>
      <c r="S119" s="12"/>
      <c r="T119" s="12"/>
      <c r="U119" s="12"/>
      <c r="V119" s="12"/>
      <c r="W119" s="12"/>
      <c r="X119" s="12"/>
      <c r="Y119" s="12"/>
      <c r="Z119" s="12"/>
      <c r="AA119" s="12"/>
      <c r="AB119" s="12"/>
      <c r="AC119" s="12"/>
      <c r="AD119" s="12"/>
    </row>
    <row r="120" spans="7:30" s="1" customFormat="1">
      <c r="G120" s="12"/>
      <c r="H120" s="12"/>
      <c r="I120" s="12"/>
      <c r="O120" s="12"/>
      <c r="P120" s="12"/>
      <c r="Q120" s="12"/>
      <c r="R120" s="12"/>
      <c r="S120" s="12"/>
      <c r="T120" s="12"/>
      <c r="U120" s="12"/>
      <c r="V120" s="12"/>
      <c r="W120" s="12"/>
      <c r="X120" s="12"/>
      <c r="Y120" s="12"/>
      <c r="Z120" s="12"/>
      <c r="AA120" s="12"/>
      <c r="AB120" s="12"/>
      <c r="AC120" s="12"/>
      <c r="AD120" s="12"/>
    </row>
    <row r="121" spans="7:30" s="1" customFormat="1">
      <c r="G121" s="12"/>
      <c r="H121" s="12"/>
      <c r="I121" s="12"/>
      <c r="O121" s="12"/>
      <c r="P121" s="12"/>
      <c r="Q121" s="12"/>
      <c r="R121" s="12"/>
      <c r="S121" s="12"/>
      <c r="T121" s="12"/>
      <c r="U121" s="12"/>
      <c r="V121" s="12"/>
      <c r="W121" s="12"/>
      <c r="X121" s="12"/>
      <c r="Y121" s="12"/>
      <c r="Z121" s="12"/>
      <c r="AA121" s="12"/>
      <c r="AB121" s="12"/>
      <c r="AC121" s="12"/>
      <c r="AD121" s="12"/>
    </row>
    <row r="122" spans="7:30" s="1" customFormat="1">
      <c r="G122" s="12"/>
      <c r="H122" s="12"/>
      <c r="I122" s="12"/>
      <c r="O122" s="12"/>
      <c r="P122" s="12"/>
      <c r="Q122" s="12"/>
      <c r="R122" s="12"/>
      <c r="S122" s="12"/>
      <c r="T122" s="12"/>
      <c r="U122" s="12"/>
      <c r="V122" s="12"/>
      <c r="W122" s="12"/>
      <c r="X122" s="12"/>
      <c r="Y122" s="12"/>
      <c r="Z122" s="12"/>
      <c r="AA122" s="12"/>
      <c r="AB122" s="12"/>
      <c r="AC122" s="12"/>
      <c r="AD122" s="12"/>
    </row>
    <row r="123" spans="7:30" s="1" customFormat="1">
      <c r="G123" s="12"/>
      <c r="H123" s="12"/>
      <c r="I123" s="12"/>
      <c r="O123" s="12"/>
      <c r="P123" s="12"/>
      <c r="Q123" s="12"/>
      <c r="R123" s="12"/>
      <c r="S123" s="12"/>
      <c r="T123" s="12"/>
      <c r="U123" s="12"/>
      <c r="V123" s="12"/>
      <c r="W123" s="12"/>
      <c r="X123" s="12"/>
      <c r="Y123" s="12"/>
      <c r="Z123" s="12"/>
      <c r="AA123" s="12"/>
      <c r="AB123" s="12"/>
      <c r="AC123" s="12"/>
      <c r="AD123" s="12"/>
    </row>
    <row r="124" spans="7:30" s="1" customFormat="1">
      <c r="G124" s="12"/>
      <c r="H124" s="12"/>
      <c r="I124" s="12"/>
      <c r="O124" s="12"/>
      <c r="P124" s="12"/>
      <c r="Q124" s="12"/>
      <c r="R124" s="12"/>
      <c r="S124" s="12"/>
      <c r="T124" s="12"/>
      <c r="U124" s="12"/>
      <c r="V124" s="12"/>
      <c r="W124" s="12"/>
      <c r="X124" s="12"/>
      <c r="Y124" s="12"/>
      <c r="Z124" s="12"/>
      <c r="AA124" s="12"/>
      <c r="AB124" s="12"/>
      <c r="AC124" s="12"/>
      <c r="AD124" s="12"/>
    </row>
    <row r="125" spans="7:30" s="1" customFormat="1">
      <c r="G125" s="12"/>
      <c r="H125" s="12"/>
      <c r="I125" s="12"/>
      <c r="O125" s="12"/>
      <c r="P125" s="12"/>
      <c r="Q125" s="12"/>
      <c r="R125" s="12"/>
      <c r="S125" s="12"/>
      <c r="T125" s="12"/>
      <c r="U125" s="12"/>
      <c r="V125" s="12"/>
      <c r="W125" s="12"/>
      <c r="X125" s="12"/>
      <c r="Y125" s="12"/>
      <c r="Z125" s="12"/>
      <c r="AA125" s="12"/>
      <c r="AB125" s="12"/>
      <c r="AC125" s="12"/>
      <c r="AD125" s="12"/>
    </row>
    <row r="126" spans="7:30" s="1" customFormat="1">
      <c r="G126" s="12"/>
      <c r="H126" s="12"/>
      <c r="I126" s="12"/>
      <c r="O126" s="12"/>
      <c r="P126" s="12"/>
      <c r="Q126" s="12"/>
      <c r="R126" s="12"/>
      <c r="S126" s="12"/>
      <c r="T126" s="12"/>
      <c r="U126" s="12"/>
      <c r="V126" s="12"/>
      <c r="W126" s="12"/>
      <c r="X126" s="12"/>
      <c r="Y126" s="12"/>
      <c r="Z126" s="12"/>
      <c r="AA126" s="12"/>
      <c r="AB126" s="12"/>
      <c r="AC126" s="12"/>
      <c r="AD126" s="12"/>
    </row>
    <row r="127" spans="7:30" s="1" customFormat="1">
      <c r="G127" s="12"/>
      <c r="H127" s="12"/>
      <c r="I127" s="12"/>
      <c r="O127" s="12"/>
      <c r="P127" s="12"/>
      <c r="Q127" s="12"/>
      <c r="R127" s="12"/>
      <c r="S127" s="12"/>
      <c r="T127" s="12"/>
      <c r="U127" s="12"/>
      <c r="V127" s="12"/>
      <c r="W127" s="12"/>
      <c r="X127" s="12"/>
      <c r="Y127" s="12"/>
      <c r="Z127" s="12"/>
      <c r="AA127" s="12"/>
      <c r="AB127" s="12"/>
      <c r="AC127" s="12"/>
      <c r="AD127" s="12"/>
    </row>
    <row r="128" spans="7:30" s="1" customFormat="1">
      <c r="G128" s="12"/>
      <c r="H128" s="12"/>
      <c r="I128" s="12"/>
      <c r="O128" s="12"/>
      <c r="P128" s="12"/>
      <c r="Q128" s="12"/>
      <c r="R128" s="12"/>
      <c r="S128" s="12"/>
      <c r="T128" s="12"/>
      <c r="U128" s="12"/>
      <c r="V128" s="12"/>
      <c r="W128" s="12"/>
      <c r="X128" s="12"/>
      <c r="Y128" s="12"/>
      <c r="Z128" s="12"/>
      <c r="AA128" s="12"/>
      <c r="AB128" s="12"/>
      <c r="AC128" s="12"/>
      <c r="AD128" s="12"/>
    </row>
    <row r="129" spans="7:30" s="1" customFormat="1">
      <c r="G129" s="12"/>
      <c r="H129" s="12"/>
      <c r="I129" s="12"/>
      <c r="O129" s="12"/>
      <c r="P129" s="12"/>
      <c r="Q129" s="12"/>
      <c r="R129" s="12"/>
      <c r="S129" s="12"/>
      <c r="T129" s="12"/>
      <c r="U129" s="12"/>
      <c r="V129" s="12"/>
      <c r="W129" s="12"/>
      <c r="X129" s="12"/>
      <c r="Y129" s="12"/>
      <c r="Z129" s="12"/>
      <c r="AA129" s="12"/>
      <c r="AB129" s="12"/>
      <c r="AC129" s="12"/>
      <c r="AD129" s="12"/>
    </row>
    <row r="130" spans="7:30" s="1" customFormat="1">
      <c r="G130" s="12"/>
      <c r="H130" s="12"/>
      <c r="I130" s="12"/>
      <c r="O130" s="12"/>
      <c r="P130" s="12"/>
      <c r="Q130" s="12"/>
      <c r="R130" s="12"/>
      <c r="S130" s="12"/>
      <c r="T130" s="12"/>
      <c r="U130" s="12"/>
      <c r="V130" s="12"/>
      <c r="W130" s="12"/>
      <c r="X130" s="12"/>
      <c r="Y130" s="12"/>
      <c r="Z130" s="12"/>
      <c r="AA130" s="12"/>
      <c r="AB130" s="12"/>
      <c r="AC130" s="12"/>
      <c r="AD130" s="12"/>
    </row>
    <row r="131" spans="7:30" s="1" customFormat="1">
      <c r="G131" s="12"/>
      <c r="H131" s="12"/>
      <c r="I131" s="12"/>
      <c r="O131" s="12"/>
      <c r="P131" s="12"/>
      <c r="Q131" s="12"/>
      <c r="R131" s="12"/>
      <c r="S131" s="12"/>
      <c r="T131" s="12"/>
      <c r="U131" s="12"/>
      <c r="V131" s="12"/>
      <c r="W131" s="12"/>
      <c r="X131" s="12"/>
      <c r="Y131" s="12"/>
      <c r="Z131" s="12"/>
      <c r="AA131" s="12"/>
      <c r="AB131" s="12"/>
      <c r="AC131" s="12"/>
      <c r="AD131" s="12"/>
    </row>
    <row r="132" spans="7:30" s="1" customFormat="1">
      <c r="G132" s="12"/>
      <c r="H132" s="12"/>
      <c r="I132" s="12"/>
      <c r="O132" s="12"/>
      <c r="P132" s="12"/>
      <c r="Q132" s="12"/>
      <c r="R132" s="12"/>
      <c r="S132" s="12"/>
      <c r="T132" s="12"/>
      <c r="U132" s="12"/>
      <c r="V132" s="12"/>
      <c r="W132" s="12"/>
      <c r="X132" s="12"/>
      <c r="Y132" s="12"/>
      <c r="Z132" s="12"/>
      <c r="AA132" s="12"/>
      <c r="AB132" s="12"/>
      <c r="AC132" s="12"/>
      <c r="AD132" s="12"/>
    </row>
    <row r="133" spans="7:30" s="1" customFormat="1">
      <c r="G133" s="12"/>
      <c r="H133" s="12"/>
      <c r="I133" s="12"/>
      <c r="O133" s="12"/>
      <c r="P133" s="12"/>
      <c r="Q133" s="12"/>
      <c r="R133" s="12"/>
      <c r="S133" s="12"/>
      <c r="T133" s="12"/>
      <c r="U133" s="12"/>
      <c r="V133" s="12"/>
      <c r="W133" s="12"/>
      <c r="X133" s="12"/>
      <c r="Y133" s="12"/>
      <c r="Z133" s="12"/>
      <c r="AA133" s="12"/>
      <c r="AB133" s="12"/>
      <c r="AC133" s="12"/>
      <c r="AD133" s="12"/>
    </row>
    <row r="134" spans="7:30" s="1" customFormat="1">
      <c r="G134" s="12"/>
      <c r="H134" s="12"/>
      <c r="I134" s="12"/>
      <c r="O134" s="12"/>
      <c r="P134" s="12"/>
      <c r="Q134" s="12"/>
      <c r="R134" s="12"/>
      <c r="S134" s="12"/>
      <c r="T134" s="12"/>
      <c r="U134" s="12"/>
      <c r="V134" s="12"/>
      <c r="W134" s="12"/>
      <c r="X134" s="12"/>
      <c r="Y134" s="12"/>
      <c r="Z134" s="12"/>
      <c r="AA134" s="12"/>
      <c r="AB134" s="12"/>
      <c r="AC134" s="12"/>
      <c r="AD134" s="12"/>
    </row>
    <row r="135" spans="7:30" s="1" customFormat="1">
      <c r="G135" s="12"/>
      <c r="H135" s="12"/>
      <c r="I135" s="12"/>
      <c r="O135" s="12"/>
      <c r="P135" s="12"/>
      <c r="Q135" s="12"/>
      <c r="R135" s="12"/>
      <c r="S135" s="12"/>
      <c r="T135" s="12"/>
      <c r="U135" s="12"/>
      <c r="V135" s="12"/>
      <c r="W135" s="12"/>
      <c r="X135" s="12"/>
      <c r="Y135" s="12"/>
      <c r="Z135" s="12"/>
      <c r="AA135" s="12"/>
      <c r="AB135" s="12"/>
      <c r="AC135" s="12"/>
      <c r="AD135" s="12"/>
    </row>
    <row r="136" spans="7:30" s="1" customFormat="1">
      <c r="G136" s="12"/>
      <c r="H136" s="12"/>
      <c r="I136" s="12"/>
      <c r="O136" s="12"/>
      <c r="P136" s="12"/>
      <c r="Q136" s="12"/>
      <c r="R136" s="12"/>
      <c r="S136" s="12"/>
      <c r="T136" s="12"/>
      <c r="U136" s="12"/>
      <c r="V136" s="12"/>
      <c r="W136" s="12"/>
      <c r="X136" s="12"/>
      <c r="Y136" s="12"/>
      <c r="Z136" s="12"/>
      <c r="AA136" s="12"/>
      <c r="AB136" s="12"/>
      <c r="AC136" s="12"/>
      <c r="AD136" s="12"/>
    </row>
    <row r="137" spans="7:30" s="1" customFormat="1">
      <c r="G137" s="12"/>
      <c r="H137" s="12"/>
      <c r="I137" s="12"/>
      <c r="O137" s="12"/>
      <c r="P137" s="12"/>
      <c r="Q137" s="12"/>
      <c r="R137" s="12"/>
      <c r="S137" s="12"/>
      <c r="T137" s="12"/>
      <c r="U137" s="12"/>
      <c r="V137" s="12"/>
      <c r="W137" s="12"/>
      <c r="X137" s="12"/>
      <c r="Y137" s="12"/>
      <c r="Z137" s="12"/>
      <c r="AA137" s="12"/>
      <c r="AB137" s="12"/>
      <c r="AC137" s="12"/>
      <c r="AD137" s="12"/>
    </row>
    <row r="138" spans="7:30" s="1" customFormat="1">
      <c r="G138" s="12"/>
      <c r="H138" s="12"/>
      <c r="I138" s="12"/>
      <c r="O138" s="12"/>
      <c r="P138" s="12"/>
      <c r="Q138" s="12"/>
      <c r="R138" s="12"/>
      <c r="S138" s="12"/>
      <c r="T138" s="12"/>
      <c r="U138" s="12"/>
      <c r="V138" s="12"/>
      <c r="W138" s="12"/>
      <c r="X138" s="12"/>
      <c r="Y138" s="12"/>
      <c r="Z138" s="12"/>
      <c r="AA138" s="12"/>
      <c r="AB138" s="12"/>
      <c r="AC138" s="12"/>
      <c r="AD138" s="12"/>
    </row>
    <row r="139" spans="7:30" s="1" customFormat="1">
      <c r="G139" s="12"/>
      <c r="H139" s="12"/>
      <c r="I139" s="12"/>
      <c r="O139" s="12"/>
      <c r="P139" s="12"/>
      <c r="Q139" s="12"/>
      <c r="R139" s="12"/>
      <c r="S139" s="12"/>
      <c r="T139" s="12"/>
      <c r="U139" s="12"/>
      <c r="V139" s="12"/>
      <c r="W139" s="12"/>
      <c r="X139" s="12"/>
      <c r="Y139" s="12"/>
      <c r="Z139" s="12"/>
      <c r="AA139" s="12"/>
      <c r="AB139" s="12"/>
      <c r="AC139" s="12"/>
      <c r="AD139" s="12"/>
    </row>
    <row r="140" spans="7:30" s="1" customFormat="1">
      <c r="G140" s="12"/>
      <c r="H140" s="12"/>
      <c r="I140" s="12"/>
      <c r="O140" s="12"/>
      <c r="P140" s="12"/>
      <c r="Q140" s="12"/>
      <c r="R140" s="12"/>
      <c r="S140" s="12"/>
      <c r="T140" s="12"/>
      <c r="U140" s="12"/>
      <c r="V140" s="12"/>
      <c r="W140" s="12"/>
      <c r="X140" s="12"/>
      <c r="Y140" s="12"/>
      <c r="Z140" s="12"/>
      <c r="AA140" s="12"/>
      <c r="AB140" s="12"/>
      <c r="AC140" s="12"/>
      <c r="AD140" s="12"/>
    </row>
    <row r="141" spans="7:30" s="1" customFormat="1">
      <c r="G141" s="12"/>
      <c r="H141" s="12"/>
      <c r="I141" s="12"/>
      <c r="O141" s="12"/>
      <c r="P141" s="12"/>
      <c r="Q141" s="12"/>
      <c r="R141" s="12"/>
      <c r="S141" s="12"/>
      <c r="T141" s="12"/>
      <c r="U141" s="12"/>
      <c r="V141" s="12"/>
      <c r="W141" s="12"/>
      <c r="X141" s="12"/>
      <c r="Y141" s="12"/>
      <c r="Z141" s="12"/>
      <c r="AA141" s="12"/>
      <c r="AB141" s="12"/>
      <c r="AC141" s="12"/>
      <c r="AD141" s="12"/>
    </row>
    <row r="142" spans="7:30" s="1" customFormat="1">
      <c r="G142" s="12"/>
      <c r="H142" s="12"/>
      <c r="I142" s="12"/>
      <c r="O142" s="12"/>
      <c r="P142" s="12"/>
      <c r="Q142" s="12"/>
      <c r="R142" s="12"/>
      <c r="S142" s="12"/>
      <c r="T142" s="12"/>
      <c r="U142" s="12"/>
      <c r="V142" s="12"/>
      <c r="W142" s="12"/>
      <c r="X142" s="12"/>
      <c r="Y142" s="12"/>
      <c r="Z142" s="12"/>
      <c r="AA142" s="12"/>
      <c r="AB142" s="12"/>
      <c r="AC142" s="12"/>
      <c r="AD142" s="12"/>
    </row>
    <row r="143" spans="7:30" s="1" customFormat="1">
      <c r="G143" s="12"/>
      <c r="H143" s="12"/>
      <c r="I143" s="12"/>
      <c r="O143" s="12"/>
      <c r="P143" s="12"/>
      <c r="Q143" s="12"/>
      <c r="R143" s="12"/>
      <c r="S143" s="12"/>
      <c r="T143" s="12"/>
      <c r="U143" s="12"/>
      <c r="V143" s="12"/>
      <c r="W143" s="12"/>
      <c r="X143" s="12"/>
      <c r="Y143" s="12"/>
      <c r="Z143" s="12"/>
      <c r="AA143" s="12"/>
      <c r="AB143" s="12"/>
      <c r="AC143" s="12"/>
      <c r="AD143" s="12"/>
    </row>
    <row r="144" spans="7:30" s="1" customFormat="1">
      <c r="G144" s="12"/>
      <c r="H144" s="12"/>
      <c r="I144" s="12"/>
      <c r="O144" s="12"/>
      <c r="P144" s="12"/>
      <c r="Q144" s="12"/>
      <c r="R144" s="12"/>
      <c r="S144" s="12"/>
      <c r="T144" s="12"/>
      <c r="U144" s="12"/>
      <c r="V144" s="12"/>
      <c r="W144" s="12"/>
      <c r="X144" s="12"/>
      <c r="Y144" s="12"/>
      <c r="Z144" s="12"/>
      <c r="AA144" s="12"/>
      <c r="AB144" s="12"/>
      <c r="AC144" s="12"/>
      <c r="AD144" s="12"/>
    </row>
    <row r="145" spans="7:30" s="1" customFormat="1">
      <c r="G145" s="12"/>
      <c r="H145" s="12"/>
      <c r="I145" s="12"/>
      <c r="O145" s="12"/>
      <c r="P145" s="12"/>
      <c r="Q145" s="12"/>
      <c r="R145" s="12"/>
      <c r="S145" s="12"/>
      <c r="T145" s="12"/>
      <c r="U145" s="12"/>
      <c r="V145" s="12"/>
      <c r="W145" s="12"/>
      <c r="X145" s="12"/>
      <c r="Y145" s="12"/>
      <c r="Z145" s="12"/>
      <c r="AA145" s="12"/>
      <c r="AB145" s="12"/>
      <c r="AC145" s="12"/>
      <c r="AD145" s="12"/>
    </row>
    <row r="146" spans="7:30" s="1" customFormat="1">
      <c r="G146" s="12"/>
      <c r="H146" s="12"/>
      <c r="I146" s="12"/>
      <c r="O146" s="12"/>
      <c r="P146" s="12"/>
      <c r="Q146" s="12"/>
      <c r="R146" s="12"/>
      <c r="S146" s="12"/>
      <c r="T146" s="12"/>
      <c r="U146" s="12"/>
      <c r="V146" s="12"/>
      <c r="W146" s="12"/>
      <c r="X146" s="12"/>
      <c r="Y146" s="12"/>
      <c r="Z146" s="12"/>
      <c r="AA146" s="12"/>
      <c r="AB146" s="12"/>
      <c r="AC146" s="12"/>
      <c r="AD146" s="12"/>
    </row>
    <row r="147" spans="7:30" s="1" customFormat="1">
      <c r="G147" s="12"/>
      <c r="H147" s="12"/>
      <c r="I147" s="12"/>
      <c r="O147" s="12"/>
      <c r="P147" s="12"/>
      <c r="Q147" s="12"/>
      <c r="R147" s="12"/>
      <c r="S147" s="12"/>
      <c r="T147" s="12"/>
      <c r="U147" s="12"/>
      <c r="V147" s="12"/>
      <c r="W147" s="12"/>
      <c r="X147" s="12"/>
      <c r="Y147" s="12"/>
      <c r="Z147" s="12"/>
      <c r="AA147" s="12"/>
      <c r="AB147" s="12"/>
      <c r="AC147" s="12"/>
      <c r="AD147" s="12"/>
    </row>
    <row r="148" spans="7:30" s="1" customFormat="1">
      <c r="G148" s="12"/>
      <c r="H148" s="12"/>
      <c r="I148" s="12"/>
      <c r="O148" s="12"/>
      <c r="P148" s="12"/>
      <c r="Q148" s="12"/>
      <c r="R148" s="12"/>
      <c r="S148" s="12"/>
      <c r="T148" s="12"/>
      <c r="U148" s="12"/>
      <c r="V148" s="12"/>
      <c r="W148" s="12"/>
      <c r="X148" s="12"/>
      <c r="Y148" s="12"/>
      <c r="Z148" s="12"/>
      <c r="AA148" s="12"/>
      <c r="AB148" s="12"/>
      <c r="AC148" s="12"/>
      <c r="AD148" s="12"/>
    </row>
    <row r="149" spans="7:30" s="1" customFormat="1">
      <c r="G149" s="12"/>
      <c r="H149" s="12"/>
      <c r="I149" s="12"/>
      <c r="O149" s="12"/>
      <c r="P149" s="12"/>
      <c r="Q149" s="12"/>
      <c r="R149" s="12"/>
      <c r="S149" s="12"/>
      <c r="T149" s="12"/>
      <c r="U149" s="12"/>
      <c r="V149" s="12"/>
      <c r="W149" s="12"/>
      <c r="X149" s="12"/>
      <c r="Y149" s="12"/>
      <c r="Z149" s="12"/>
      <c r="AA149" s="12"/>
      <c r="AB149" s="12"/>
      <c r="AC149" s="12"/>
      <c r="AD149" s="12"/>
    </row>
    <row r="150" spans="7:30" s="1" customFormat="1">
      <c r="G150" s="12"/>
      <c r="H150" s="12"/>
      <c r="I150" s="12"/>
      <c r="O150" s="12"/>
      <c r="P150" s="12"/>
      <c r="Q150" s="12"/>
      <c r="R150" s="12"/>
      <c r="S150" s="12"/>
      <c r="T150" s="12"/>
      <c r="U150" s="12"/>
      <c r="V150" s="12"/>
      <c r="W150" s="12"/>
      <c r="X150" s="12"/>
      <c r="Y150" s="12"/>
      <c r="Z150" s="12"/>
      <c r="AA150" s="12"/>
      <c r="AB150" s="12"/>
      <c r="AC150" s="12"/>
      <c r="AD150" s="12"/>
    </row>
    <row r="151" spans="7:30" s="1" customFormat="1">
      <c r="G151" s="12"/>
      <c r="H151" s="12"/>
      <c r="I151" s="12"/>
      <c r="O151" s="12"/>
      <c r="P151" s="12"/>
      <c r="Q151" s="12"/>
      <c r="R151" s="12"/>
      <c r="S151" s="12"/>
      <c r="T151" s="12"/>
      <c r="U151" s="12"/>
      <c r="V151" s="12"/>
      <c r="W151" s="12"/>
      <c r="X151" s="12"/>
      <c r="Y151" s="12"/>
      <c r="Z151" s="12"/>
      <c r="AA151" s="12"/>
      <c r="AB151" s="12"/>
      <c r="AC151" s="12"/>
      <c r="AD151" s="12"/>
    </row>
    <row r="152" spans="7:30" s="1" customFormat="1">
      <c r="G152" s="12"/>
      <c r="H152" s="12"/>
      <c r="I152" s="12"/>
      <c r="O152" s="12"/>
      <c r="P152" s="12"/>
      <c r="Q152" s="12"/>
      <c r="R152" s="12"/>
      <c r="S152" s="12"/>
      <c r="T152" s="12"/>
      <c r="U152" s="12"/>
      <c r="V152" s="12"/>
      <c r="W152" s="12"/>
      <c r="X152" s="12"/>
      <c r="Y152" s="12"/>
      <c r="Z152" s="12"/>
      <c r="AA152" s="12"/>
      <c r="AB152" s="12"/>
      <c r="AC152" s="12"/>
      <c r="AD152" s="12"/>
    </row>
    <row r="153" spans="7:30" s="1" customFormat="1">
      <c r="G153" s="12"/>
      <c r="H153" s="12"/>
      <c r="I153" s="12"/>
      <c r="O153" s="12"/>
      <c r="P153" s="12"/>
      <c r="Q153" s="12"/>
      <c r="R153" s="12"/>
      <c r="S153" s="12"/>
      <c r="T153" s="12"/>
      <c r="U153" s="12"/>
      <c r="V153" s="12"/>
      <c r="W153" s="12"/>
      <c r="X153" s="12"/>
      <c r="Y153" s="12"/>
      <c r="Z153" s="12"/>
      <c r="AA153" s="12"/>
      <c r="AB153" s="12"/>
      <c r="AC153" s="12"/>
      <c r="AD153" s="12"/>
    </row>
    <row r="154" spans="7:30" s="1" customFormat="1">
      <c r="G154" s="12"/>
      <c r="H154" s="12"/>
      <c r="I154" s="12"/>
      <c r="O154" s="12"/>
      <c r="P154" s="12"/>
      <c r="Q154" s="12"/>
      <c r="R154" s="12"/>
      <c r="S154" s="12"/>
      <c r="T154" s="12"/>
      <c r="U154" s="12"/>
      <c r="V154" s="12"/>
      <c r="W154" s="12"/>
      <c r="X154" s="12"/>
      <c r="Y154" s="12"/>
      <c r="Z154" s="12"/>
      <c r="AA154" s="12"/>
      <c r="AB154" s="12"/>
      <c r="AC154" s="12"/>
      <c r="AD154" s="12"/>
    </row>
    <row r="155" spans="7:30" s="1" customFormat="1">
      <c r="G155" s="12"/>
      <c r="H155" s="12"/>
      <c r="I155" s="12"/>
      <c r="O155" s="12"/>
      <c r="P155" s="12"/>
      <c r="Q155" s="12"/>
      <c r="R155" s="12"/>
      <c r="S155" s="12"/>
      <c r="T155" s="12"/>
      <c r="U155" s="12"/>
      <c r="V155" s="12"/>
      <c r="W155" s="12"/>
      <c r="X155" s="12"/>
      <c r="Y155" s="12"/>
      <c r="Z155" s="12"/>
      <c r="AA155" s="12"/>
      <c r="AB155" s="12"/>
      <c r="AC155" s="12"/>
      <c r="AD155" s="12"/>
    </row>
    <row r="156" spans="7:30" s="1" customFormat="1">
      <c r="G156" s="12"/>
      <c r="H156" s="12"/>
      <c r="I156" s="12"/>
      <c r="O156" s="12"/>
      <c r="P156" s="12"/>
      <c r="Q156" s="12"/>
      <c r="R156" s="12"/>
      <c r="S156" s="12"/>
      <c r="T156" s="12"/>
      <c r="U156" s="12"/>
      <c r="V156" s="12"/>
      <c r="W156" s="12"/>
      <c r="X156" s="12"/>
      <c r="Y156" s="12"/>
      <c r="Z156" s="12"/>
      <c r="AA156" s="12"/>
      <c r="AB156" s="12"/>
      <c r="AC156" s="12"/>
      <c r="AD156" s="12"/>
    </row>
    <row r="157" spans="7:30" s="1" customFormat="1">
      <c r="G157" s="12"/>
      <c r="H157" s="12"/>
      <c r="I157" s="12"/>
      <c r="O157" s="12"/>
      <c r="P157" s="12"/>
      <c r="Q157" s="12"/>
      <c r="R157" s="12"/>
      <c r="S157" s="12"/>
      <c r="T157" s="12"/>
      <c r="U157" s="12"/>
      <c r="V157" s="12"/>
      <c r="W157" s="12"/>
      <c r="X157" s="12"/>
      <c r="Y157" s="12"/>
      <c r="Z157" s="12"/>
      <c r="AA157" s="12"/>
      <c r="AB157" s="12"/>
      <c r="AC157" s="12"/>
      <c r="AD157" s="12"/>
    </row>
    <row r="158" spans="7:30" s="1" customFormat="1">
      <c r="G158" s="12"/>
      <c r="H158" s="12"/>
      <c r="I158" s="12"/>
      <c r="O158" s="12"/>
      <c r="P158" s="12"/>
      <c r="Q158" s="12"/>
      <c r="R158" s="12"/>
      <c r="S158" s="12"/>
      <c r="T158" s="12"/>
      <c r="U158" s="12"/>
      <c r="V158" s="12"/>
      <c r="W158" s="12"/>
      <c r="X158" s="12"/>
      <c r="Y158" s="12"/>
      <c r="Z158" s="12"/>
      <c r="AA158" s="12"/>
      <c r="AB158" s="12"/>
      <c r="AC158" s="12"/>
      <c r="AD158" s="12"/>
    </row>
    <row r="159" spans="7:30" s="1" customFormat="1">
      <c r="G159" s="12"/>
      <c r="H159" s="12"/>
      <c r="I159" s="12"/>
      <c r="O159" s="12"/>
      <c r="P159" s="12"/>
      <c r="Q159" s="12"/>
      <c r="R159" s="12"/>
      <c r="S159" s="12"/>
      <c r="T159" s="12"/>
      <c r="U159" s="12"/>
      <c r="V159" s="12"/>
      <c r="W159" s="12"/>
      <c r="X159" s="12"/>
      <c r="Y159" s="12"/>
      <c r="Z159" s="12"/>
      <c r="AA159" s="12"/>
      <c r="AB159" s="12"/>
      <c r="AC159" s="12"/>
      <c r="AD159" s="12"/>
    </row>
    <row r="160" spans="7:30" s="1" customFormat="1">
      <c r="G160" s="12"/>
      <c r="H160" s="12"/>
      <c r="I160" s="12"/>
      <c r="O160" s="12"/>
      <c r="P160" s="12"/>
      <c r="Q160" s="12"/>
      <c r="R160" s="12"/>
      <c r="S160" s="12"/>
      <c r="T160" s="12"/>
      <c r="U160" s="12"/>
      <c r="V160" s="12"/>
      <c r="W160" s="12"/>
      <c r="X160" s="12"/>
      <c r="Y160" s="12"/>
      <c r="Z160" s="12"/>
      <c r="AA160" s="12"/>
      <c r="AB160" s="12"/>
      <c r="AC160" s="12"/>
      <c r="AD160" s="12"/>
    </row>
    <row r="161" spans="7:30" s="1" customFormat="1">
      <c r="G161" s="12"/>
      <c r="H161" s="12"/>
      <c r="I161" s="12"/>
      <c r="O161" s="12"/>
      <c r="P161" s="12"/>
      <c r="Q161" s="12"/>
      <c r="R161" s="12"/>
      <c r="S161" s="12"/>
      <c r="T161" s="12"/>
      <c r="U161" s="12"/>
      <c r="V161" s="12"/>
      <c r="W161" s="12"/>
      <c r="X161" s="12"/>
      <c r="Y161" s="12"/>
      <c r="Z161" s="12"/>
      <c r="AA161" s="12"/>
      <c r="AB161" s="12"/>
      <c r="AC161" s="12"/>
      <c r="AD161" s="12"/>
    </row>
    <row r="162" spans="7:30" s="1" customFormat="1">
      <c r="G162" s="12"/>
      <c r="H162" s="12"/>
      <c r="I162" s="12"/>
      <c r="O162" s="12"/>
      <c r="P162" s="12"/>
      <c r="Q162" s="12"/>
      <c r="R162" s="12"/>
      <c r="S162" s="12"/>
      <c r="T162" s="12"/>
      <c r="U162" s="12"/>
      <c r="V162" s="12"/>
      <c r="W162" s="12"/>
      <c r="X162" s="12"/>
      <c r="Y162" s="12"/>
      <c r="Z162" s="12"/>
      <c r="AA162" s="12"/>
      <c r="AB162" s="12"/>
      <c r="AC162" s="12"/>
      <c r="AD162" s="12"/>
    </row>
    <row r="163" spans="7:30" s="1" customFormat="1">
      <c r="G163" s="12"/>
      <c r="H163" s="12"/>
      <c r="I163" s="12"/>
      <c r="O163" s="12"/>
      <c r="P163" s="12"/>
      <c r="Q163" s="12"/>
      <c r="R163" s="12"/>
      <c r="S163" s="12"/>
      <c r="T163" s="12"/>
      <c r="U163" s="12"/>
      <c r="V163" s="12"/>
      <c r="W163" s="12"/>
      <c r="X163" s="12"/>
      <c r="Y163" s="12"/>
      <c r="Z163" s="12"/>
      <c r="AA163" s="12"/>
      <c r="AB163" s="12"/>
      <c r="AC163" s="12"/>
      <c r="AD163" s="12"/>
    </row>
    <row r="164" spans="7:30" s="1" customFormat="1">
      <c r="G164" s="12"/>
      <c r="H164" s="12"/>
      <c r="I164" s="12"/>
      <c r="O164" s="12"/>
      <c r="P164" s="12"/>
      <c r="Q164" s="12"/>
      <c r="R164" s="12"/>
      <c r="S164" s="12"/>
      <c r="T164" s="12"/>
      <c r="U164" s="12"/>
      <c r="V164" s="12"/>
      <c r="W164" s="12"/>
      <c r="X164" s="12"/>
      <c r="Y164" s="12"/>
      <c r="Z164" s="12"/>
      <c r="AA164" s="12"/>
      <c r="AB164" s="12"/>
      <c r="AC164" s="12"/>
      <c r="AD164" s="12"/>
    </row>
    <row r="165" spans="7:30" s="1" customFormat="1">
      <c r="G165" s="12"/>
      <c r="H165" s="12"/>
      <c r="I165" s="12"/>
      <c r="O165" s="12"/>
      <c r="P165" s="12"/>
      <c r="Q165" s="12"/>
      <c r="R165" s="12"/>
      <c r="S165" s="12"/>
      <c r="T165" s="12"/>
      <c r="U165" s="12"/>
      <c r="V165" s="12"/>
      <c r="W165" s="12"/>
      <c r="X165" s="12"/>
      <c r="Y165" s="12"/>
      <c r="Z165" s="12"/>
      <c r="AA165" s="12"/>
      <c r="AB165" s="12"/>
      <c r="AC165" s="12"/>
      <c r="AD165" s="12"/>
    </row>
    <row r="166" spans="7:30" s="1" customFormat="1">
      <c r="G166" s="12"/>
      <c r="H166" s="12"/>
      <c r="I166" s="12"/>
      <c r="O166" s="12"/>
      <c r="P166" s="12"/>
      <c r="Q166" s="12"/>
      <c r="R166" s="12"/>
      <c r="S166" s="12"/>
      <c r="T166" s="12"/>
      <c r="U166" s="12"/>
      <c r="V166" s="12"/>
      <c r="W166" s="12"/>
      <c r="X166" s="12"/>
      <c r="Y166" s="12"/>
      <c r="Z166" s="12"/>
      <c r="AA166" s="12"/>
      <c r="AB166" s="12"/>
      <c r="AC166" s="12"/>
      <c r="AD166" s="12"/>
    </row>
    <row r="167" spans="7:30" s="1" customFormat="1">
      <c r="G167" s="12"/>
      <c r="H167" s="12"/>
      <c r="I167" s="12"/>
      <c r="O167" s="12"/>
      <c r="P167" s="12"/>
      <c r="Q167" s="12"/>
      <c r="R167" s="12"/>
      <c r="S167" s="12"/>
      <c r="T167" s="12"/>
      <c r="U167" s="12"/>
      <c r="V167" s="12"/>
      <c r="W167" s="12"/>
      <c r="X167" s="12"/>
      <c r="Y167" s="12"/>
      <c r="Z167" s="12"/>
      <c r="AA167" s="12"/>
      <c r="AB167" s="12"/>
      <c r="AC167" s="12"/>
      <c r="AD167" s="12"/>
    </row>
    <row r="168" spans="7:30" s="1" customFormat="1">
      <c r="G168" s="12"/>
      <c r="H168" s="12"/>
      <c r="I168" s="12"/>
      <c r="O168" s="12"/>
      <c r="P168" s="12"/>
      <c r="Q168" s="12"/>
      <c r="R168" s="12"/>
      <c r="S168" s="12"/>
      <c r="T168" s="12"/>
      <c r="U168" s="12"/>
      <c r="V168" s="12"/>
      <c r="W168" s="12"/>
      <c r="X168" s="12"/>
      <c r="Y168" s="12"/>
      <c r="Z168" s="12"/>
      <c r="AA168" s="12"/>
      <c r="AB168" s="12"/>
      <c r="AC168" s="12"/>
      <c r="AD168" s="12"/>
    </row>
    <row r="169" spans="7:30" s="1" customFormat="1">
      <c r="G169" s="12"/>
      <c r="H169" s="12"/>
      <c r="I169" s="12"/>
      <c r="O169" s="12"/>
      <c r="P169" s="12"/>
      <c r="Q169" s="12"/>
      <c r="R169" s="12"/>
      <c r="S169" s="12"/>
      <c r="T169" s="12"/>
      <c r="U169" s="12"/>
      <c r="V169" s="12"/>
      <c r="W169" s="12"/>
      <c r="X169" s="12"/>
      <c r="Y169" s="12"/>
      <c r="Z169" s="12"/>
      <c r="AA169" s="12"/>
      <c r="AB169" s="12"/>
      <c r="AC169" s="12"/>
      <c r="AD169" s="12"/>
    </row>
    <row r="170" spans="7:30" s="1" customFormat="1">
      <c r="G170" s="12"/>
      <c r="H170" s="12"/>
      <c r="I170" s="12"/>
      <c r="O170" s="12"/>
      <c r="P170" s="12"/>
      <c r="Q170" s="12"/>
      <c r="R170" s="12"/>
      <c r="S170" s="12"/>
      <c r="T170" s="12"/>
      <c r="U170" s="12"/>
      <c r="V170" s="12"/>
      <c r="W170" s="12"/>
      <c r="X170" s="12"/>
      <c r="Y170" s="12"/>
      <c r="Z170" s="12"/>
      <c r="AA170" s="12"/>
      <c r="AB170" s="12"/>
      <c r="AC170" s="12"/>
      <c r="AD170" s="12"/>
    </row>
    <row r="171" spans="7:30" s="1" customFormat="1">
      <c r="G171" s="12"/>
      <c r="H171" s="12"/>
      <c r="I171" s="12"/>
      <c r="O171" s="12"/>
      <c r="P171" s="12"/>
      <c r="Q171" s="12"/>
      <c r="R171" s="12"/>
      <c r="S171" s="12"/>
      <c r="T171" s="12"/>
      <c r="U171" s="12"/>
      <c r="V171" s="12"/>
      <c r="W171" s="12"/>
      <c r="X171" s="12"/>
      <c r="Y171" s="12"/>
      <c r="Z171" s="12"/>
      <c r="AA171" s="12"/>
      <c r="AB171" s="12"/>
      <c r="AC171" s="12"/>
      <c r="AD171" s="12"/>
    </row>
    <row r="172" spans="7:30" s="1" customFormat="1">
      <c r="G172" s="12"/>
      <c r="H172" s="12"/>
      <c r="I172" s="12"/>
      <c r="O172" s="12"/>
      <c r="P172" s="12"/>
      <c r="Q172" s="12"/>
      <c r="R172" s="12"/>
      <c r="S172" s="12"/>
      <c r="T172" s="12"/>
      <c r="U172" s="12"/>
      <c r="V172" s="12"/>
      <c r="W172" s="12"/>
      <c r="X172" s="12"/>
      <c r="Y172" s="12"/>
      <c r="Z172" s="12"/>
      <c r="AA172" s="12"/>
      <c r="AB172" s="12"/>
      <c r="AC172" s="12"/>
      <c r="AD172" s="12"/>
    </row>
    <row r="173" spans="7:30" s="1" customFormat="1">
      <c r="G173" s="12"/>
      <c r="H173" s="12"/>
      <c r="I173" s="12"/>
      <c r="O173" s="12"/>
      <c r="P173" s="12"/>
      <c r="Q173" s="12"/>
      <c r="R173" s="12"/>
      <c r="S173" s="12"/>
      <c r="T173" s="12"/>
      <c r="U173" s="12"/>
      <c r="V173" s="12"/>
      <c r="W173" s="12"/>
      <c r="X173" s="12"/>
      <c r="Y173" s="12"/>
      <c r="Z173" s="12"/>
      <c r="AA173" s="12"/>
      <c r="AB173" s="12"/>
      <c r="AC173" s="12"/>
      <c r="AD173" s="12"/>
    </row>
    <row r="174" spans="7:30" s="1" customFormat="1">
      <c r="G174" s="12"/>
      <c r="H174" s="12"/>
      <c r="I174" s="12"/>
      <c r="O174" s="12"/>
      <c r="P174" s="12"/>
      <c r="Q174" s="12"/>
      <c r="R174" s="12"/>
      <c r="S174" s="12"/>
      <c r="T174" s="12"/>
      <c r="U174" s="12"/>
      <c r="V174" s="12"/>
      <c r="W174" s="12"/>
      <c r="X174" s="12"/>
      <c r="Y174" s="12"/>
      <c r="Z174" s="12"/>
      <c r="AA174" s="12"/>
      <c r="AB174" s="12"/>
      <c r="AC174" s="12"/>
      <c r="AD174" s="12"/>
    </row>
    <row r="175" spans="7:30" s="1" customFormat="1">
      <c r="G175" s="12"/>
      <c r="H175" s="12"/>
      <c r="I175" s="12"/>
      <c r="O175" s="12"/>
      <c r="P175" s="12"/>
      <c r="Q175" s="12"/>
      <c r="R175" s="12"/>
      <c r="S175" s="12"/>
      <c r="T175" s="12"/>
      <c r="U175" s="12"/>
      <c r="V175" s="12"/>
      <c r="W175" s="12"/>
      <c r="X175" s="12"/>
      <c r="Y175" s="12"/>
      <c r="Z175" s="12"/>
      <c r="AA175" s="12"/>
      <c r="AB175" s="12"/>
      <c r="AC175" s="12"/>
      <c r="AD175" s="12"/>
    </row>
    <row r="176" spans="7:30" s="1" customFormat="1">
      <c r="G176" s="12"/>
      <c r="H176" s="12"/>
      <c r="I176" s="12"/>
      <c r="O176" s="12"/>
      <c r="P176" s="12"/>
      <c r="Q176" s="12"/>
      <c r="R176" s="12"/>
      <c r="S176" s="12"/>
      <c r="T176" s="12"/>
      <c r="U176" s="12"/>
      <c r="V176" s="12"/>
      <c r="W176" s="12"/>
      <c r="X176" s="12"/>
      <c r="Y176" s="12"/>
      <c r="Z176" s="12"/>
      <c r="AA176" s="12"/>
      <c r="AB176" s="12"/>
      <c r="AC176" s="12"/>
      <c r="AD176" s="12"/>
    </row>
    <row r="177" spans="7:30" s="1" customFormat="1">
      <c r="G177" s="12"/>
      <c r="H177" s="12"/>
      <c r="I177" s="12"/>
      <c r="O177" s="12"/>
      <c r="P177" s="12"/>
      <c r="Q177" s="12"/>
      <c r="R177" s="12"/>
      <c r="S177" s="12"/>
      <c r="T177" s="12"/>
      <c r="U177" s="12"/>
      <c r="V177" s="12"/>
      <c r="W177" s="12"/>
      <c r="X177" s="12"/>
      <c r="Y177" s="12"/>
      <c r="Z177" s="12"/>
      <c r="AA177" s="12"/>
      <c r="AB177" s="12"/>
      <c r="AC177" s="12"/>
      <c r="AD177" s="12"/>
    </row>
    <row r="178" spans="7:30" s="1" customFormat="1">
      <c r="G178" s="12"/>
      <c r="H178" s="12"/>
      <c r="I178" s="12"/>
      <c r="O178" s="12"/>
      <c r="P178" s="12"/>
      <c r="Q178" s="12"/>
      <c r="R178" s="12"/>
      <c r="S178" s="12"/>
      <c r="T178" s="12"/>
      <c r="U178" s="12"/>
      <c r="V178" s="12"/>
      <c r="W178" s="12"/>
      <c r="X178" s="12"/>
      <c r="Y178" s="12"/>
      <c r="Z178" s="12"/>
      <c r="AA178" s="12"/>
      <c r="AB178" s="12"/>
      <c r="AC178" s="12"/>
      <c r="AD178" s="12"/>
    </row>
    <row r="179" spans="7:30" s="1" customFormat="1">
      <c r="G179" s="12"/>
      <c r="H179" s="12"/>
      <c r="I179" s="12"/>
      <c r="O179" s="12"/>
      <c r="P179" s="12"/>
      <c r="Q179" s="12"/>
      <c r="R179" s="12"/>
      <c r="S179" s="12"/>
      <c r="T179" s="12"/>
      <c r="U179" s="12"/>
      <c r="V179" s="12"/>
      <c r="W179" s="12"/>
      <c r="X179" s="12"/>
      <c r="Y179" s="12"/>
      <c r="Z179" s="12"/>
      <c r="AA179" s="12"/>
      <c r="AB179" s="12"/>
      <c r="AC179" s="12"/>
      <c r="AD179" s="12"/>
    </row>
    <row r="180" spans="7:30" s="1" customFormat="1">
      <c r="G180" s="12"/>
      <c r="H180" s="12"/>
      <c r="I180" s="12"/>
      <c r="O180" s="12"/>
      <c r="P180" s="12"/>
      <c r="Q180" s="12"/>
      <c r="R180" s="12"/>
      <c r="S180" s="12"/>
      <c r="T180" s="12"/>
      <c r="U180" s="12"/>
      <c r="V180" s="12"/>
      <c r="W180" s="12"/>
      <c r="X180" s="12"/>
      <c r="Y180" s="12"/>
      <c r="Z180" s="12"/>
      <c r="AA180" s="12"/>
      <c r="AB180" s="12"/>
      <c r="AC180" s="12"/>
      <c r="AD180" s="12"/>
    </row>
    <row r="181" spans="7:30" s="1" customFormat="1">
      <c r="G181" s="12"/>
      <c r="H181" s="12"/>
      <c r="I181" s="12"/>
      <c r="O181" s="12"/>
      <c r="P181" s="12"/>
      <c r="Q181" s="12"/>
      <c r="R181" s="12"/>
      <c r="S181" s="12"/>
      <c r="T181" s="12"/>
      <c r="U181" s="12"/>
      <c r="V181" s="12"/>
      <c r="W181" s="12"/>
      <c r="X181" s="12"/>
      <c r="Y181" s="12"/>
      <c r="Z181" s="12"/>
      <c r="AA181" s="12"/>
      <c r="AB181" s="12"/>
      <c r="AC181" s="12"/>
      <c r="AD181" s="12"/>
    </row>
    <row r="182" spans="7:30" s="1" customFormat="1">
      <c r="G182" s="12"/>
      <c r="H182" s="12"/>
      <c r="I182" s="12"/>
      <c r="O182" s="12"/>
      <c r="P182" s="12"/>
      <c r="Q182" s="12"/>
      <c r="R182" s="12"/>
      <c r="S182" s="12"/>
      <c r="T182" s="12"/>
      <c r="U182" s="12"/>
      <c r="V182" s="12"/>
      <c r="W182" s="12"/>
      <c r="X182" s="12"/>
      <c r="Y182" s="12"/>
      <c r="Z182" s="12"/>
      <c r="AA182" s="12"/>
      <c r="AB182" s="12"/>
      <c r="AC182" s="12"/>
      <c r="AD182" s="12"/>
    </row>
    <row r="183" spans="7:30" s="1" customFormat="1">
      <c r="G183" s="12"/>
      <c r="H183" s="12"/>
      <c r="I183" s="12"/>
      <c r="O183" s="12"/>
      <c r="P183" s="12"/>
      <c r="Q183" s="12"/>
      <c r="R183" s="12"/>
      <c r="S183" s="12"/>
      <c r="T183" s="12"/>
      <c r="U183" s="12"/>
      <c r="V183" s="12"/>
      <c r="W183" s="12"/>
      <c r="X183" s="12"/>
      <c r="Y183" s="12"/>
      <c r="Z183" s="12"/>
      <c r="AA183" s="12"/>
      <c r="AB183" s="12"/>
      <c r="AC183" s="12"/>
      <c r="AD183" s="12"/>
    </row>
    <row r="184" spans="7:30" s="1" customFormat="1">
      <c r="G184" s="12"/>
      <c r="H184" s="12"/>
      <c r="I184" s="12"/>
      <c r="O184" s="12"/>
      <c r="P184" s="12"/>
      <c r="Q184" s="12"/>
      <c r="R184" s="12"/>
      <c r="S184" s="12"/>
      <c r="T184" s="12"/>
      <c r="U184" s="12"/>
      <c r="V184" s="12"/>
      <c r="W184" s="12"/>
      <c r="X184" s="12"/>
      <c r="Y184" s="12"/>
      <c r="Z184" s="12"/>
      <c r="AA184" s="12"/>
      <c r="AB184" s="12"/>
      <c r="AC184" s="12"/>
      <c r="AD184" s="12"/>
    </row>
    <row r="185" spans="7:30" s="1" customFormat="1">
      <c r="G185" s="12"/>
      <c r="H185" s="12"/>
      <c r="I185" s="12"/>
      <c r="O185" s="12"/>
      <c r="P185" s="12"/>
      <c r="Q185" s="12"/>
      <c r="R185" s="12"/>
      <c r="S185" s="12"/>
      <c r="T185" s="12"/>
      <c r="U185" s="12"/>
      <c r="V185" s="12"/>
      <c r="W185" s="12"/>
      <c r="X185" s="12"/>
      <c r="Y185" s="12"/>
      <c r="Z185" s="12"/>
      <c r="AA185" s="12"/>
      <c r="AB185" s="12"/>
      <c r="AC185" s="12"/>
      <c r="AD185" s="12"/>
    </row>
    <row r="186" spans="7:30" s="1" customFormat="1">
      <c r="G186" s="12"/>
      <c r="H186" s="12"/>
      <c r="I186" s="12"/>
      <c r="O186" s="12"/>
      <c r="P186" s="12"/>
      <c r="Q186" s="12"/>
      <c r="R186" s="12"/>
      <c r="S186" s="12"/>
      <c r="T186" s="12"/>
      <c r="U186" s="12"/>
      <c r="V186" s="12"/>
      <c r="W186" s="12"/>
      <c r="X186" s="12"/>
      <c r="Y186" s="12"/>
      <c r="Z186" s="12"/>
      <c r="AA186" s="12"/>
      <c r="AB186" s="12"/>
      <c r="AC186" s="12"/>
      <c r="AD186" s="12"/>
    </row>
  </sheetData>
  <sheetProtection algorithmName="SHA-512" hashValue="6fm2cMy7oQaPkJi6jCFZuf87shUO/yV6d/fvLmIo5h/T9dvZg7XmqYEAb1dLn0k1TbAzYtp0Bck+Blpg0JB26Q==" saltValue="r0DBcarWJNGKc9L1zOp8/g==" spinCount="100000" sheet="1" formatCells="0"/>
  <sortState xmlns:xlrd2="http://schemas.microsoft.com/office/spreadsheetml/2017/richdata2" ref="AF82:AF86">
    <sortCondition ref="AF82"/>
  </sortState>
  <dataConsolidate/>
  <mergeCells count="5">
    <mergeCell ref="B46:F46"/>
    <mergeCell ref="B49:F49"/>
    <mergeCell ref="B40:F40"/>
    <mergeCell ref="B35:C35"/>
    <mergeCell ref="E35:F35"/>
  </mergeCells>
  <phoneticPr fontId="19" type="noConversion"/>
  <conditionalFormatting sqref="E17:F17">
    <cfRule type="expression" dxfId="4158" priority="10">
      <formula>$F$5=$AE$5</formula>
    </cfRule>
    <cfRule type="expression" dxfId="4157" priority="598">
      <formula>$F$5&lt;&gt;$L$5</formula>
    </cfRule>
  </conditionalFormatting>
  <conditionalFormatting sqref="E16:F16 E17">
    <cfRule type="expression" dxfId="4156" priority="600">
      <formula>$F$5&lt;&gt;$L$5</formula>
    </cfRule>
  </conditionalFormatting>
  <conditionalFormatting sqref="E13:F13">
    <cfRule type="expression" dxfId="4155" priority="603">
      <formula>$F$5&lt;&gt;$L$9</formula>
    </cfRule>
  </conditionalFormatting>
  <conditionalFormatting sqref="E21:F21">
    <cfRule type="expression" dxfId="4154" priority="20">
      <formula>$H$21=0</formula>
    </cfRule>
  </conditionalFormatting>
  <conditionalFormatting sqref="E16:F16">
    <cfRule type="expression" dxfId="4153" priority="11">
      <formula>$F$5=$AE$5</formula>
    </cfRule>
  </conditionalFormatting>
  <conditionalFormatting sqref="E20:F20 E22:F22">
    <cfRule type="expression" dxfId="4152" priority="9">
      <formula>$F$5=$AE$5</formula>
    </cfRule>
  </conditionalFormatting>
  <conditionalFormatting sqref="E18:F27">
    <cfRule type="expression" dxfId="4151" priority="8">
      <formula>$I18=0</formula>
    </cfRule>
  </conditionalFormatting>
  <conditionalFormatting sqref="F18:F27">
    <cfRule type="expression" dxfId="4150" priority="7">
      <formula>$I18=1</formula>
    </cfRule>
  </conditionalFormatting>
  <conditionalFormatting sqref="E28:F28">
    <cfRule type="expression" dxfId="4149" priority="6">
      <formula>$I28=0</formula>
    </cfRule>
  </conditionalFormatting>
  <conditionalFormatting sqref="F28">
    <cfRule type="expression" dxfId="4148" priority="5">
      <formula>$I28=1</formula>
    </cfRule>
  </conditionalFormatting>
  <conditionalFormatting sqref="E15:F15">
    <cfRule type="expression" dxfId="4147" priority="2">
      <formula>$I15=0</formula>
    </cfRule>
  </conditionalFormatting>
  <conditionalFormatting sqref="F15">
    <cfRule type="expression" dxfId="4146" priority="1">
      <formula>$I15=1</formula>
    </cfRule>
  </conditionalFormatting>
  <dataValidations xWindow="982" yWindow="379" count="28">
    <dataValidation type="list" allowBlank="1" showInputMessage="1" showErrorMessage="1" sqref="P98" xr:uid="{00000000-0002-0000-0100-000000000000}">
      <formula1>$P$96:$P$97</formula1>
    </dataValidation>
    <dataValidation allowBlank="1" showErrorMessage="1" sqref="F12:F13 C6 C14:C17 C23:C32 E34" xr:uid="{00000000-0002-0000-0100-000001000000}"/>
    <dataValidation allowBlank="1" showInputMessage="1" showErrorMessage="1" prompt="This is the building address that will appear on the BREEAM certificate and GreenBook Live listing." sqref="B16" xr:uid="{00000000-0002-0000-0100-000002000000}"/>
    <dataValidation allowBlank="1" showInputMessage="1" showErrorMessage="1" prompt="This is a unique reference number supplied by BRE at project registration. If you wish to use this tool to begin an assessment but do not have a reference number, then enter &quot;to be confirmed&quot; in this field (and enter the reference number at a later date)." sqref="C5" xr:uid="{00000000-0002-0000-0100-000003000000}"/>
    <dataValidation allowBlank="1" showInputMessage="1" showErrorMessage="1" promptTitle="Building name" prompt="If you are unable to confirm this information at present, then enter &quot;to be confirmed&quot; in this field (and confirm at a later date)" sqref="C13" xr:uid="{00000000-0002-0000-0100-000004000000}"/>
    <dataValidation type="list" allowBlank="1" showErrorMessage="1" error="Incorrect entry, please re-try." sqref="R80" xr:uid="{00000000-0002-0000-0100-000005000000}">
      <formula1>ADAS01</formula1>
    </dataValidation>
    <dataValidation allowBlank="1" showInputMessage="1" showErrorMessage="1" error="Invalid data entry, please retry." prompt="This information will determine, in part, the applicability of BREEAM issue Ene07 and the number of credits available for BREEAM issue Hea02, when the criteria have been finalised for laboratory facilities." sqref="P43" xr:uid="{00000000-0002-0000-0100-000006000000}"/>
    <dataValidation type="list" allowBlank="1" showErrorMessage="1" error="Invalid data entry, please retry." sqref="F21" xr:uid="{00000000-0002-0000-0100-000007000000}">
      <formula1>AD_Labsize_list</formula1>
    </dataValidation>
    <dataValidation type="list" showErrorMessage="1" error="Invalid data entry, please retry." sqref="F16:F17" xr:uid="{00000000-0002-0000-0100-000009000000}">
      <formula1>AD_YesNo</formula1>
    </dataValidation>
    <dataValidation type="list" allowBlank="1" showErrorMessage="1" error="Invalid data entry, please retry." sqref="F18:F19 P69 F22:F24 F26:F28" xr:uid="{00000000-0002-0000-0100-00000A000000}">
      <formula1>AD_YesNo</formula1>
    </dataValidation>
    <dataValidation type="list" allowBlank="1" showInputMessage="1" showErrorMessage="1" sqref="P64" xr:uid="{00000000-0002-0000-0100-00000B000000}">
      <formula1>TRA01_BuildType</formula1>
    </dataValidation>
    <dataValidation allowBlank="1" showInputMessage="1" showErrorMessage="1" prompt="Insert an electornic signature here." sqref="C61" xr:uid="{00000000-0002-0000-0100-00000C000000}"/>
    <dataValidation type="list" allowBlank="1" showInputMessage="1" showErrorMessage="1" error="Invalid data entry, please re-try" sqref="R81" xr:uid="{00000000-0002-0000-0100-00000D000000}">
      <formula1>AD_BREEAM_stage</formula1>
    </dataValidation>
    <dataValidation allowBlank="1" showInputMessage="1" showErrorMessage="1" error="Invalid data entry, please retry." sqref="F30:F32" xr:uid="{00000000-0002-0000-0100-00000E000000}"/>
    <dataValidation type="list" allowBlank="1" showInputMessage="1" showErrorMessage="1" error="Invalid data entry, please re-try" sqref="R82" xr:uid="{00000000-0002-0000-0100-000010000000}">
      <formula1>$Q$8</formula1>
    </dataValidation>
    <dataValidation allowBlank="1" showErrorMessage="1" prompt=" " sqref="F11" xr:uid="{00000000-0002-0000-0100-000011000000}"/>
    <dataValidation allowBlank="1" showInputMessage="1" showErrorMessage="1" prompt="Bruksareal (BRA) er arealet innenfor omsluttede vegger, ref NS 3940:2012" sqref="E11" xr:uid="{00000000-0002-0000-0100-000012000000}"/>
    <dataValidation allowBlank="1" showInputMessage="1" showErrorMessage="1" prompt="Bruttoareal (BTA) er arealet begrenset av ytterveggens utside eller midt i delevegg, ref NS 3940:2012" sqref="E12" xr:uid="{00000000-0002-0000-0100-000013000000}"/>
    <dataValidation allowBlank="1" showInputMessage="1" showErrorMessage="1" prompt="Det er ingen definisjon av BRAs (salgbart bruksareal) iht. NS 3940:2012. BRAs er den enkelte leilighets BRA, det vil si areal innenfor omsluttende vegger i leiligheten. " sqref="E13" xr:uid="{00000000-0002-0000-0100-000014000000}"/>
    <dataValidation type="list" allowBlank="1" showErrorMessage="1" error="Please review, your data entry is invalid." sqref="F6" xr:uid="{00000000-0002-0000-0100-000015000000}">
      <formula1>$O$5:$O$13</formula1>
    </dataValidation>
    <dataValidation type="list" allowBlank="1" showInputMessage="1" showErrorMessage="1" error="Invalid data entry, please retry." prompt="This information determines the applicability of BREEAM issue Ene02a." sqref="G77:I77 Q42" xr:uid="{00000000-0002-0000-0100-000017000000}">
      <formula1>AD_YesNo</formula1>
    </dataValidation>
    <dataValidation allowBlank="1" showErrorMessage="1" prompt="Please state the company name." sqref="B35" xr:uid="{00000000-0002-0000-0100-000019000000}"/>
    <dataValidation allowBlank="1" showInputMessage="1" showErrorMessage="1" promptTitle="Building description" prompt="Include a brief description og the building (layout, number of floors, etc.). Indicate what is included and if there are any areas excluded from the assessment." sqref="E35:F35" xr:uid="{00000000-0002-0000-0100-00001B000000}"/>
    <dataValidation type="list" allowBlank="1" showErrorMessage="1" error="Please review, your data entry is invalid." sqref="F5" xr:uid="{00000000-0002-0000-0100-00000F000000}">
      <formula1>$L$5:$L$17</formula1>
    </dataValidation>
    <dataValidation type="list" allowBlank="1" showErrorMessage="1" error="Invalid data entry, please retry." sqref="F20" xr:uid="{7FC0A853-413C-49C1-B2DE-3EAE9BFE3F89}">
      <formula1>$Q$51:$Q$54</formula1>
    </dataValidation>
    <dataValidation type="list" allowBlank="1" showErrorMessage="1" error="Invalid data entry, please retry." sqref="F25" xr:uid="{10067917-375C-485B-8027-3530AE81B846}">
      <formula1>$J$30:$J$31</formula1>
    </dataValidation>
    <dataValidation type="list" allowBlank="1" showErrorMessage="1" error="Incorrect entry, please retry." sqref="F7" xr:uid="{00000000-0002-0000-0100-000016000000}">
      <formula1>$Q$11:$Q$13</formula1>
    </dataValidation>
    <dataValidation type="list" allowBlank="1" showErrorMessage="1" error="Invalid data entry, please retry." sqref="F15" xr:uid="{564102FE-95DE-4AC4-BF96-683EC33772D0}">
      <formula1>$R$22:$R$23</formula1>
    </dataValidation>
  </dataValidations>
  <printOptions horizontalCentered="1"/>
  <pageMargins left="0.23622047244094491" right="0.23622047244094491" top="0.32" bottom="0.41" header="0.31496062992125984" footer="0.31496062992125984"/>
  <pageSetup paperSize="9" scale="52" orientation="landscape" errors="blank" r:id="rId1"/>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5" id="{240F26BE-6750-453C-920D-0E16B2A89131}">
            <xm:f>'Manuell filtrering og justering'!$I$2='Manuell filtrering og justering'!$J$2</xm:f>
            <x14:dxf>
              <border>
                <top style="thin">
                  <color theme="0"/>
                </top>
                <vertical/>
                <horizontal/>
              </border>
            </x14:dxf>
          </x14:cfRule>
          <xm:sqref>B17</xm:sqref>
        </x14:conditionalFormatting>
        <x14:conditionalFormatting xmlns:xm="http://schemas.microsoft.com/office/excel/2006/main">
          <x14:cfRule type="expression" priority="24" id="{15BD1200-67FE-42E0-955A-22C5BFC5B389}">
            <xm:f>'Manuell filtrering og justering'!$I$2='Manuell filtrering og justering'!$J$2</xm:f>
            <x14:dxf>
              <border>
                <top style="thin">
                  <color auto="1"/>
                </top>
                <vertical/>
                <horizontal/>
              </border>
            </x14:dxf>
          </x14:cfRule>
          <xm:sqref>C17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386"/>
  <sheetViews>
    <sheetView zoomScale="85" zoomScaleNormal="85" zoomScalePageLayoutView="30" workbookViewId="0">
      <pane ySplit="9" topLeftCell="A10" activePane="bottomLeft" state="frozen"/>
      <selection pane="bottomLeft" activeCell="Z8" sqref="Z8"/>
    </sheetView>
  </sheetViews>
  <sheetFormatPr defaultColWidth="9.140625" defaultRowHeight="15"/>
  <cols>
    <col min="1" max="1" width="3.28515625" style="14" customWidth="1"/>
    <col min="2" max="2" width="3.42578125" style="14" customWidth="1"/>
    <col min="3" max="3" width="7.85546875" style="14" customWidth="1"/>
    <col min="4" max="4" width="9.5703125" style="50" hidden="1" customWidth="1"/>
    <col min="5" max="5" width="74.140625" style="1" customWidth="1"/>
    <col min="6" max="6" width="9.42578125" style="1" customWidth="1"/>
    <col min="7" max="7" width="7.42578125" style="1" customWidth="1"/>
    <col min="8" max="8" width="9.5703125" style="1" customWidth="1"/>
    <col min="9" max="9" width="13.140625" style="1" customWidth="1"/>
    <col min="10" max="10" width="8.140625" style="1" customWidth="1"/>
    <col min="11" max="11" width="5.140625" style="1" customWidth="1"/>
    <col min="12" max="12" width="30" style="596" customWidth="1"/>
    <col min="13" max="13" width="1" style="97" customWidth="1"/>
    <col min="14" max="14" width="8.5703125" style="599" customWidth="1"/>
    <col min="15" max="15" width="9.5703125" style="599" customWidth="1"/>
    <col min="16" max="16" width="12.42578125" style="599" bestFit="1" customWidth="1"/>
    <col min="17" max="17" width="9" style="599" customWidth="1"/>
    <col min="18" max="18" width="4.85546875" style="599" customWidth="1"/>
    <col min="19" max="19" width="24.28515625" style="599" customWidth="1"/>
    <col min="20" max="20" width="1" style="108" customWidth="1"/>
    <col min="21" max="22" width="9.28515625" style="217" customWidth="1"/>
    <col min="23" max="23" width="12.42578125" style="217" bestFit="1" customWidth="1"/>
    <col min="24" max="24" width="7.7109375" style="217" customWidth="1"/>
    <col min="25" max="25" width="4.85546875" style="217" customWidth="1"/>
    <col min="26" max="26" width="26.7109375" style="599" customWidth="1"/>
    <col min="27" max="27" width="3.5703125" style="17" hidden="1" customWidth="1"/>
    <col min="28" max="28" width="21.42578125" style="17" hidden="1" customWidth="1"/>
    <col min="29" max="29" width="6.42578125" style="107" hidden="1" customWidth="1"/>
    <col min="30" max="30" width="15.7109375" style="216" hidden="1" customWidth="1"/>
    <col min="31" max="32" width="9.140625" style="216" hidden="1" customWidth="1"/>
    <col min="33" max="34" width="9.140625" style="1" hidden="1" customWidth="1"/>
    <col min="35" max="35" width="7.140625" style="1" hidden="1" customWidth="1"/>
    <col min="36" max="36" width="43" style="1" hidden="1" customWidth="1"/>
    <col min="37" max="37" width="11.85546875" style="1" hidden="1" customWidth="1"/>
    <col min="38" max="38" width="27" style="1" hidden="1" customWidth="1"/>
    <col min="39" max="42" width="8.5703125" style="1" hidden="1" customWidth="1"/>
    <col min="43" max="51" width="9.140625" style="1" hidden="1" customWidth="1"/>
    <col min="52" max="52" width="7" style="1" hidden="1" customWidth="1"/>
    <col min="53" max="53" width="9.140625" style="1" hidden="1" customWidth="1"/>
    <col min="54" max="86" width="9.140625" style="1" customWidth="1"/>
    <col min="87" max="16384" width="9.140625" style="1"/>
  </cols>
  <sheetData>
    <row r="1" spans="1:58" ht="42" customHeight="1">
      <c r="A1" s="822"/>
      <c r="B1" s="822"/>
      <c r="C1" s="822"/>
      <c r="D1" s="575"/>
      <c r="E1" s="222" t="s">
        <v>222</v>
      </c>
      <c r="F1" s="223"/>
      <c r="G1" s="223"/>
      <c r="H1" s="222"/>
      <c r="I1" s="223"/>
      <c r="J1" s="223"/>
      <c r="K1" s="223"/>
      <c r="L1" s="893"/>
      <c r="M1" s="223"/>
      <c r="N1" s="223"/>
      <c r="O1" s="223"/>
      <c r="P1" s="223"/>
      <c r="Q1" s="223"/>
      <c r="R1" s="223"/>
      <c r="S1" s="223"/>
      <c r="T1" s="223"/>
      <c r="U1" s="223"/>
      <c r="V1" s="223"/>
      <c r="W1" s="223"/>
      <c r="X1" s="223"/>
      <c r="Y1" s="223"/>
      <c r="Z1" s="492" t="str">
        <f>IF('Manuell filtrering og justering'!I2='Manuell filtrering og justering'!J2,"Bespoke","")</f>
        <v/>
      </c>
      <c r="AA1" s="223"/>
      <c r="AB1" s="223"/>
      <c r="AC1" s="223"/>
      <c r="AD1" s="1"/>
      <c r="AE1" s="1"/>
      <c r="AF1" s="1"/>
      <c r="AI1" s="520" t="s">
        <v>223</v>
      </c>
      <c r="AJ1" s="519"/>
      <c r="AK1" s="519"/>
      <c r="AL1" s="519"/>
      <c r="AM1" s="519"/>
      <c r="AN1" s="519"/>
      <c r="AO1" s="519"/>
      <c r="AP1" s="519"/>
      <c r="AQ1" s="519"/>
      <c r="AR1" s="519"/>
      <c r="AS1" s="519"/>
      <c r="AT1" s="519"/>
      <c r="AU1" s="519"/>
      <c r="AV1" s="519"/>
      <c r="AW1" s="519"/>
      <c r="AX1" s="519"/>
      <c r="AY1" s="519"/>
      <c r="AZ1" s="519"/>
      <c r="BA1" s="519"/>
    </row>
    <row r="2" spans="1:58" s="50" customFormat="1" ht="6" customHeight="1">
      <c r="A2" s="14"/>
      <c r="B2" s="14"/>
      <c r="C2" s="14"/>
      <c r="E2" s="80">
        <v>1</v>
      </c>
      <c r="F2" s="81">
        <v>2</v>
      </c>
      <c r="G2" s="80">
        <v>3</v>
      </c>
      <c r="H2" s="81">
        <v>4</v>
      </c>
      <c r="I2" s="80">
        <v>5</v>
      </c>
      <c r="J2" s="81">
        <v>6</v>
      </c>
      <c r="K2" s="80">
        <v>7</v>
      </c>
      <c r="L2" s="81">
        <v>8</v>
      </c>
      <c r="M2" s="80">
        <v>9</v>
      </c>
      <c r="N2" s="81">
        <v>10</v>
      </c>
      <c r="O2" s="80">
        <v>11</v>
      </c>
      <c r="P2" s="81">
        <v>12</v>
      </c>
      <c r="Q2" s="80">
        <v>13</v>
      </c>
      <c r="R2" s="81">
        <v>14</v>
      </c>
      <c r="S2" s="80">
        <v>15</v>
      </c>
      <c r="T2" s="81">
        <v>16</v>
      </c>
      <c r="U2" s="80">
        <v>17</v>
      </c>
      <c r="V2" s="81">
        <v>18</v>
      </c>
      <c r="W2" s="80">
        <v>19</v>
      </c>
      <c r="X2" s="81">
        <v>20</v>
      </c>
      <c r="Y2" s="80">
        <v>21</v>
      </c>
      <c r="Z2" s="81">
        <v>22</v>
      </c>
      <c r="AA2" s="80">
        <v>23</v>
      </c>
      <c r="AB2" s="81">
        <v>24</v>
      </c>
      <c r="AC2" s="80">
        <v>25</v>
      </c>
      <c r="AD2" s="81">
        <v>26</v>
      </c>
      <c r="AE2" s="80">
        <v>27</v>
      </c>
      <c r="AF2" s="81">
        <v>28</v>
      </c>
      <c r="AG2" s="80">
        <v>29</v>
      </c>
      <c r="AH2" s="81">
        <v>30</v>
      </c>
      <c r="AI2" s="80">
        <v>31</v>
      </c>
      <c r="AJ2" s="81">
        <v>32</v>
      </c>
      <c r="AK2" s="80">
        <v>33</v>
      </c>
      <c r="AL2" s="81">
        <v>34</v>
      </c>
      <c r="AM2" s="80">
        <v>35</v>
      </c>
      <c r="AN2" s="81">
        <v>36</v>
      </c>
      <c r="AO2" s="80">
        <v>37</v>
      </c>
      <c r="AP2" s="81">
        <v>38</v>
      </c>
      <c r="AQ2" s="80">
        <v>39</v>
      </c>
      <c r="AR2" s="81">
        <v>40</v>
      </c>
      <c r="AS2" s="80">
        <v>41</v>
      </c>
      <c r="AT2" s="81">
        <v>42</v>
      </c>
      <c r="AU2" s="80">
        <v>43</v>
      </c>
      <c r="AV2" s="81">
        <v>44</v>
      </c>
      <c r="AW2" s="80">
        <v>45</v>
      </c>
      <c r="AX2" s="81">
        <v>46</v>
      </c>
      <c r="AY2" s="80">
        <v>47</v>
      </c>
      <c r="AZ2" s="81">
        <v>48</v>
      </c>
      <c r="BA2" s="80">
        <v>49</v>
      </c>
    </row>
    <row r="3" spans="1:58" ht="20.25" customHeight="1">
      <c r="E3" s="237"/>
      <c r="F3" s="1130"/>
      <c r="G3" s="1013" t="s">
        <v>224</v>
      </c>
      <c r="H3" s="1014"/>
      <c r="I3" s="1014"/>
      <c r="J3" s="1014"/>
      <c r="K3" s="1014"/>
      <c r="L3" s="578"/>
      <c r="M3" s="634"/>
      <c r="N3" s="1013" t="s">
        <v>225</v>
      </c>
      <c r="O3" s="1014"/>
      <c r="P3" s="1014"/>
      <c r="Q3" s="1014"/>
      <c r="R3" s="1014"/>
      <c r="S3" s="1015"/>
      <c r="T3" s="526"/>
      <c r="U3" s="1013" t="s">
        <v>226</v>
      </c>
      <c r="V3" s="1014"/>
      <c r="W3" s="1014"/>
      <c r="X3" s="1014"/>
      <c r="Y3" s="1014"/>
      <c r="Z3" s="1015"/>
      <c r="AA3" s="526"/>
      <c r="AB3" s="533" t="s">
        <v>227</v>
      </c>
      <c r="AC3" s="493"/>
      <c r="AD3" s="493"/>
      <c r="AE3" s="493"/>
      <c r="AF3" s="494"/>
      <c r="AJ3" s="1" t="s">
        <v>228</v>
      </c>
      <c r="AK3" s="1" t="str">
        <f>ADPT</f>
        <v>New Construction (fully fitted)</v>
      </c>
    </row>
    <row r="4" spans="1:58" ht="15" customHeight="1">
      <c r="E4" s="82" t="s">
        <v>94</v>
      </c>
      <c r="F4" s="79"/>
      <c r="G4" s="83" t="s">
        <v>229</v>
      </c>
      <c r="H4" s="84"/>
      <c r="I4" s="795"/>
      <c r="J4" s="795"/>
      <c r="K4" s="796"/>
      <c r="L4" s="85" t="str">
        <f>BP_BREEAMRating</f>
        <v>Unclassified</v>
      </c>
      <c r="M4" s="579"/>
      <c r="N4" s="744" t="str">
        <f>IF(S8=Poeng!D277,Poeng!E277,Poeng!F277)</f>
        <v>To activate select YES in cell S8</v>
      </c>
      <c r="O4" s="635"/>
      <c r="P4" s="635"/>
      <c r="Q4" s="635"/>
      <c r="R4" s="635"/>
      <c r="S4" s="636" t="str">
        <f>IF(S8=AD_no,"",Poeng!BH264)</f>
        <v/>
      </c>
      <c r="T4" s="68"/>
      <c r="U4" s="746" t="str">
        <f>IF(Z8=Poeng!D277,Poeng!E278,Poeng!F278)</f>
        <v>To activate select YES in cell Z8</v>
      </c>
      <c r="V4" s="637"/>
      <c r="W4" s="637"/>
      <c r="X4" s="637"/>
      <c r="Y4" s="637"/>
      <c r="Z4" s="636" t="str">
        <f>IF(Z8=AD_no,"",Poeng!BK264)</f>
        <v/>
      </c>
      <c r="AA4" s="79"/>
      <c r="AB4" s="1016" t="s">
        <v>230</v>
      </c>
      <c r="AC4" s="17"/>
      <c r="AD4" s="13"/>
      <c r="AE4" s="13"/>
      <c r="AF4" s="13"/>
      <c r="AG4" s="13"/>
      <c r="AJ4" s="32" t="str">
        <f>IF(OR(AK3=AK4,AK3=AK5),ais_ja,ais_nei)</f>
        <v>Nei</v>
      </c>
      <c r="AK4" s="1" t="str">
        <f>ADPT02</f>
        <v>New Construction (shell only)</v>
      </c>
      <c r="AU4" s="15"/>
      <c r="AV4" s="15"/>
      <c r="AW4" s="15"/>
      <c r="AX4" s="15"/>
    </row>
    <row r="5" spans="1:58" ht="15" customHeight="1">
      <c r="E5" s="86" t="str">
        <f>IF(ISBLANK(ADBN),"",ADBN)</f>
        <v/>
      </c>
      <c r="F5" s="79"/>
      <c r="G5" s="87" t="s">
        <v>231</v>
      </c>
      <c r="H5" s="88"/>
      <c r="I5" s="797"/>
      <c r="J5" s="797"/>
      <c r="K5" s="89"/>
      <c r="L5" s="226">
        <f>Score_Initial</f>
        <v>0</v>
      </c>
      <c r="M5" s="579"/>
      <c r="N5" s="745" t="s">
        <v>231</v>
      </c>
      <c r="O5" s="638"/>
      <c r="P5" s="638"/>
      <c r="Q5" s="638"/>
      <c r="R5" s="638"/>
      <c r="S5" s="639" t="str">
        <f>IF(S8=AD_no,"",Score_design)</f>
        <v/>
      </c>
      <c r="T5" s="68"/>
      <c r="U5" s="747" t="s">
        <v>231</v>
      </c>
      <c r="V5" s="640"/>
      <c r="W5" s="640"/>
      <c r="X5" s="640"/>
      <c r="Y5" s="640"/>
      <c r="Z5" s="639" t="str">
        <f>IF(Z8=AD_no,"",Score_const)</f>
        <v/>
      </c>
      <c r="AA5" s="79"/>
      <c r="AB5" s="1017"/>
      <c r="AC5" s="17"/>
      <c r="AD5" s="228"/>
      <c r="AE5" s="228"/>
      <c r="AF5" s="228"/>
      <c r="AG5" s="228"/>
      <c r="AK5" s="498" t="str">
        <f>ADPT04</f>
        <v>Major Refurbishment (shell only)</v>
      </c>
    </row>
    <row r="6" spans="1:58" ht="15" customHeight="1">
      <c r="E6" s="887" t="str">
        <f>"Pre-Assessment Estimator Version: "&amp;TVC_current_version</f>
        <v>Pre-Assessment Estimator Version: 1.6</v>
      </c>
      <c r="F6" s="79"/>
      <c r="G6" s="87" t="s">
        <v>232</v>
      </c>
      <c r="H6" s="88"/>
      <c r="I6" s="797"/>
      <c r="J6" s="797"/>
      <c r="K6" s="89"/>
      <c r="L6" s="90" t="str">
        <f>BP_MinStandards</f>
        <v>Unclassified</v>
      </c>
      <c r="M6" s="579"/>
      <c r="N6" s="745" t="s">
        <v>232</v>
      </c>
      <c r="O6" s="638"/>
      <c r="P6" s="638"/>
      <c r="Q6" s="638"/>
      <c r="R6" s="638"/>
      <c r="S6" s="641" t="str">
        <f>IF(S8=AD_no,"",BP_MinStandards_design)</f>
        <v/>
      </c>
      <c r="T6" s="68"/>
      <c r="U6" s="747" t="s">
        <v>232</v>
      </c>
      <c r="V6" s="640"/>
      <c r="W6" s="640"/>
      <c r="X6" s="640"/>
      <c r="Y6" s="640"/>
      <c r="Z6" s="641" t="str">
        <f>IF(Z8=AD_no,"",BP_MinStandards_const)</f>
        <v/>
      </c>
      <c r="AA6" s="79"/>
      <c r="AB6" s="1017"/>
      <c r="AC6" s="17"/>
      <c r="AD6" s="228"/>
      <c r="AE6" s="228"/>
      <c r="AF6" s="228"/>
      <c r="AG6" s="228"/>
      <c r="AJ6" s="1" t="s">
        <v>233</v>
      </c>
      <c r="AK6"/>
      <c r="AL6"/>
      <c r="AM6"/>
      <c r="AN6"/>
      <c r="AO6"/>
      <c r="AP6"/>
      <c r="AQ6" s="17"/>
      <c r="AR6" s="17"/>
      <c r="AS6" s="17"/>
      <c r="AT6" s="17"/>
      <c r="AU6" s="17"/>
      <c r="AV6" s="17"/>
      <c r="AW6" s="17"/>
      <c r="AX6" s="17"/>
      <c r="AY6" s="17"/>
      <c r="AZ6" s="17"/>
      <c r="BA6" s="17"/>
      <c r="BB6" s="17"/>
      <c r="BC6" s="17"/>
      <c r="BD6" s="347"/>
      <c r="BE6" s="347"/>
      <c r="BF6" s="347"/>
    </row>
    <row r="7" spans="1:58" ht="15" customHeight="1" thickBot="1">
      <c r="E7" s="86" t="str">
        <f>ADPT</f>
        <v>New Construction (fully fitted)</v>
      </c>
      <c r="F7" s="79"/>
      <c r="G7" s="884" t="s">
        <v>234</v>
      </c>
      <c r="H7" s="885"/>
      <c r="I7" s="885"/>
      <c r="J7" s="885"/>
      <c r="K7" s="885"/>
      <c r="L7" s="886" t="str">
        <f>Poeng!BR258</f>
        <v>No</v>
      </c>
      <c r="M7" s="579"/>
      <c r="N7" s="745" t="str">
        <f>G7</f>
        <v xml:space="preserve">Requirements for EU taxonomy </v>
      </c>
      <c r="O7" s="638"/>
      <c r="P7" s="638"/>
      <c r="Q7" s="638"/>
      <c r="R7" s="638"/>
      <c r="S7" s="641" t="str">
        <f>IF(S8=AD_no,"",Poeng!BS258)</f>
        <v/>
      </c>
      <c r="T7" s="68"/>
      <c r="U7" s="747" t="str">
        <f>G7</f>
        <v xml:space="preserve">Requirements for EU taxonomy </v>
      </c>
      <c r="V7" s="640"/>
      <c r="W7" s="640"/>
      <c r="X7" s="640"/>
      <c r="Y7" s="640"/>
      <c r="Z7" s="641" t="str">
        <f>IF(Z8=AD_no,"",Poeng!BT258)</f>
        <v/>
      </c>
      <c r="AA7" s="79"/>
      <c r="AB7" s="1017"/>
      <c r="AC7" s="17"/>
      <c r="AD7" s="228"/>
      <c r="AE7" s="228"/>
      <c r="AF7" s="228"/>
      <c r="AG7" s="228"/>
      <c r="AK7"/>
      <c r="AL7"/>
      <c r="AM7"/>
      <c r="AN7"/>
      <c r="AO7"/>
      <c r="AP7"/>
      <c r="AQ7" s="17"/>
      <c r="AR7" s="17"/>
      <c r="AS7" s="17"/>
      <c r="AT7" s="17"/>
      <c r="AU7" s="17"/>
      <c r="AV7" s="17"/>
      <c r="AW7" s="17"/>
      <c r="AX7" s="17"/>
      <c r="AY7" s="17"/>
      <c r="AZ7" s="17"/>
      <c r="BA7" s="17"/>
      <c r="BB7" s="17"/>
      <c r="BC7" s="17"/>
      <c r="BD7" s="347"/>
      <c r="BE7" s="347"/>
      <c r="BF7" s="347"/>
    </row>
    <row r="8" spans="1:58" ht="15" customHeight="1">
      <c r="E8" s="888" t="str">
        <f>IF(OR(Poeng!BF264=1,Poeng!BI264=1,Poeng!BL264=1),Poeng!AX269,"")</f>
        <v/>
      </c>
      <c r="F8" s="79"/>
      <c r="G8" s="91"/>
      <c r="H8" s="79"/>
      <c r="I8" s="17"/>
      <c r="J8" s="17"/>
      <c r="K8" s="17"/>
      <c r="L8" s="743"/>
      <c r="M8" s="579"/>
      <c r="N8" s="745" t="s">
        <v>235</v>
      </c>
      <c r="O8" s="638"/>
      <c r="P8" s="638"/>
      <c r="Q8" s="638"/>
      <c r="R8" s="638"/>
      <c r="S8" s="642" t="s">
        <v>127</v>
      </c>
      <c r="T8" s="68"/>
      <c r="U8" s="747" t="s">
        <v>235</v>
      </c>
      <c r="V8" s="640"/>
      <c r="W8" s="640"/>
      <c r="X8" s="640"/>
      <c r="Y8" s="640"/>
      <c r="Z8" s="642" t="s">
        <v>127</v>
      </c>
      <c r="AA8" s="79"/>
      <c r="AB8" s="1017"/>
      <c r="AC8" s="17"/>
      <c r="AD8" s="1011" t="s">
        <v>236</v>
      </c>
      <c r="AE8" s="1012"/>
      <c r="AF8" s="1012"/>
      <c r="AG8" s="228"/>
      <c r="AJ8" s="32" t="str">
        <f>IF(ADBT0=ADBT12,ais_nei,ais_ja)</f>
        <v>Ja</v>
      </c>
      <c r="AK8" s="201"/>
      <c r="AL8" s="201"/>
      <c r="AM8" s="201"/>
      <c r="AN8"/>
      <c r="AO8"/>
      <c r="AP8"/>
      <c r="AQ8" s="17"/>
      <c r="AR8" s="17"/>
      <c r="AS8" s="17"/>
      <c r="AT8" s="17"/>
      <c r="AU8" s="17"/>
      <c r="AV8" s="17"/>
      <c r="AW8" s="17"/>
      <c r="AX8" s="17"/>
      <c r="AY8" s="17"/>
      <c r="AZ8" s="17"/>
      <c r="BA8" s="17"/>
      <c r="BB8" s="17"/>
      <c r="BC8" s="17"/>
      <c r="BD8" s="13"/>
      <c r="BE8" s="13"/>
      <c r="BF8" s="13"/>
    </row>
    <row r="9" spans="1:58" ht="30" customHeight="1">
      <c r="A9" s="576" t="s">
        <v>237</v>
      </c>
      <c r="B9" s="576" t="s">
        <v>238</v>
      </c>
      <c r="C9" s="576"/>
      <c r="D9" s="576"/>
      <c r="E9" s="929" t="s">
        <v>239</v>
      </c>
      <c r="F9" s="225" t="s">
        <v>240</v>
      </c>
      <c r="G9" s="92" t="s">
        <v>241</v>
      </c>
      <c r="H9" s="93" t="s">
        <v>242</v>
      </c>
      <c r="I9" s="94" t="s">
        <v>243</v>
      </c>
      <c r="J9" s="224" t="s">
        <v>244</v>
      </c>
      <c r="K9" s="235" t="s">
        <v>245</v>
      </c>
      <c r="L9" s="236" t="s">
        <v>246</v>
      </c>
      <c r="M9" s="579"/>
      <c r="N9" s="706" t="s">
        <v>241</v>
      </c>
      <c r="O9" s="705" t="s">
        <v>242</v>
      </c>
      <c r="P9" s="705" t="s">
        <v>243</v>
      </c>
      <c r="Q9" s="95" t="s">
        <v>244</v>
      </c>
      <c r="R9" s="95" t="s">
        <v>245</v>
      </c>
      <c r="S9" s="96" t="s">
        <v>246</v>
      </c>
      <c r="T9" s="97"/>
      <c r="U9" s="706" t="s">
        <v>241</v>
      </c>
      <c r="V9" s="705" t="s">
        <v>242</v>
      </c>
      <c r="W9" s="705" t="s">
        <v>243</v>
      </c>
      <c r="X9" s="95" t="s">
        <v>244</v>
      </c>
      <c r="Y9" s="95" t="s">
        <v>245</v>
      </c>
      <c r="Z9" s="96" t="s">
        <v>246</v>
      </c>
      <c r="AB9" s="546" t="str">
        <f>IF(AJ4=ais_ja,"Shell/core compliance?","")</f>
        <v/>
      </c>
      <c r="AC9" s="17"/>
      <c r="AD9" s="58" t="s">
        <v>247</v>
      </c>
      <c r="AE9" s="57" t="s">
        <v>248</v>
      </c>
      <c r="AF9" s="57" t="s">
        <v>249</v>
      </c>
      <c r="AI9" s="56" t="s">
        <v>250</v>
      </c>
      <c r="AY9" s="17"/>
      <c r="AZ9" s="17"/>
      <c r="BA9" s="17"/>
      <c r="BB9" s="17"/>
      <c r="BC9" s="17"/>
      <c r="BD9" s="13"/>
      <c r="BE9" s="13"/>
      <c r="BF9" s="13"/>
    </row>
    <row r="10" spans="1:58" ht="34.5" customHeight="1">
      <c r="A10" s="830">
        <v>1</v>
      </c>
      <c r="B10" s="829" t="s">
        <v>251</v>
      </c>
      <c r="C10" s="828"/>
      <c r="D10" s="652"/>
      <c r="E10" s="694" t="s">
        <v>252</v>
      </c>
      <c r="F10" s="695"/>
      <c r="G10" s="696"/>
      <c r="H10" s="695"/>
      <c r="I10" s="695"/>
      <c r="J10" s="697"/>
      <c r="K10" s="698"/>
      <c r="L10" s="699"/>
      <c r="M10" s="643"/>
      <c r="N10" s="644"/>
      <c r="O10" s="590"/>
      <c r="P10" s="590"/>
      <c r="Q10" s="645"/>
      <c r="R10" s="645"/>
      <c r="S10" s="582"/>
      <c r="T10" s="268"/>
      <c r="U10" s="281"/>
      <c r="V10" s="280"/>
      <c r="W10" s="280"/>
      <c r="X10" s="646"/>
      <c r="Y10" s="646"/>
      <c r="Z10" s="647"/>
      <c r="AA10" s="107"/>
      <c r="AB10" s="500"/>
      <c r="AC10" s="17">
        <f t="shared" ref="AC10:AC77" si="0">IF(F10="",1,IF(F10=0,2,1))</f>
        <v>1</v>
      </c>
      <c r="AD10" s="229">
        <v>0</v>
      </c>
      <c r="AE10" s="229">
        <v>0</v>
      </c>
      <c r="AF10" s="229">
        <v>0</v>
      </c>
      <c r="AI10" s="56"/>
      <c r="AJ10" s="521" t="s">
        <v>252</v>
      </c>
      <c r="AK10" s="499"/>
      <c r="AL10" s="499"/>
      <c r="AM10" s="499"/>
      <c r="AN10" s="499"/>
      <c r="AO10" s="499"/>
      <c r="AP10" s="499"/>
      <c r="AR10" s="499"/>
      <c r="AS10" s="499"/>
      <c r="AT10" s="499"/>
      <c r="AU10" s="499"/>
      <c r="AV10" s="206"/>
      <c r="AW10" s="206"/>
      <c r="AX10" s="206"/>
      <c r="AY10" s="17"/>
      <c r="AZ10" s="266"/>
      <c r="BA10" s="17"/>
      <c r="BB10" s="17"/>
      <c r="BC10" s="17"/>
      <c r="BD10" s="13"/>
      <c r="BE10" s="13"/>
      <c r="BF10" s="13"/>
    </row>
    <row r="11" spans="1:58">
      <c r="A11" s="830">
        <v>2</v>
      </c>
      <c r="B11" s="829" t="s">
        <v>251</v>
      </c>
      <c r="C11" s="739" t="s">
        <v>253</v>
      </c>
      <c r="D11" s="653" t="s">
        <v>253</v>
      </c>
      <c r="E11" s="686" t="str">
        <f>VLOOKUP(D11,Poeng!$B$10:$R$252,Poeng!E$1,FALSE)</f>
        <v>Man 01 Project brief and design</v>
      </c>
      <c r="F11" s="691">
        <f>VLOOKUP(D11,Poeng!$B$10:$AB$252,Poeng!AB$1,FALSE)</f>
        <v>5</v>
      </c>
      <c r="G11" s="783"/>
      <c r="H11" s="692" t="str">
        <f>VLOOKUP(D11,Poeng!$B$10:$AI$252,Poeng!AI$1,FALSE)&amp;" c. "&amp;ROUND(VLOOKUP(D11,Poeng!$B$10:$AE$252,Poeng!AE$1,FALSE)*100,1)&amp;" %"</f>
        <v>0 c. 0 %</v>
      </c>
      <c r="I11" s="738" t="str">
        <f>VLOOKUP(D11,Poeng!$B$10:$BE$252,Poeng!BE$1,FALSE)</f>
        <v>N/A</v>
      </c>
      <c r="J11" s="700"/>
      <c r="K11" s="701"/>
      <c r="L11" s="702"/>
      <c r="M11" s="648"/>
      <c r="N11" s="784"/>
      <c r="O11" s="703" t="str">
        <f>VLOOKUP(D11,Poeng!$B$10:$BC$252,Poeng!AJ$1,FALSE)&amp;" c. "&amp;ROUND(VLOOKUP(D11,Poeng!$B$10:$BC$252,Poeng!AF$1,FALSE)*100,1)&amp;" %"</f>
        <v>0 c. 0 %</v>
      </c>
      <c r="P11" s="703" t="str">
        <f>VLOOKUP(D11,Poeng!$B$10:$BE$252,Poeng!BE$1,FALSE)</f>
        <v>N/A</v>
      </c>
      <c r="Q11" s="583"/>
      <c r="R11" s="584"/>
      <c r="S11" s="577"/>
      <c r="T11" s="268"/>
      <c r="U11" s="784"/>
      <c r="V11" s="703" t="str">
        <f>VLOOKUP(D11,Poeng!$B$10:$BC$252,Poeng!AK$1,FALSE)&amp;" c. "&amp;ROUND(VLOOKUP(D11,Poeng!$B$10:$BC$252,Poeng!AG$1,FALSE)*100,1)&amp;" %"</f>
        <v>0 c. 0 %</v>
      </c>
      <c r="W11" s="703" t="str">
        <f>VLOOKUP(D11,Poeng!$B$10:$BK$252,Poeng!BK$1,FALSE)</f>
        <v>N/A</v>
      </c>
      <c r="X11" s="67"/>
      <c r="Y11" s="66"/>
      <c r="Z11" s="577"/>
      <c r="AA11" s="108"/>
      <c r="AB11" s="495" t="s">
        <v>127</v>
      </c>
      <c r="AC11" s="17">
        <f t="shared" si="0"/>
        <v>1</v>
      </c>
      <c r="AD11" s="1" t="e">
        <f>VLOOKUP(K11,'Assessment Details'!$O$45:$P$48,2,FALSE)</f>
        <v>#N/A</v>
      </c>
      <c r="AE11" s="1" t="e">
        <f>VLOOKUP(R11,'Assessment Details'!$O$45:$P$48,2,FALSE)</f>
        <v>#N/A</v>
      </c>
      <c r="AF11" s="1" t="e">
        <f>VLOOKUP(Y11,'Assessment Details'!$O$45:$P$48,2,FALSE)</f>
        <v>#N/A</v>
      </c>
      <c r="AI11" s="56"/>
      <c r="AJ11" s="521" t="s">
        <v>254</v>
      </c>
      <c r="AK11" s="501" t="s">
        <v>127</v>
      </c>
      <c r="AL11" s="503" t="s">
        <v>123</v>
      </c>
      <c r="AM11" s="56"/>
      <c r="AN11" s="56"/>
      <c r="AO11" s="56"/>
      <c r="AP11" s="56"/>
      <c r="AS11" s="17" t="str">
        <f>IF($AJ$4=ais_nei,AIS_NA,IF(AK11="",AIS_NA,AK11))</f>
        <v>N/A</v>
      </c>
      <c r="AT11" s="17" t="str">
        <f t="shared" ref="AT11:AT93" si="1">IF($AJ$4=ais_nei,AIS_NA,IF(AL11="",AIS_NA,AL11))</f>
        <v>N/A</v>
      </c>
      <c r="AU11" s="17" t="str">
        <f t="shared" ref="AU11:AU93" si="2">IF($AJ$4=ais_nei,AIS_NA,IF(AM11="",AIS_NA,AM11))</f>
        <v>N/A</v>
      </c>
      <c r="AV11" s="17"/>
      <c r="AW11" s="17"/>
      <c r="AX11" s="17"/>
      <c r="AY11" s="17"/>
      <c r="AZ11" s="495"/>
      <c r="BA11" s="17"/>
      <c r="BB11" s="17"/>
      <c r="BC11" s="17"/>
      <c r="BD11" s="13"/>
      <c r="BE11" s="13"/>
      <c r="BF11" s="13"/>
    </row>
    <row r="12" spans="1:58">
      <c r="A12" s="830">
        <v>3</v>
      </c>
      <c r="B12" s="829" t="s">
        <v>251</v>
      </c>
      <c r="C12" s="100" t="s">
        <v>253</v>
      </c>
      <c r="D12" s="14" t="s">
        <v>255</v>
      </c>
      <c r="E12" s="687" t="str">
        <f>VLOOKUP(D12,Poeng!$B$10:$R$252,Poeng!E$1,FALSE)</f>
        <v>Planning project delivery</v>
      </c>
      <c r="F12" s="98">
        <f>VLOOKUP(D12,Poeng!$B$10:$AB$252,Poeng!AB$1,FALSE)</f>
        <v>1</v>
      </c>
      <c r="G12" s="29"/>
      <c r="H12" s="99">
        <f>VLOOKUP(D12,Poeng!$B$10:$AE$252,Poeng!AE$1,FALSE)</f>
        <v>0</v>
      </c>
      <c r="I12" s="100" t="str">
        <f>VLOOKUP(D12,Poeng!$B$10:$BE$252,Poeng!BE$1,FALSE)</f>
        <v>Very Good</v>
      </c>
      <c r="J12" s="66"/>
      <c r="K12" s="233"/>
      <c r="L12" s="633"/>
      <c r="M12" s="848"/>
      <c r="N12" s="69"/>
      <c r="O12" s="99">
        <f>VLOOKUP(D12,Poeng!$B$10:$BC$252,Poeng!AF$1,FALSE)</f>
        <v>0</v>
      </c>
      <c r="P12" s="99" t="str">
        <f>VLOOKUP(D12,Poeng!$B$10:$BH$252,Poeng!BH$1,FALSE)</f>
        <v>Very Good</v>
      </c>
      <c r="Q12" s="583"/>
      <c r="R12" s="584"/>
      <c r="S12" s="577"/>
      <c r="T12" s="268"/>
      <c r="U12" s="69"/>
      <c r="V12" s="99">
        <f>VLOOKUP(D12,Poeng!$B$10:$BC$252,Poeng!AG$1,FALSE)</f>
        <v>0</v>
      </c>
      <c r="W12" s="99" t="str">
        <f>VLOOKUP(D12,Poeng!$B$10:$BK$252,Poeng!BK$1,FALSE)</f>
        <v>Very Good</v>
      </c>
      <c r="X12" s="67"/>
      <c r="Y12" s="66"/>
      <c r="Z12" s="577"/>
      <c r="AC12" s="17">
        <f t="shared" si="0"/>
        <v>1</v>
      </c>
      <c r="AD12" s="1" t="e">
        <f>VLOOKUP(K12,'Assessment Details'!$O$45:$P$48,2,FALSE)</f>
        <v>#N/A</v>
      </c>
      <c r="AE12" s="1" t="e">
        <f>VLOOKUP(R12,'Assessment Details'!$O$45:$P$48,2,FALSE)</f>
        <v>#N/A</v>
      </c>
      <c r="AF12" s="1" t="e">
        <f>VLOOKUP(Y12,'Assessment Details'!$O$45:$P$48,2,FALSE)</f>
        <v>#N/A</v>
      </c>
    </row>
    <row r="13" spans="1:58" ht="30">
      <c r="A13" s="830">
        <v>4</v>
      </c>
      <c r="B13" s="829" t="s">
        <v>251</v>
      </c>
      <c r="C13" s="100" t="s">
        <v>253</v>
      </c>
      <c r="D13" s="14" t="s">
        <v>256</v>
      </c>
      <c r="E13" s="825" t="str">
        <f>VLOOKUP(D13,Poeng!$B$10:$R$252,Poeng!E$1,FALSE)</f>
        <v>Climate gas calculation for whole building life cycle (EU taxonomy requirement: criterion 2-3)</v>
      </c>
      <c r="F13" s="98">
        <f>VLOOKUP(D13,Poeng!$B$10:$AB$252,Poeng!AB$1,FALSE)</f>
        <v>1</v>
      </c>
      <c r="G13" s="29"/>
      <c r="H13" s="99">
        <f>VLOOKUP(D13,Poeng!$B$10:$AE$252,Poeng!AE$1,FALSE)</f>
        <v>0</v>
      </c>
      <c r="I13" s="100" t="str">
        <f>VLOOKUP(D13,Poeng!$B$10:$BE$252,Poeng!BE$1,FALSE)</f>
        <v>Very Good</v>
      </c>
      <c r="J13" s="66"/>
      <c r="K13" s="233"/>
      <c r="L13" s="633"/>
      <c r="M13" s="848"/>
      <c r="N13" s="69"/>
      <c r="O13" s="99">
        <f>VLOOKUP(D13,Poeng!$B$10:$BC$252,Poeng!AF$1,FALSE)</f>
        <v>0</v>
      </c>
      <c r="P13" s="99" t="str">
        <f>VLOOKUP(D13,Poeng!$B$10:$BH$252,Poeng!BH$1,FALSE)</f>
        <v>Very Good</v>
      </c>
      <c r="Q13" s="583"/>
      <c r="R13" s="584"/>
      <c r="S13" s="577"/>
      <c r="T13" s="268"/>
      <c r="U13" s="69"/>
      <c r="V13" s="99">
        <f>VLOOKUP(D13,Poeng!$B$10:$BC$252,Poeng!AG$1,FALSE)</f>
        <v>0</v>
      </c>
      <c r="W13" s="99" t="str">
        <f>VLOOKUP(D13,Poeng!$B$10:$BK$252,Poeng!BK$1,FALSE)</f>
        <v>Very Good</v>
      </c>
      <c r="X13" s="67"/>
      <c r="Y13" s="66"/>
      <c r="Z13" s="577"/>
      <c r="AC13" s="17">
        <f t="shared" si="0"/>
        <v>1</v>
      </c>
      <c r="AD13" s="1" t="e">
        <f>VLOOKUP(K13,'Assessment Details'!$O$45:$P$48,2,FALSE)</f>
        <v>#N/A</v>
      </c>
      <c r="AE13" s="1" t="e">
        <f>VLOOKUP(R13,'Assessment Details'!$O$45:$P$48,2,FALSE)</f>
        <v>#N/A</v>
      </c>
      <c r="AF13" s="1" t="e">
        <f>VLOOKUP(Y13,'Assessment Details'!$O$45:$P$48,2,FALSE)</f>
        <v>#N/A</v>
      </c>
    </row>
    <row r="14" spans="1:58">
      <c r="A14" s="830">
        <v>5</v>
      </c>
      <c r="B14" s="829" t="s">
        <v>251</v>
      </c>
      <c r="C14" s="100" t="s">
        <v>253</v>
      </c>
      <c r="D14" s="14" t="s">
        <v>257</v>
      </c>
      <c r="E14" s="687" t="str">
        <f>VLOOKUP(D14,Poeng!$B$10:$R$252,Poeng!E$1,FALSE)</f>
        <v>Third party stakeholder consultation</v>
      </c>
      <c r="F14" s="98">
        <f>VLOOKUP(D14,Poeng!$B$10:$AB$252,Poeng!AB$1,FALSE)</f>
        <v>1</v>
      </c>
      <c r="G14" s="29"/>
      <c r="H14" s="99">
        <f>VLOOKUP(D14,Poeng!$B$10:$AE$252,Poeng!AE$1,FALSE)</f>
        <v>0</v>
      </c>
      <c r="I14" s="100" t="str">
        <f>VLOOKUP(D14,Poeng!$B$10:$BE$252,Poeng!BE$1,FALSE)</f>
        <v>N/A</v>
      </c>
      <c r="J14" s="66"/>
      <c r="K14" s="233"/>
      <c r="L14" s="577"/>
      <c r="M14" s="848"/>
      <c r="N14" s="69"/>
      <c r="O14" s="99">
        <f>VLOOKUP(D14,Poeng!$B$10:$BC$252,Poeng!AF$1,FALSE)</f>
        <v>0</v>
      </c>
      <c r="P14" s="99" t="str">
        <f>VLOOKUP(D14,Poeng!$B$10:$BH$252,Poeng!BH$1,FALSE)</f>
        <v>N/A</v>
      </c>
      <c r="Q14" s="583"/>
      <c r="R14" s="584"/>
      <c r="S14" s="577"/>
      <c r="T14" s="268"/>
      <c r="U14" s="69"/>
      <c r="V14" s="99">
        <f>VLOOKUP(D14,Poeng!$B$10:$BC$252,Poeng!AG$1,FALSE)</f>
        <v>0</v>
      </c>
      <c r="W14" s="99" t="str">
        <f>VLOOKUP(D14,Poeng!$B$10:$BK$252,Poeng!BK$1,FALSE)</f>
        <v>N/A</v>
      </c>
      <c r="X14" s="67"/>
      <c r="Y14" s="66"/>
      <c r="Z14" s="577"/>
      <c r="AC14" s="17">
        <f t="shared" si="0"/>
        <v>1</v>
      </c>
      <c r="AD14" s="1" t="e">
        <f>VLOOKUP(K14,'Assessment Details'!$O$45:$P$48,2,FALSE)</f>
        <v>#N/A</v>
      </c>
      <c r="AE14" s="1" t="e">
        <f>VLOOKUP(R14,'Assessment Details'!$O$45:$P$48,2,FALSE)</f>
        <v>#N/A</v>
      </c>
      <c r="AF14" s="1" t="e">
        <f>VLOOKUP(Y14,'Assessment Details'!$O$45:$P$48,2,FALSE)</f>
        <v>#N/A</v>
      </c>
    </row>
    <row r="15" spans="1:58">
      <c r="A15" s="830">
        <v>6</v>
      </c>
      <c r="B15" s="829" t="s">
        <v>251</v>
      </c>
      <c r="C15" s="100" t="s">
        <v>253</v>
      </c>
      <c r="D15" s="14" t="s">
        <v>258</v>
      </c>
      <c r="E15" s="687" t="str">
        <f>VLOOKUP(D15,Poeng!$B$10:$R$252,Poeng!E$1,FALSE)</f>
        <v>BREEAM-NOR AP (stage 2 and 3)</v>
      </c>
      <c r="F15" s="98">
        <f>VLOOKUP(D15,Poeng!$B$10:$AB$252,Poeng!AB$1,FALSE)</f>
        <v>1</v>
      </c>
      <c r="G15" s="29"/>
      <c r="H15" s="99">
        <f>VLOOKUP(D15,Poeng!$B$10:$AE$252,Poeng!AE$1,FALSE)</f>
        <v>0</v>
      </c>
      <c r="I15" s="100" t="str">
        <f>VLOOKUP(D15,Poeng!$B$10:$BE$252,Poeng!BE$1,FALSE)</f>
        <v>N/A</v>
      </c>
      <c r="J15" s="66"/>
      <c r="K15" s="233"/>
      <c r="L15" s="633"/>
      <c r="M15" s="848"/>
      <c r="N15" s="69"/>
      <c r="O15" s="99">
        <f>VLOOKUP(D15,Poeng!$B$10:$BC$252,Poeng!AF$1,FALSE)</f>
        <v>0</v>
      </c>
      <c r="P15" s="99" t="str">
        <f>VLOOKUP(D15,Poeng!$B$10:$BH$252,Poeng!BH$1,FALSE)</f>
        <v>N/A</v>
      </c>
      <c r="Q15" s="583"/>
      <c r="R15" s="584"/>
      <c r="S15" s="577"/>
      <c r="T15" s="268"/>
      <c r="U15" s="69"/>
      <c r="V15" s="99">
        <f>VLOOKUP(D15,Poeng!$B$10:$BC$252,Poeng!AG$1,FALSE)</f>
        <v>0</v>
      </c>
      <c r="W15" s="99" t="str">
        <f>VLOOKUP(D15,Poeng!$B$10:$BK$252,Poeng!BK$1,FALSE)</f>
        <v>N/A</v>
      </c>
      <c r="X15" s="67"/>
      <c r="Y15" s="66"/>
      <c r="Z15" s="577"/>
      <c r="AC15" s="17">
        <f t="shared" si="0"/>
        <v>1</v>
      </c>
      <c r="AD15" s="1" t="e">
        <f>VLOOKUP(K15,'Assessment Details'!$O$45:$P$48,2,FALSE)</f>
        <v>#N/A</v>
      </c>
      <c r="AE15" s="1" t="e">
        <f>VLOOKUP(R15,'Assessment Details'!$O$45:$P$48,2,FALSE)</f>
        <v>#N/A</v>
      </c>
      <c r="AF15" s="1" t="e">
        <f>VLOOKUP(Y15,'Assessment Details'!$O$45:$P$48,2,FALSE)</f>
        <v>#N/A</v>
      </c>
    </row>
    <row r="16" spans="1:58">
      <c r="A16" s="830">
        <v>7</v>
      </c>
      <c r="B16" s="829" t="s">
        <v>251</v>
      </c>
      <c r="C16" s="100" t="s">
        <v>253</v>
      </c>
      <c r="D16" s="14" t="s">
        <v>259</v>
      </c>
      <c r="E16" s="687" t="str">
        <f>VLOOKUP(D16,Poeng!$B$10:$R$252,Poeng!E$1,FALSE)</f>
        <v>BREEAM-NOR AP (stage 4)</v>
      </c>
      <c r="F16" s="98">
        <f>VLOOKUP(D16,Poeng!$B$10:$AB$252,Poeng!AB$1,FALSE)</f>
        <v>1</v>
      </c>
      <c r="G16" s="29"/>
      <c r="H16" s="99">
        <f>VLOOKUP(D16,Poeng!$B$10:$AE$252,Poeng!AE$1,FALSE)</f>
        <v>0</v>
      </c>
      <c r="I16" s="100" t="str">
        <f>VLOOKUP(D16,Poeng!$B$10:$BE$252,Poeng!BE$1,FALSE)</f>
        <v>N/A</v>
      </c>
      <c r="J16" s="66"/>
      <c r="K16" s="233"/>
      <c r="L16" s="633"/>
      <c r="M16" s="848"/>
      <c r="N16" s="69"/>
      <c r="O16" s="99">
        <f>VLOOKUP(D16,Poeng!$B$10:$BC$252,Poeng!AF$1,FALSE)</f>
        <v>0</v>
      </c>
      <c r="P16" s="99" t="str">
        <f>VLOOKUP(D16,Poeng!$B$10:$BH$252,Poeng!BH$1,FALSE)</f>
        <v>N/A</v>
      </c>
      <c r="Q16" s="583"/>
      <c r="R16" s="584"/>
      <c r="S16" s="577"/>
      <c r="T16" s="268"/>
      <c r="U16" s="69"/>
      <c r="V16" s="99">
        <f>VLOOKUP(D16,Poeng!$B$10:$BC$252,Poeng!AG$1,FALSE)</f>
        <v>0</v>
      </c>
      <c r="W16" s="99" t="str">
        <f>VLOOKUP(D16,Poeng!$B$10:$BK$252,Poeng!BK$1,FALSE)</f>
        <v>N/A</v>
      </c>
      <c r="X16" s="67"/>
      <c r="Y16" s="66"/>
      <c r="Z16" s="577"/>
      <c r="AC16" s="17">
        <f t="shared" si="0"/>
        <v>1</v>
      </c>
      <c r="AD16" s="1" t="e">
        <f>VLOOKUP(K16,'Assessment Details'!$O$45:$P$48,2,FALSE)</f>
        <v>#N/A</v>
      </c>
      <c r="AE16" s="1" t="e">
        <f>VLOOKUP(R16,'Assessment Details'!$O$45:$P$48,2,FALSE)</f>
        <v>#N/A</v>
      </c>
      <c r="AF16" s="1" t="e">
        <f>VLOOKUP(Y16,'Assessment Details'!$O$45:$P$48,2,FALSE)</f>
        <v>#N/A</v>
      </c>
    </row>
    <row r="17" spans="1:58">
      <c r="A17" s="830">
        <v>8</v>
      </c>
      <c r="B17" s="829" t="s">
        <v>251</v>
      </c>
      <c r="C17" s="739" t="s">
        <v>260</v>
      </c>
      <c r="D17" s="653" t="s">
        <v>260</v>
      </c>
      <c r="E17" s="686" t="str">
        <f>VLOOKUP(D17,Poeng!$B$10:$R$252,Poeng!E$1,FALSE)</f>
        <v>Man 02 Life cycle cost and service life planning</v>
      </c>
      <c r="F17" s="691">
        <f>VLOOKUP(D17,Poeng!$B$10:$AB$252,Poeng!AB$1,FALSE)</f>
        <v>3</v>
      </c>
      <c r="G17" s="784"/>
      <c r="H17" s="692" t="str">
        <f>VLOOKUP(D17,Poeng!$B$10:$AI$252,Poeng!AI$1,FALSE)&amp;" c. "&amp;ROUND(VLOOKUP(D17,Poeng!$B$10:$AE$252,Poeng!AE$1,FALSE)*100,1)&amp;" %"</f>
        <v>0 c. 0 %</v>
      </c>
      <c r="I17" s="739" t="str">
        <f>VLOOKUP(D17,Poeng!$B$10:$BE$252,Poeng!BE$1,FALSE)</f>
        <v>N/A</v>
      </c>
      <c r="J17" s="66"/>
      <c r="K17" s="233"/>
      <c r="L17" s="633"/>
      <c r="M17" s="648"/>
      <c r="N17" s="784"/>
      <c r="O17" s="703" t="str">
        <f>VLOOKUP(D17,Poeng!$B$10:$BC$252,Poeng!AJ$1,FALSE)&amp;" c. "&amp;ROUND(VLOOKUP(D17,Poeng!$B$10:$BC$252,Poeng!AF$1,FALSE)*100,1)&amp;" %"</f>
        <v>0 c. 0 %</v>
      </c>
      <c r="P17" s="99" t="str">
        <f>VLOOKUP(D17,Poeng!$B$10:$BH$252,Poeng!BH$1,FALSE)</f>
        <v>N/A</v>
      </c>
      <c r="Q17" s="583"/>
      <c r="R17" s="584"/>
      <c r="S17" s="577"/>
      <c r="T17" s="268"/>
      <c r="U17" s="784"/>
      <c r="V17" s="703" t="str">
        <f>VLOOKUP(D17,Poeng!$B$10:$BC$252,Poeng!AK$1,FALSE)&amp;" c. "&amp;ROUND(VLOOKUP(D17,Poeng!$B$10:$BC$252,Poeng!AG$1,FALSE)*100,1)&amp;" %"</f>
        <v>0 c. 0 %</v>
      </c>
      <c r="W17" s="99" t="str">
        <f>VLOOKUP(D17,Poeng!$B$10:$BK$252,Poeng!BK$1,FALSE)</f>
        <v>N/A</v>
      </c>
      <c r="X17" s="67"/>
      <c r="Y17" s="66"/>
      <c r="Z17" s="577"/>
      <c r="AA17" s="108"/>
      <c r="AB17" s="495" t="s">
        <v>127</v>
      </c>
      <c r="AC17" s="17">
        <f t="shared" si="0"/>
        <v>1</v>
      </c>
      <c r="AD17" s="1" t="e">
        <f>VLOOKUP(K17,'Assessment Details'!$O$45:$P$48,2,FALSE)</f>
        <v>#N/A</v>
      </c>
      <c r="AE17" s="1" t="e">
        <f>VLOOKUP(R17,'Assessment Details'!$O$45:$P$48,2,FALSE)</f>
        <v>#N/A</v>
      </c>
      <c r="AF17" s="1" t="e">
        <f>VLOOKUP(Y17,'Assessment Details'!$O$45:$P$48,2,FALSE)</f>
        <v>#N/A</v>
      </c>
      <c r="AI17" s="56"/>
      <c r="AJ17" s="521" t="s">
        <v>261</v>
      </c>
      <c r="AK17" s="501" t="s">
        <v>127</v>
      </c>
      <c r="AL17" s="503" t="s">
        <v>123</v>
      </c>
      <c r="AM17" s="56"/>
      <c r="AN17" s="56"/>
      <c r="AO17" s="56"/>
      <c r="AP17" s="56"/>
      <c r="AS17" s="17" t="str">
        <f t="shared" ref="AS17:AS93" si="3">IF($AJ$4=ais_nei,AIS_NA,IF(AK17="",AIS_NA,AK17))</f>
        <v>N/A</v>
      </c>
      <c r="AT17" s="17" t="str">
        <f t="shared" si="1"/>
        <v>N/A</v>
      </c>
      <c r="AU17" s="17" t="str">
        <f t="shared" si="2"/>
        <v>N/A</v>
      </c>
      <c r="AV17" s="17"/>
      <c r="AW17" s="17"/>
      <c r="AX17" s="17"/>
      <c r="AY17" s="13"/>
      <c r="AZ17" s="495"/>
      <c r="BA17" s="13"/>
      <c r="BB17" s="13"/>
      <c r="BC17" s="13"/>
      <c r="BD17" s="13"/>
      <c r="BE17" s="13"/>
      <c r="BF17" s="13"/>
    </row>
    <row r="18" spans="1:58">
      <c r="A18" s="830">
        <v>9</v>
      </c>
      <c r="B18" s="829" t="s">
        <v>251</v>
      </c>
      <c r="C18" s="100" t="s">
        <v>260</v>
      </c>
      <c r="D18" s="653" t="s">
        <v>262</v>
      </c>
      <c r="E18" s="687" t="str">
        <f>VLOOKUP(D18,Poeng!$B$10:$R$252,Poeng!E$1,FALSE)</f>
        <v>Elemental life cycle cost (LCC) and capital cost reporting</v>
      </c>
      <c r="F18" s="98">
        <f>VLOOKUP(D18,Poeng!$B$10:$AB$252,Poeng!AB$1,FALSE)</f>
        <v>2</v>
      </c>
      <c r="G18" s="29"/>
      <c r="H18" s="99">
        <f>VLOOKUP(D18,Poeng!$B$10:$AE$252,Poeng!AE$1,FALSE)</f>
        <v>0</v>
      </c>
      <c r="I18" s="100" t="str">
        <f>VLOOKUP(D18,Poeng!$B$10:$BE$252,Poeng!BE$1,FALSE)</f>
        <v>N/A</v>
      </c>
      <c r="J18" s="66"/>
      <c r="K18" s="233"/>
      <c r="L18" s="633"/>
      <c r="M18" s="648"/>
      <c r="N18" s="69"/>
      <c r="O18" s="99">
        <f>VLOOKUP(D18,Poeng!$B$10:$BC$252,Poeng!AF$1,FALSE)</f>
        <v>0</v>
      </c>
      <c r="P18" s="99" t="str">
        <f>VLOOKUP(D18,Poeng!$B$10:$BH$252,Poeng!BH$1,FALSE)</f>
        <v>N/A</v>
      </c>
      <c r="Q18" s="583"/>
      <c r="R18" s="584"/>
      <c r="S18" s="577"/>
      <c r="T18" s="268"/>
      <c r="U18" s="69"/>
      <c r="V18" s="99">
        <f>VLOOKUP(D18,Poeng!$B$10:$BC$252,Poeng!AG$1,FALSE)</f>
        <v>0</v>
      </c>
      <c r="W18" s="99" t="str">
        <f>VLOOKUP(D18,Poeng!$B$10:$BK$252,Poeng!BK$1,FALSE)</f>
        <v>N/A</v>
      </c>
      <c r="X18" s="67"/>
      <c r="Y18" s="66"/>
      <c r="Z18" s="577"/>
      <c r="AA18" s="108"/>
      <c r="AB18" s="495"/>
      <c r="AC18" s="17">
        <f t="shared" si="0"/>
        <v>1</v>
      </c>
      <c r="AD18" s="1" t="e">
        <f>VLOOKUP(K18,'Assessment Details'!$O$45:$P$48,2,FALSE)</f>
        <v>#N/A</v>
      </c>
      <c r="AE18" s="1" t="e">
        <f>VLOOKUP(R18,'Assessment Details'!$O$45:$P$48,2,FALSE)</f>
        <v>#N/A</v>
      </c>
      <c r="AF18" s="1" t="e">
        <f>VLOOKUP(Y18,'Assessment Details'!$O$45:$P$48,2,FALSE)</f>
        <v>#N/A</v>
      </c>
      <c r="AI18" s="56"/>
      <c r="AJ18" s="521"/>
      <c r="AK18" s="501"/>
      <c r="AL18" s="503"/>
      <c r="AM18" s="56"/>
      <c r="AN18" s="56"/>
      <c r="AO18" s="56"/>
      <c r="AP18" s="56"/>
      <c r="AS18" s="17"/>
      <c r="AT18" s="17"/>
      <c r="AU18" s="17"/>
      <c r="AV18" s="17"/>
      <c r="AW18" s="17"/>
      <c r="AX18" s="17"/>
      <c r="AY18" s="13"/>
      <c r="AZ18" s="495"/>
      <c r="BA18" s="13"/>
      <c r="BB18" s="13"/>
      <c r="BC18" s="13"/>
      <c r="BD18" s="13"/>
      <c r="BE18" s="13"/>
      <c r="BF18" s="13"/>
    </row>
    <row r="19" spans="1:58">
      <c r="A19" s="830">
        <v>10</v>
      </c>
      <c r="B19" s="829" t="s">
        <v>251</v>
      </c>
      <c r="C19" s="100" t="s">
        <v>260</v>
      </c>
      <c r="D19" s="653" t="s">
        <v>263</v>
      </c>
      <c r="E19" s="687" t="str">
        <f>VLOOKUP(D19,Poeng!$B$10:$R$252,Poeng!E$1,FALSE)</f>
        <v>Component level life option appraisal</v>
      </c>
      <c r="F19" s="98">
        <f>VLOOKUP(D19,Poeng!$B$10:$AB$252,Poeng!AB$1,FALSE)</f>
        <v>1</v>
      </c>
      <c r="G19" s="29"/>
      <c r="H19" s="99">
        <f>VLOOKUP(D19,Poeng!$B$10:$AE$252,Poeng!AE$1,FALSE)</f>
        <v>0</v>
      </c>
      <c r="I19" s="100" t="str">
        <f>VLOOKUP(D19,Poeng!$B$10:$BE$252,Poeng!BE$1,FALSE)</f>
        <v>N/A</v>
      </c>
      <c r="J19" s="66"/>
      <c r="K19" s="233"/>
      <c r="L19" s="633"/>
      <c r="M19" s="648"/>
      <c r="N19" s="69"/>
      <c r="O19" s="99">
        <f>VLOOKUP(D19,Poeng!$B$10:$BC$252,Poeng!AF$1,FALSE)</f>
        <v>0</v>
      </c>
      <c r="P19" s="99" t="str">
        <f>VLOOKUP(D19,Poeng!$B$10:$BH$252,Poeng!BH$1,FALSE)</f>
        <v>N/A</v>
      </c>
      <c r="Q19" s="583"/>
      <c r="R19" s="584"/>
      <c r="S19" s="577"/>
      <c r="T19" s="268"/>
      <c r="U19" s="69"/>
      <c r="V19" s="99">
        <f>VLOOKUP(D19,Poeng!$B$10:$BC$252,Poeng!AG$1,FALSE)</f>
        <v>0</v>
      </c>
      <c r="W19" s="99" t="str">
        <f>VLOOKUP(D19,Poeng!$B$10:$BK$252,Poeng!BK$1,FALSE)</f>
        <v>N/A</v>
      </c>
      <c r="X19" s="67"/>
      <c r="Y19" s="66"/>
      <c r="Z19" s="577"/>
      <c r="AA19" s="108"/>
      <c r="AB19" s="495"/>
      <c r="AC19" s="17">
        <f t="shared" si="0"/>
        <v>1</v>
      </c>
      <c r="AD19" s="1" t="e">
        <f>VLOOKUP(K19,'Assessment Details'!$O$45:$P$48,2,FALSE)</f>
        <v>#N/A</v>
      </c>
      <c r="AE19" s="1" t="e">
        <f>VLOOKUP(R19,'Assessment Details'!$O$45:$P$48,2,FALSE)</f>
        <v>#N/A</v>
      </c>
      <c r="AF19" s="1" t="e">
        <f>VLOOKUP(Y19,'Assessment Details'!$O$45:$P$48,2,FALSE)</f>
        <v>#N/A</v>
      </c>
      <c r="AI19" s="56"/>
      <c r="AJ19" s="521"/>
      <c r="AK19" s="501"/>
      <c r="AL19" s="503"/>
      <c r="AM19" s="56"/>
      <c r="AN19" s="56"/>
      <c r="AO19" s="56"/>
      <c r="AP19" s="56"/>
      <c r="AS19" s="17"/>
      <c r="AT19" s="17"/>
      <c r="AU19" s="17"/>
      <c r="AV19" s="17"/>
      <c r="AW19" s="17"/>
      <c r="AX19" s="17"/>
      <c r="AY19" s="13"/>
      <c r="AZ19" s="495"/>
      <c r="BA19" s="13"/>
      <c r="BB19" s="13"/>
      <c r="BC19" s="13"/>
      <c r="BD19" s="13"/>
      <c r="BE19" s="13"/>
      <c r="BF19" s="13"/>
    </row>
    <row r="20" spans="1:58">
      <c r="A20" s="830">
        <v>11</v>
      </c>
      <c r="B20" s="829" t="s">
        <v>251</v>
      </c>
      <c r="C20" s="739" t="s">
        <v>188</v>
      </c>
      <c r="D20" s="653" t="s">
        <v>188</v>
      </c>
      <c r="E20" s="686" t="str">
        <f>VLOOKUP(D20,Poeng!$B$10:$R$252,Poeng!E$1,FALSE)</f>
        <v>Man 03 Responsible construction practices</v>
      </c>
      <c r="F20" s="691">
        <f>VLOOKUP(D20,Poeng!$B$10:$AB$252,Poeng!AB$1,FALSE)</f>
        <v>7</v>
      </c>
      <c r="G20" s="784"/>
      <c r="H20" s="692" t="str">
        <f>VLOOKUP(D20,Poeng!$B$10:$AI$252,Poeng!AI$1,FALSE)&amp;" c. "&amp;ROUND(VLOOKUP(D20,Poeng!$B$10:$AE$252,Poeng!AE$1,FALSE)*100,1)&amp;" %"</f>
        <v>0 c. 0 %</v>
      </c>
      <c r="I20" s="739" t="str">
        <f>VLOOKUP(D20,Poeng!$B$10:$BE$252,Poeng!BE$1,FALSE)</f>
        <v>N/A</v>
      </c>
      <c r="J20" s="66"/>
      <c r="K20" s="233"/>
      <c r="L20" s="633"/>
      <c r="M20" s="648"/>
      <c r="N20" s="784"/>
      <c r="O20" s="703" t="str">
        <f>VLOOKUP(D20,Poeng!$B$10:$BC$252,Poeng!AJ$1,FALSE)&amp;" c. "&amp;ROUND(VLOOKUP(D20,Poeng!$B$10:$BC$252,Poeng!AF$1,FALSE)*100,1)&amp;" %"</f>
        <v>0 c. 0 %</v>
      </c>
      <c r="P20" s="99" t="str">
        <f>VLOOKUP(D20,Poeng!$B$10:$BH$252,Poeng!BH$1,FALSE)</f>
        <v>N/A</v>
      </c>
      <c r="Q20" s="583"/>
      <c r="R20" s="584"/>
      <c r="S20" s="577"/>
      <c r="T20" s="268"/>
      <c r="U20" s="784"/>
      <c r="V20" s="703" t="str">
        <f>VLOOKUP(D20,Poeng!$B$10:$BC$252,Poeng!AK$1,FALSE)&amp;" c. "&amp;ROUND(VLOOKUP(D20,Poeng!$B$10:$BC$252,Poeng!AG$1,FALSE)*100,1)&amp;" %"</f>
        <v>0 c. 0 %</v>
      </c>
      <c r="W20" s="99" t="str">
        <f>VLOOKUP(D20,Poeng!$B$10:$BK$252,Poeng!BK$1,FALSE)</f>
        <v>N/A</v>
      </c>
      <c r="X20" s="67"/>
      <c r="Y20" s="66"/>
      <c r="Z20" s="577"/>
      <c r="AA20" s="108"/>
      <c r="AB20" s="495" t="s">
        <v>216</v>
      </c>
      <c r="AC20" s="17">
        <f t="shared" si="0"/>
        <v>1</v>
      </c>
      <c r="AD20" s="1" t="e">
        <f>VLOOKUP(K20,'Assessment Details'!$O$45:$P$48,2,FALSE)</f>
        <v>#N/A</v>
      </c>
      <c r="AE20" s="1" t="e">
        <f>VLOOKUP(R20,'Assessment Details'!$O$45:$P$48,2,FALSE)</f>
        <v>#N/A</v>
      </c>
      <c r="AF20" s="1" t="e">
        <f>VLOOKUP(Y20,'Assessment Details'!$O$45:$P$48,2,FALSE)</f>
        <v>#N/A</v>
      </c>
      <c r="AI20" s="56"/>
      <c r="AJ20" s="521" t="s">
        <v>264</v>
      </c>
      <c r="AK20" s="56"/>
      <c r="AL20" s="56"/>
      <c r="AM20" s="56"/>
      <c r="AN20" s="56"/>
      <c r="AO20" s="56"/>
      <c r="AP20" s="56"/>
      <c r="AS20" s="17" t="str">
        <f t="shared" si="3"/>
        <v>N/A</v>
      </c>
      <c r="AT20" s="17" t="str">
        <f t="shared" si="1"/>
        <v>N/A</v>
      </c>
      <c r="AU20" s="17" t="str">
        <f t="shared" si="2"/>
        <v>N/A</v>
      </c>
      <c r="AV20" s="17"/>
      <c r="AW20" s="17"/>
      <c r="AX20" s="17"/>
      <c r="AY20" s="13"/>
      <c r="AZ20" s="495"/>
      <c r="BA20" s="13"/>
      <c r="BB20" s="13"/>
      <c r="BC20" s="13"/>
      <c r="BD20" s="13"/>
      <c r="BE20" s="13"/>
      <c r="BF20" s="13"/>
    </row>
    <row r="21" spans="1:58">
      <c r="A21" s="830">
        <v>12</v>
      </c>
      <c r="B21" s="829" t="s">
        <v>251</v>
      </c>
      <c r="C21" s="100" t="s">
        <v>188</v>
      </c>
      <c r="D21" s="14" t="s">
        <v>265</v>
      </c>
      <c r="E21" s="687" t="str">
        <f>VLOOKUP(D21,Poeng!$B$10:$R$252,Poeng!E$1,FALSE)</f>
        <v>Environmental managment</v>
      </c>
      <c r="F21" s="98">
        <f>VLOOKUP(D21,Poeng!$B$10:$AB$252,Poeng!AB$1,FALSE)</f>
        <v>1</v>
      </c>
      <c r="G21" s="29"/>
      <c r="H21" s="99">
        <f>VLOOKUP(D21,Poeng!$B$10:$AE$252,Poeng!AE$1,FALSE)</f>
        <v>0</v>
      </c>
      <c r="I21" s="100" t="str">
        <f>VLOOKUP(D21,Poeng!$B$10:$BE$252,Poeng!BE$1,FALSE)</f>
        <v>N/A</v>
      </c>
      <c r="J21" s="66"/>
      <c r="K21" s="233"/>
      <c r="L21" s="633"/>
      <c r="M21" s="848"/>
      <c r="N21" s="69"/>
      <c r="O21" s="99">
        <f>VLOOKUP(D21,Poeng!$B$10:$BC$252,Poeng!AF$1,FALSE)</f>
        <v>0</v>
      </c>
      <c r="P21" s="99" t="str">
        <f>VLOOKUP(D21,Poeng!$B$10:$BH$252,Poeng!BH$1,FALSE)</f>
        <v>N/A</v>
      </c>
      <c r="Q21" s="583"/>
      <c r="R21" s="584"/>
      <c r="S21" s="577"/>
      <c r="T21" s="268"/>
      <c r="U21" s="69"/>
      <c r="V21" s="99">
        <f>VLOOKUP(D21,Poeng!$B$10:$BC$252,Poeng!AG$1,FALSE)</f>
        <v>0</v>
      </c>
      <c r="W21" s="99" t="str">
        <f>VLOOKUP(D21,Poeng!$B$10:$BK$252,Poeng!BK$1,FALSE)</f>
        <v>N/A</v>
      </c>
      <c r="X21" s="67"/>
      <c r="Y21" s="66"/>
      <c r="Z21" s="577"/>
      <c r="AC21" s="17">
        <f t="shared" si="0"/>
        <v>1</v>
      </c>
      <c r="AD21" s="1" t="e">
        <f>VLOOKUP(K21,'Assessment Details'!$O$45:$P$48,2,FALSE)</f>
        <v>#N/A</v>
      </c>
      <c r="AE21" s="1" t="e">
        <f>VLOOKUP(R21,'Assessment Details'!$O$45:$P$48,2,FALSE)</f>
        <v>#N/A</v>
      </c>
      <c r="AF21" s="1" t="e">
        <f>VLOOKUP(Y21,'Assessment Details'!$O$45:$P$48,2,FALSE)</f>
        <v>#N/A</v>
      </c>
    </row>
    <row r="22" spans="1:58">
      <c r="A22" s="830">
        <v>13</v>
      </c>
      <c r="B22" s="829" t="s">
        <v>251</v>
      </c>
      <c r="C22" s="100" t="s">
        <v>188</v>
      </c>
      <c r="D22" s="14" t="s">
        <v>266</v>
      </c>
      <c r="E22" s="687" t="str">
        <f>VLOOKUP(D22,Poeng!$B$10:$R$252,Poeng!E$1,FALSE)</f>
        <v>BREEAM-NOR AP and BREEAM performance targets (stage 5 and 6)</v>
      </c>
      <c r="F22" s="98">
        <f>VLOOKUP(D22,Poeng!$B$10:$AB$252,Poeng!AB$1,FALSE)</f>
        <v>1</v>
      </c>
      <c r="G22" s="29"/>
      <c r="H22" s="99">
        <f>VLOOKUP(D22,Poeng!$B$10:$AE$252,Poeng!AE$1,FALSE)</f>
        <v>0</v>
      </c>
      <c r="I22" s="100" t="str">
        <f>VLOOKUP(D22,Poeng!$B$10:$BE$252,Poeng!BE$1,FALSE)</f>
        <v>N/A</v>
      </c>
      <c r="J22" s="66"/>
      <c r="K22" s="233"/>
      <c r="L22" s="633"/>
      <c r="M22" s="848"/>
      <c r="N22" s="69"/>
      <c r="O22" s="99">
        <f>VLOOKUP(D22,Poeng!$B$10:$BC$252,Poeng!AF$1,FALSE)</f>
        <v>0</v>
      </c>
      <c r="P22" s="99" t="str">
        <f>VLOOKUP(D22,Poeng!$B$10:$BH$252,Poeng!BH$1,FALSE)</f>
        <v>N/A</v>
      </c>
      <c r="Q22" s="583"/>
      <c r="R22" s="584"/>
      <c r="S22" s="577"/>
      <c r="T22" s="268"/>
      <c r="U22" s="69"/>
      <c r="V22" s="99">
        <f>VLOOKUP(D22,Poeng!$B$10:$BC$252,Poeng!AG$1,FALSE)</f>
        <v>0</v>
      </c>
      <c r="W22" s="99" t="str">
        <f>VLOOKUP(D22,Poeng!$B$10:$BK$252,Poeng!BK$1,FALSE)</f>
        <v>N/A</v>
      </c>
      <c r="X22" s="67"/>
      <c r="Y22" s="66"/>
      <c r="Z22" s="577"/>
      <c r="AC22" s="17">
        <f t="shared" si="0"/>
        <v>1</v>
      </c>
      <c r="AD22" s="1" t="e">
        <f>VLOOKUP(K22,'Assessment Details'!$O$45:$P$48,2,FALSE)</f>
        <v>#N/A</v>
      </c>
      <c r="AE22" s="1" t="e">
        <f>VLOOKUP(R22,'Assessment Details'!$O$45:$P$48,2,FALSE)</f>
        <v>#N/A</v>
      </c>
      <c r="AF22" s="1" t="e">
        <f>VLOOKUP(Y22,'Assessment Details'!$O$45:$P$48,2,FALSE)</f>
        <v>#N/A</v>
      </c>
    </row>
    <row r="23" spans="1:58" ht="30">
      <c r="A23" s="830">
        <v>14</v>
      </c>
      <c r="B23" s="829" t="s">
        <v>251</v>
      </c>
      <c r="C23" s="100" t="s">
        <v>188</v>
      </c>
      <c r="D23" s="14" t="s">
        <v>267</v>
      </c>
      <c r="E23" s="825" t="str">
        <f>VLOOKUP(D23,Poeng!$B$10:$R$252,Poeng!E$1,FALSE)</f>
        <v>Considerate contruction: clean and tidy building process and checklist A1 (EU taxonomy requirement: criterion 5-6)</v>
      </c>
      <c r="F23" s="98">
        <f>VLOOKUP(D23,Poeng!$B$10:$AB$252,Poeng!AB$1,FALSE)</f>
        <v>1</v>
      </c>
      <c r="G23" s="29"/>
      <c r="H23" s="99">
        <f>VLOOKUP(D23,Poeng!$B$10:$AE$252,Poeng!AE$1,FALSE)</f>
        <v>0</v>
      </c>
      <c r="I23" s="100" t="str">
        <f>VLOOKUP(D23,Poeng!$B$10:$BE$252,Poeng!BE$1,FALSE)</f>
        <v>Unclassified</v>
      </c>
      <c r="J23" s="66"/>
      <c r="K23" s="233"/>
      <c r="L23" s="633"/>
      <c r="M23" s="848"/>
      <c r="N23" s="69"/>
      <c r="O23" s="99">
        <f>VLOOKUP(D23,Poeng!$B$10:$BC$252,Poeng!AF$1,FALSE)</f>
        <v>0</v>
      </c>
      <c r="P23" s="99" t="str">
        <f>VLOOKUP(D23,Poeng!$B$10:$BH$252,Poeng!BH$1,FALSE)</f>
        <v>Unclassified</v>
      </c>
      <c r="Q23" s="583"/>
      <c r="R23" s="584"/>
      <c r="S23" s="577"/>
      <c r="T23" s="268"/>
      <c r="U23" s="69"/>
      <c r="V23" s="99">
        <f>VLOOKUP(D23,Poeng!$B$10:$BC$252,Poeng!AG$1,FALSE)</f>
        <v>0</v>
      </c>
      <c r="W23" s="99" t="str">
        <f>VLOOKUP(D23,Poeng!$B$10:$BK$252,Poeng!BK$1,FALSE)</f>
        <v>Unclassified</v>
      </c>
      <c r="X23" s="67"/>
      <c r="Y23" s="66"/>
      <c r="Z23" s="577"/>
      <c r="AC23" s="17">
        <f t="shared" si="0"/>
        <v>1</v>
      </c>
      <c r="AD23" s="1" t="e">
        <f>VLOOKUP(K23,'Assessment Details'!$O$45:$P$48,2,FALSE)</f>
        <v>#N/A</v>
      </c>
      <c r="AE23" s="1" t="e">
        <f>VLOOKUP(R23,'Assessment Details'!$O$45:$P$48,2,FALSE)</f>
        <v>#N/A</v>
      </c>
      <c r="AF23" s="1" t="e">
        <f>VLOOKUP(Y23,'Assessment Details'!$O$45:$P$48,2,FALSE)</f>
        <v>#N/A</v>
      </c>
    </row>
    <row r="24" spans="1:58" ht="30">
      <c r="A24" s="830">
        <v>15</v>
      </c>
      <c r="B24" s="829" t="s">
        <v>251</v>
      </c>
      <c r="C24" s="100" t="s">
        <v>188</v>
      </c>
      <c r="D24" s="14" t="s">
        <v>268</v>
      </c>
      <c r="E24" s="825" t="str">
        <f>VLOOKUP(D24,Poeng!$B$10:$R$252,Poeng!E$1,FALSE)</f>
        <v>Considerate contruction: INSTA 800 and checklist A1 (EU taxonomy requirement: criterion 7-9)</v>
      </c>
      <c r="F24" s="98">
        <f>VLOOKUP(D24,Poeng!$B$10:$AB$252,Poeng!AB$1,FALSE)</f>
        <v>1</v>
      </c>
      <c r="G24" s="29"/>
      <c r="H24" s="99">
        <f>VLOOKUP(D24,Poeng!$B$10:$AE$252,Poeng!AE$1,FALSE)</f>
        <v>0</v>
      </c>
      <c r="I24" s="100" t="str">
        <f>VLOOKUP(D24,Poeng!$B$10:$BE$252,Poeng!BE$1,FALSE)</f>
        <v>Good</v>
      </c>
      <c r="J24" s="66"/>
      <c r="K24" s="233"/>
      <c r="L24" s="633"/>
      <c r="M24" s="848"/>
      <c r="N24" s="69"/>
      <c r="O24" s="99">
        <f>VLOOKUP(D24,Poeng!$B$10:$BC$252,Poeng!AF$1,FALSE)</f>
        <v>0</v>
      </c>
      <c r="P24" s="99" t="str">
        <f>VLOOKUP(D24,Poeng!$B$10:$BH$252,Poeng!BH$1,FALSE)</f>
        <v>Good</v>
      </c>
      <c r="Q24" s="583"/>
      <c r="R24" s="584"/>
      <c r="S24" s="577"/>
      <c r="T24" s="268"/>
      <c r="U24" s="69"/>
      <c r="V24" s="99">
        <f>VLOOKUP(D24,Poeng!$B$10:$BC$252,Poeng!AG$1,FALSE)</f>
        <v>0</v>
      </c>
      <c r="W24" s="99" t="str">
        <f>VLOOKUP(D24,Poeng!$B$10:$BK$252,Poeng!BK$1,FALSE)</f>
        <v>Good</v>
      </c>
      <c r="X24" s="67"/>
      <c r="Y24" s="66"/>
      <c r="Z24" s="577"/>
      <c r="AC24" s="17">
        <f t="shared" si="0"/>
        <v>1</v>
      </c>
      <c r="AD24" s="1" t="e">
        <f>VLOOKUP(K24,'Assessment Details'!$O$45:$P$48,2,FALSE)</f>
        <v>#N/A</v>
      </c>
      <c r="AE24" s="1" t="e">
        <f>VLOOKUP(R24,'Assessment Details'!$O$45:$P$48,2,FALSE)</f>
        <v>#N/A</v>
      </c>
      <c r="AF24" s="1" t="e">
        <f>VLOOKUP(Y24,'Assessment Details'!$O$45:$P$48,2,FALSE)</f>
        <v>#N/A</v>
      </c>
    </row>
    <row r="25" spans="1:58">
      <c r="A25" s="830">
        <v>16</v>
      </c>
      <c r="B25" s="829" t="s">
        <v>251</v>
      </c>
      <c r="C25" s="100" t="s">
        <v>188</v>
      </c>
      <c r="D25" s="14" t="s">
        <v>269</v>
      </c>
      <c r="E25" s="687" t="str">
        <f>VLOOKUP(D25,Poeng!$B$10:$R$252,Poeng!E$1,FALSE)</f>
        <v>Energy consumption from activities on the construction site (step 2-4)</v>
      </c>
      <c r="F25" s="98">
        <f>VLOOKUP(D25,Poeng!$B$10:$AB$252,Poeng!AB$1,FALSE)</f>
        <v>1</v>
      </c>
      <c r="G25" s="29"/>
      <c r="H25" s="99">
        <f>VLOOKUP(D25,Poeng!$B$10:$AE$252,Poeng!AE$1,FALSE)</f>
        <v>0</v>
      </c>
      <c r="I25" s="100" t="str">
        <f>VLOOKUP(D25,Poeng!$B$10:$BE$252,Poeng!BE$1,FALSE)</f>
        <v>Very Good</v>
      </c>
      <c r="J25" s="66"/>
      <c r="K25" s="233"/>
      <c r="L25" s="633"/>
      <c r="M25" s="848"/>
      <c r="N25" s="69"/>
      <c r="O25" s="99">
        <f>VLOOKUP(D25,Poeng!$B$10:$BC$252,Poeng!AF$1,FALSE)</f>
        <v>0</v>
      </c>
      <c r="P25" s="99" t="str">
        <f>VLOOKUP(D25,Poeng!$B$10:$BH$252,Poeng!BH$1,FALSE)</f>
        <v>Very Good</v>
      </c>
      <c r="Q25" s="583"/>
      <c r="R25" s="584"/>
      <c r="S25" s="577"/>
      <c r="T25" s="268"/>
      <c r="U25" s="69"/>
      <c r="V25" s="99">
        <f>VLOOKUP(D25,Poeng!$B$10:$BC$252,Poeng!AG$1,FALSE)</f>
        <v>0</v>
      </c>
      <c r="W25" s="99" t="str">
        <f>VLOOKUP(D25,Poeng!$B$10:$BK$252,Poeng!BK$1,FALSE)</f>
        <v>Very Good</v>
      </c>
      <c r="X25" s="67"/>
      <c r="Y25" s="66"/>
      <c r="Z25" s="577"/>
      <c r="AC25" s="17">
        <f t="shared" si="0"/>
        <v>1</v>
      </c>
      <c r="AD25" s="1" t="e">
        <f>VLOOKUP(K25,'Assessment Details'!$O$45:$P$48,2,FALSE)</f>
        <v>#N/A</v>
      </c>
      <c r="AE25" s="1" t="e">
        <f>VLOOKUP(R25,'Assessment Details'!$O$45:$P$48,2,FALSE)</f>
        <v>#N/A</v>
      </c>
      <c r="AF25" s="1" t="e">
        <f>VLOOKUP(Y25,'Assessment Details'!$O$45:$P$48,2,FALSE)</f>
        <v>#N/A</v>
      </c>
    </row>
    <row r="26" spans="1:58">
      <c r="A26" s="830">
        <v>17</v>
      </c>
      <c r="B26" s="829" t="s">
        <v>251</v>
      </c>
      <c r="C26" s="100" t="s">
        <v>188</v>
      </c>
      <c r="D26" s="14" t="s">
        <v>270</v>
      </c>
      <c r="E26" s="687" t="str">
        <f>VLOOKUP(D26,Poeng!$B$10:$R$252,Poeng!E$1,FALSE)</f>
        <v>Energy consumption from transport of masses and waste (step 2-4)</v>
      </c>
      <c r="F26" s="98">
        <f>VLOOKUP(D26,Poeng!$B$10:$AB$252,Poeng!AB$1,FALSE)</f>
        <v>2</v>
      </c>
      <c r="G26" s="29"/>
      <c r="H26" s="99">
        <f>VLOOKUP(D26,Poeng!$B$10:$AE$252,Poeng!AE$1,FALSE)</f>
        <v>0</v>
      </c>
      <c r="I26" s="100" t="str">
        <f>VLOOKUP(D26,Poeng!$B$10:$BE$252,Poeng!BE$1,FALSE)</f>
        <v>Very Good</v>
      </c>
      <c r="J26" s="66"/>
      <c r="K26" s="233"/>
      <c r="L26" s="633"/>
      <c r="M26" s="848"/>
      <c r="N26" s="69"/>
      <c r="O26" s="99">
        <f>VLOOKUP(D26,Poeng!$B$10:$BC$252,Poeng!AF$1,FALSE)</f>
        <v>0</v>
      </c>
      <c r="P26" s="99" t="str">
        <f>VLOOKUP(D26,Poeng!$B$10:$BH$252,Poeng!BH$1,FALSE)</f>
        <v>Very Good</v>
      </c>
      <c r="Q26" s="583"/>
      <c r="R26" s="584"/>
      <c r="S26" s="577"/>
      <c r="T26" s="268"/>
      <c r="U26" s="69"/>
      <c r="V26" s="99">
        <f>VLOOKUP(D26,Poeng!$B$10:$BC$252,Poeng!AG$1,FALSE)</f>
        <v>0</v>
      </c>
      <c r="W26" s="99" t="str">
        <f>VLOOKUP(D26,Poeng!$B$10:$BK$252,Poeng!BK$1,FALSE)</f>
        <v>Very Good</v>
      </c>
      <c r="X26" s="67"/>
      <c r="Y26" s="66"/>
      <c r="Z26" s="577"/>
      <c r="AC26" s="17">
        <f t="shared" si="0"/>
        <v>1</v>
      </c>
      <c r="AD26" s="1" t="e">
        <f>VLOOKUP(K26,'Assessment Details'!$O$45:$P$48,2,FALSE)</f>
        <v>#N/A</v>
      </c>
      <c r="AE26" s="1" t="e">
        <f>VLOOKUP(R26,'Assessment Details'!$O$45:$P$48,2,FALSE)</f>
        <v>#N/A</v>
      </c>
      <c r="AF26" s="1" t="e">
        <f>VLOOKUP(Y26,'Assessment Details'!$O$45:$P$48,2,FALSE)</f>
        <v>#N/A</v>
      </c>
    </row>
    <row r="27" spans="1:58">
      <c r="A27" s="830">
        <v>18</v>
      </c>
      <c r="B27" s="829" t="s">
        <v>251</v>
      </c>
      <c r="C27" s="739" t="s">
        <v>271</v>
      </c>
      <c r="D27" s="653" t="s">
        <v>271</v>
      </c>
      <c r="E27" s="686" t="str">
        <f>VLOOKUP(D27,Poeng!$B$10:$R$252,Poeng!E$1,FALSE)</f>
        <v>Man 04 Commissioning and handover</v>
      </c>
      <c r="F27" s="691">
        <f>VLOOKUP(D27,Poeng!$B$10:$AB$252,Poeng!AB$1,FALSE)</f>
        <v>3</v>
      </c>
      <c r="G27" s="784"/>
      <c r="H27" s="692" t="str">
        <f>VLOOKUP(D27,Poeng!$B$10:$AI$252,Poeng!AI$1,FALSE)&amp;" c. "&amp;ROUND(VLOOKUP(D27,Poeng!$B$10:$AE$252,Poeng!AE$1,FALSE)*100,1)&amp;" %"</f>
        <v>0 c. 0 %</v>
      </c>
      <c r="I27" s="739" t="str">
        <f>VLOOKUP(D27,Poeng!$B$10:$BE$252,Poeng!BE$1,FALSE)</f>
        <v>N/A</v>
      </c>
      <c r="J27" s="66"/>
      <c r="K27" s="233"/>
      <c r="L27" s="633"/>
      <c r="M27" s="648"/>
      <c r="N27" s="784"/>
      <c r="O27" s="703" t="str">
        <f>VLOOKUP(D27,Poeng!$B$10:$BC$252,Poeng!AJ$1,FALSE)&amp;" c. "&amp;ROUND(VLOOKUP(D27,Poeng!$B$10:$BC$252,Poeng!AF$1,FALSE)*100,1)&amp;" %"</f>
        <v>0 c. 0 %</v>
      </c>
      <c r="P27" s="99" t="str">
        <f>VLOOKUP(D27,Poeng!$B$10:$BH$252,Poeng!BH$1,FALSE)</f>
        <v>N/A</v>
      </c>
      <c r="Q27" s="583"/>
      <c r="R27" s="584"/>
      <c r="S27" s="577"/>
      <c r="T27" s="268"/>
      <c r="U27" s="784"/>
      <c r="V27" s="703" t="str">
        <f>VLOOKUP(D27,Poeng!$B$10:$BC$252,Poeng!AK$1,FALSE)&amp;" c. "&amp;ROUND(VLOOKUP(D27,Poeng!$B$10:$BC$252,Poeng!AG$1,FALSE)*100,1)&amp;" %"</f>
        <v>0 c. 0 %</v>
      </c>
      <c r="W27" s="99" t="str">
        <f>VLOOKUP(D27,Poeng!$B$10:$BK$252,Poeng!BK$1,FALSE)</f>
        <v>N/A</v>
      </c>
      <c r="X27" s="67"/>
      <c r="Y27" s="66"/>
      <c r="Z27" s="577"/>
      <c r="AA27" s="108"/>
      <c r="AB27" s="495" t="s">
        <v>127</v>
      </c>
      <c r="AC27" s="17">
        <f t="shared" si="0"/>
        <v>1</v>
      </c>
      <c r="AD27" s="1" t="e">
        <f>VLOOKUP(K27,'Assessment Details'!$O$45:$P$48,2,FALSE)</f>
        <v>#N/A</v>
      </c>
      <c r="AE27" s="1" t="e">
        <f>VLOOKUP(R27,'Assessment Details'!$O$45:$P$48,2,FALSE)</f>
        <v>#N/A</v>
      </c>
      <c r="AF27" s="1" t="e">
        <f>VLOOKUP(Y27,'Assessment Details'!$O$45:$P$48,2,FALSE)</f>
        <v>#N/A</v>
      </c>
      <c r="AI27" s="56"/>
      <c r="AJ27" s="521" t="s">
        <v>272</v>
      </c>
      <c r="AK27" s="501" t="s">
        <v>273</v>
      </c>
      <c r="AL27" s="501" t="s">
        <v>274</v>
      </c>
      <c r="AM27" s="501" t="s">
        <v>275</v>
      </c>
      <c r="AN27" s="56"/>
      <c r="AO27" s="56"/>
      <c r="AP27" s="56"/>
      <c r="AR27" s="1" t="s">
        <v>127</v>
      </c>
      <c r="AS27" s="17" t="str">
        <f t="shared" si="3"/>
        <v>N/A</v>
      </c>
      <c r="AT27" s="17" t="str">
        <f t="shared" si="1"/>
        <v>N/A</v>
      </c>
      <c r="AU27" s="17" t="str">
        <f t="shared" si="2"/>
        <v>N/A</v>
      </c>
      <c r="AV27" s="17"/>
      <c r="AW27" s="17"/>
      <c r="AX27" s="17"/>
      <c r="AY27" s="13"/>
      <c r="AZ27" s="495"/>
      <c r="BA27" s="13"/>
      <c r="BB27" s="13"/>
      <c r="BC27" s="13"/>
      <c r="BD27" s="13"/>
      <c r="BE27" s="13"/>
      <c r="BF27" s="13"/>
    </row>
    <row r="28" spans="1:58">
      <c r="A28" s="830">
        <v>19</v>
      </c>
      <c r="B28" s="829" t="s">
        <v>251</v>
      </c>
      <c r="C28" s="100" t="s">
        <v>271</v>
      </c>
      <c r="D28" s="14" t="s">
        <v>276</v>
      </c>
      <c r="E28" s="687" t="str">
        <f>VLOOKUP(D28,Poeng!$B$10:$R$252,Poeng!E$1,FALSE)</f>
        <v xml:space="preserve">Commissioning - testing schedule and responsibilities </v>
      </c>
      <c r="F28" s="98">
        <f>VLOOKUP(D28,Poeng!$B$10:$AB$252,Poeng!AB$1,FALSE)</f>
        <v>1</v>
      </c>
      <c r="G28" s="29"/>
      <c r="H28" s="99">
        <f>VLOOKUP(D28,Poeng!$B$10:$AE$252,Poeng!AE$1,FALSE)</f>
        <v>0</v>
      </c>
      <c r="I28" s="100" t="str">
        <f>VLOOKUP(D28,Poeng!$B$10:$BE$252,Poeng!BE$1,FALSE)</f>
        <v>Unclassified</v>
      </c>
      <c r="J28" s="66"/>
      <c r="K28" s="233"/>
      <c r="L28" s="633"/>
      <c r="M28" s="848"/>
      <c r="N28" s="69"/>
      <c r="O28" s="99">
        <f>VLOOKUP(D28,Poeng!$B$10:$BC$252,Poeng!AF$1,FALSE)</f>
        <v>0</v>
      </c>
      <c r="P28" s="99" t="str">
        <f>VLOOKUP(D28,Poeng!$B$10:$BH$252,Poeng!BH$1,FALSE)</f>
        <v>Unclassified</v>
      </c>
      <c r="Q28" s="583"/>
      <c r="R28" s="584"/>
      <c r="S28" s="577"/>
      <c r="T28" s="268"/>
      <c r="U28" s="69"/>
      <c r="V28" s="99">
        <f>VLOOKUP(D28,Poeng!$B$10:$BC$252,Poeng!AG$1,FALSE)</f>
        <v>0</v>
      </c>
      <c r="W28" s="99" t="str">
        <f>VLOOKUP(D28,Poeng!$B$10:$BK$252,Poeng!BK$1,FALSE)</f>
        <v>Unclassified</v>
      </c>
      <c r="X28" s="67"/>
      <c r="Y28" s="66"/>
      <c r="Z28" s="577"/>
      <c r="AC28" s="17">
        <f t="shared" si="0"/>
        <v>1</v>
      </c>
      <c r="AD28" s="1" t="e">
        <f>VLOOKUP(K28,'Assessment Details'!$O$45:$P$48,2,FALSE)</f>
        <v>#N/A</v>
      </c>
      <c r="AE28" s="1" t="e">
        <f>VLOOKUP(R28,'Assessment Details'!$O$45:$P$48,2,FALSE)</f>
        <v>#N/A</v>
      </c>
      <c r="AF28" s="1" t="e">
        <f>VLOOKUP(Y28,'Assessment Details'!$O$45:$P$48,2,FALSE)</f>
        <v>#N/A</v>
      </c>
    </row>
    <row r="29" spans="1:58">
      <c r="A29" s="830">
        <v>20</v>
      </c>
      <c r="B29" s="829" t="s">
        <v>251</v>
      </c>
      <c r="C29" s="100" t="s">
        <v>271</v>
      </c>
      <c r="D29" s="14" t="s">
        <v>277</v>
      </c>
      <c r="E29" s="687" t="str">
        <f>VLOOKUP(D29,Poeng!$B$10:$R$252,Poeng!E$1,FALSE)</f>
        <v>Commissioning - design, preperation and implementation</v>
      </c>
      <c r="F29" s="98">
        <f>VLOOKUP(D29,Poeng!$B$10:$AB$252,Poeng!AB$1,FALSE)</f>
        <v>1</v>
      </c>
      <c r="G29" s="29"/>
      <c r="H29" s="99">
        <f>VLOOKUP(D29,Poeng!$B$10:$AE$252,Poeng!AE$1,FALSE)</f>
        <v>0</v>
      </c>
      <c r="I29" s="100" t="str">
        <f>VLOOKUP(D29,Poeng!$B$10:$BE$252,Poeng!BE$1,FALSE)</f>
        <v>N/A</v>
      </c>
      <c r="J29" s="66"/>
      <c r="K29" s="233"/>
      <c r="L29" s="633"/>
      <c r="M29" s="848"/>
      <c r="N29" s="69"/>
      <c r="O29" s="99">
        <f>VLOOKUP(D29,Poeng!$B$10:$BC$252,Poeng!AF$1,FALSE)</f>
        <v>0</v>
      </c>
      <c r="P29" s="99" t="str">
        <f>VLOOKUP(D29,Poeng!$B$10:$BH$252,Poeng!BH$1,FALSE)</f>
        <v>N/A</v>
      </c>
      <c r="Q29" s="583"/>
      <c r="R29" s="584"/>
      <c r="S29" s="577"/>
      <c r="T29" s="268"/>
      <c r="U29" s="69"/>
      <c r="V29" s="99">
        <f>VLOOKUP(D29,Poeng!$B$10:$BC$252,Poeng!AG$1,FALSE)</f>
        <v>0</v>
      </c>
      <c r="W29" s="99" t="str">
        <f>VLOOKUP(D29,Poeng!$B$10:$BK$252,Poeng!BK$1,FALSE)</f>
        <v>N/A</v>
      </c>
      <c r="X29" s="67"/>
      <c r="Y29" s="66"/>
      <c r="Z29" s="577"/>
      <c r="AC29" s="17">
        <f t="shared" si="0"/>
        <v>1</v>
      </c>
      <c r="AD29" s="1" t="e">
        <f>VLOOKUP(K29,'Assessment Details'!$O$45:$P$48,2,FALSE)</f>
        <v>#N/A</v>
      </c>
      <c r="AE29" s="1" t="e">
        <f>VLOOKUP(R29,'Assessment Details'!$O$45:$P$48,2,FALSE)</f>
        <v>#N/A</v>
      </c>
      <c r="AF29" s="1" t="e">
        <f>VLOOKUP(Y29,'Assessment Details'!$O$45:$P$48,2,FALSE)</f>
        <v>#N/A</v>
      </c>
    </row>
    <row r="30" spans="1:58">
      <c r="A30" s="830">
        <v>21</v>
      </c>
      <c r="B30" s="829" t="s">
        <v>251</v>
      </c>
      <c r="C30" s="100" t="s">
        <v>271</v>
      </c>
      <c r="D30" s="14" t="s">
        <v>278</v>
      </c>
      <c r="E30" s="687" t="str">
        <f>VLOOKUP(D30,Poeng!$B$10:$R$252,Poeng!E$1,FALSE)</f>
        <v>Prepare for good handover</v>
      </c>
      <c r="F30" s="98">
        <f>VLOOKUP(D30,Poeng!$B$10:$AB$252,Poeng!AB$1,FALSE)</f>
        <v>1</v>
      </c>
      <c r="G30" s="29"/>
      <c r="H30" s="99">
        <f>VLOOKUP(D30,Poeng!$B$10:$AE$252,Poeng!AE$1,FALSE)</f>
        <v>0</v>
      </c>
      <c r="I30" s="100" t="str">
        <f>VLOOKUP(D30,Poeng!$B$10:$BE$252,Poeng!BE$1,FALSE)</f>
        <v>Good</v>
      </c>
      <c r="J30" s="66"/>
      <c r="K30" s="233"/>
      <c r="L30" s="633"/>
      <c r="M30" s="848"/>
      <c r="N30" s="69"/>
      <c r="O30" s="99">
        <f>VLOOKUP(D30,Poeng!$B$10:$BC$252,Poeng!AF$1,FALSE)</f>
        <v>0</v>
      </c>
      <c r="P30" s="99" t="str">
        <f>VLOOKUP(D30,Poeng!$B$10:$BH$252,Poeng!BH$1,FALSE)</f>
        <v>Good</v>
      </c>
      <c r="Q30" s="583"/>
      <c r="R30" s="584"/>
      <c r="S30" s="577"/>
      <c r="T30" s="268"/>
      <c r="U30" s="69"/>
      <c r="V30" s="99">
        <f>VLOOKUP(D30,Poeng!$B$10:$BC$252,Poeng!AG$1,FALSE)</f>
        <v>0</v>
      </c>
      <c r="W30" s="99" t="str">
        <f>VLOOKUP(D30,Poeng!$B$10:$BK$252,Poeng!BK$1,FALSE)</f>
        <v>Good</v>
      </c>
      <c r="X30" s="67"/>
      <c r="Y30" s="66"/>
      <c r="Z30" s="577"/>
      <c r="AC30" s="17">
        <f t="shared" si="0"/>
        <v>1</v>
      </c>
      <c r="AD30" s="1" t="e">
        <f>VLOOKUP(K30,'Assessment Details'!$O$45:$P$48,2,FALSE)</f>
        <v>#N/A</v>
      </c>
      <c r="AE30" s="1" t="e">
        <f>VLOOKUP(R30,'Assessment Details'!$O$45:$P$48,2,FALSE)</f>
        <v>#N/A</v>
      </c>
      <c r="AF30" s="1" t="e">
        <f>VLOOKUP(Y30,'Assessment Details'!$O$45:$P$48,2,FALSE)</f>
        <v>#N/A</v>
      </c>
    </row>
    <row r="31" spans="1:58">
      <c r="A31" s="830">
        <v>22</v>
      </c>
      <c r="B31" s="829" t="s">
        <v>251</v>
      </c>
      <c r="C31" s="739" t="s">
        <v>279</v>
      </c>
      <c r="D31" s="653" t="s">
        <v>279</v>
      </c>
      <c r="E31" s="686" t="str">
        <f>VLOOKUP(D31,Poeng!$B$10:$R$252,Poeng!E$1,FALSE)</f>
        <v>Man 05 Aftercare</v>
      </c>
      <c r="F31" s="691">
        <f>VLOOKUP(D31,Poeng!$B$10:$AB$252,Poeng!AB$1,FALSE)</f>
        <v>3</v>
      </c>
      <c r="G31" s="784"/>
      <c r="H31" s="692" t="str">
        <f>VLOOKUP(D31,Poeng!$B$10:$AI$252,Poeng!AI$1,FALSE)&amp;" c. "&amp;ROUND(VLOOKUP(D31,Poeng!$B$10:$AE$252,Poeng!AE$1,FALSE)*100,1)&amp;" %"</f>
        <v>0 c. 0 %</v>
      </c>
      <c r="I31" s="739" t="str">
        <f>VLOOKUP(D31,Poeng!$B$10:$BE$252,Poeng!BE$1,FALSE)</f>
        <v>N/A</v>
      </c>
      <c r="J31" s="66"/>
      <c r="K31" s="233"/>
      <c r="L31" s="633"/>
      <c r="M31" s="648"/>
      <c r="N31" s="784"/>
      <c r="O31" s="703" t="str">
        <f>VLOOKUP(D31,Poeng!$B$10:$BC$252,Poeng!AJ$1,FALSE)&amp;" c. "&amp;ROUND(VLOOKUP(D31,Poeng!$B$10:$BC$252,Poeng!AF$1,FALSE)*100,1)&amp;" %"</f>
        <v>0 c. 0 %</v>
      </c>
      <c r="P31" s="99" t="str">
        <f>VLOOKUP(D31,Poeng!$B$10:$BH$252,Poeng!BH$1,FALSE)</f>
        <v>N/A</v>
      </c>
      <c r="Q31" s="583"/>
      <c r="R31" s="584"/>
      <c r="S31" s="577"/>
      <c r="T31" s="268"/>
      <c r="U31" s="784"/>
      <c r="V31" s="703" t="str">
        <f>VLOOKUP(D31,Poeng!$B$10:$BC$252,Poeng!AK$1,FALSE)&amp;" c. "&amp;ROUND(VLOOKUP(D31,Poeng!$B$10:$BC$252,Poeng!AG$1,FALSE)*100,1)&amp;" %"</f>
        <v>0 c. 0 %</v>
      </c>
      <c r="W31" s="99" t="str">
        <f>VLOOKUP(D31,Poeng!$B$10:$BK$252,Poeng!BK$1,FALSE)</f>
        <v>N/A</v>
      </c>
      <c r="X31" s="67"/>
      <c r="Y31" s="66"/>
      <c r="Z31" s="577"/>
      <c r="AA31" s="108"/>
      <c r="AB31" s="495" t="s">
        <v>127</v>
      </c>
      <c r="AC31" s="17">
        <f t="shared" si="0"/>
        <v>1</v>
      </c>
      <c r="AD31" s="1" t="e">
        <f>VLOOKUP(K31,'Assessment Details'!$O$45:$P$48,2,FALSE)</f>
        <v>#N/A</v>
      </c>
      <c r="AE31" s="1" t="e">
        <f>VLOOKUP(R31,'Assessment Details'!$O$45:$P$48,2,FALSE)</f>
        <v>#N/A</v>
      </c>
      <c r="AF31" s="1" t="e">
        <f>VLOOKUP(Y31,'Assessment Details'!$O$45:$P$48,2,FALSE)</f>
        <v>#N/A</v>
      </c>
      <c r="AG31" s="7"/>
      <c r="AI31" s="56"/>
      <c r="AJ31" s="521" t="s">
        <v>280</v>
      </c>
      <c r="AK31" s="501" t="s">
        <v>273</v>
      </c>
      <c r="AL31" s="501" t="s">
        <v>275</v>
      </c>
      <c r="AM31" s="56"/>
      <c r="AN31" s="56"/>
      <c r="AO31" s="56"/>
      <c r="AP31" s="56"/>
      <c r="AR31" s="1" t="s">
        <v>127</v>
      </c>
      <c r="AS31" s="17" t="str">
        <f t="shared" si="3"/>
        <v>N/A</v>
      </c>
      <c r="AT31" s="17" t="str">
        <f t="shared" si="1"/>
        <v>N/A</v>
      </c>
      <c r="AU31" s="17" t="str">
        <f t="shared" si="2"/>
        <v>N/A</v>
      </c>
      <c r="AV31" s="17"/>
      <c r="AW31" s="17"/>
      <c r="AX31" s="17"/>
      <c r="AY31" s="13"/>
      <c r="AZ31" s="495"/>
      <c r="BA31" s="13"/>
      <c r="BB31" s="13"/>
      <c r="BC31" s="13"/>
      <c r="BD31" s="13"/>
      <c r="BE31" s="13"/>
      <c r="BF31" s="13"/>
    </row>
    <row r="32" spans="1:58">
      <c r="A32" s="830">
        <v>23</v>
      </c>
      <c r="B32" s="829" t="s">
        <v>251</v>
      </c>
      <c r="C32" s="100" t="s">
        <v>279</v>
      </c>
      <c r="D32" s="14" t="s">
        <v>281</v>
      </c>
      <c r="E32" s="687" t="str">
        <f>VLOOKUP(D32,Poeng!$B$10:$R$252,Poeng!E$1,FALSE)</f>
        <v>Aftercare support</v>
      </c>
      <c r="F32" s="98">
        <f>VLOOKUP(D32,Poeng!$B$10:$AB$252,Poeng!AB$1,FALSE)</f>
        <v>1</v>
      </c>
      <c r="G32" s="29"/>
      <c r="H32" s="99">
        <f>VLOOKUP(D32,Poeng!$B$10:$AE$252,Poeng!AE$1,FALSE)</f>
        <v>0</v>
      </c>
      <c r="I32" s="100" t="str">
        <f>VLOOKUP(D32,Poeng!$B$10:$BE$252,Poeng!BE$1,FALSE)</f>
        <v>N/A</v>
      </c>
      <c r="J32" s="66"/>
      <c r="K32" s="233"/>
      <c r="L32" s="633"/>
      <c r="M32" s="848"/>
      <c r="N32" s="69"/>
      <c r="O32" s="99">
        <f>VLOOKUP(D32,Poeng!$B$10:$BC$252,Poeng!AF$1,FALSE)</f>
        <v>0</v>
      </c>
      <c r="P32" s="99" t="str">
        <f>VLOOKUP(D32,Poeng!$B$10:$BH$252,Poeng!BH$1,FALSE)</f>
        <v>N/A</v>
      </c>
      <c r="Q32" s="583"/>
      <c r="R32" s="584"/>
      <c r="S32" s="577"/>
      <c r="T32" s="268"/>
      <c r="U32" s="69"/>
      <c r="V32" s="99">
        <f>VLOOKUP(D32,Poeng!$B$10:$BC$252,Poeng!AG$1,FALSE)</f>
        <v>0</v>
      </c>
      <c r="W32" s="99" t="str">
        <f>VLOOKUP(D32,Poeng!$B$10:$BK$252,Poeng!BK$1,FALSE)</f>
        <v>N/A</v>
      </c>
      <c r="X32" s="67"/>
      <c r="Y32" s="66"/>
      <c r="Z32" s="577"/>
      <c r="AC32" s="17">
        <f t="shared" si="0"/>
        <v>1</v>
      </c>
      <c r="AD32" s="1" t="e">
        <f>VLOOKUP(K32,'Assessment Details'!$O$45:$P$48,2,FALSE)</f>
        <v>#N/A</v>
      </c>
      <c r="AE32" s="1" t="e">
        <f>VLOOKUP(R32,'Assessment Details'!$O$45:$P$48,2,FALSE)</f>
        <v>#N/A</v>
      </c>
      <c r="AF32" s="1" t="e">
        <f>VLOOKUP(Y32,'Assessment Details'!$O$45:$P$48,2,FALSE)</f>
        <v>#N/A</v>
      </c>
    </row>
    <row r="33" spans="1:58">
      <c r="A33" s="830">
        <v>24</v>
      </c>
      <c r="B33" s="829" t="s">
        <v>251</v>
      </c>
      <c r="C33" s="100" t="s">
        <v>279</v>
      </c>
      <c r="D33" s="14" t="s">
        <v>282</v>
      </c>
      <c r="E33" s="687" t="str">
        <f>VLOOKUP(D33,Poeng!$B$10:$R$252,Poeng!E$1,FALSE)</f>
        <v>Sesonal commisioning</v>
      </c>
      <c r="F33" s="98">
        <f>VLOOKUP(D33,Poeng!$B$10:$AB$252,Poeng!AB$1,FALSE)</f>
        <v>1</v>
      </c>
      <c r="G33" s="29"/>
      <c r="H33" s="99">
        <f>VLOOKUP(D33,Poeng!$B$10:$AE$252,Poeng!AE$1,FALSE)</f>
        <v>0</v>
      </c>
      <c r="I33" s="100" t="str">
        <f>VLOOKUP(D33,Poeng!$B$10:$BE$252,Poeng!BE$1,FALSE)</f>
        <v>Very Good</v>
      </c>
      <c r="J33" s="66"/>
      <c r="K33" s="233"/>
      <c r="L33" s="633"/>
      <c r="M33" s="848"/>
      <c r="N33" s="69"/>
      <c r="O33" s="99">
        <f>VLOOKUP(D33,Poeng!$B$10:$BC$252,Poeng!AF$1,FALSE)</f>
        <v>0</v>
      </c>
      <c r="P33" s="99" t="str">
        <f>VLOOKUP(D33,Poeng!$B$10:$BH$252,Poeng!BH$1,FALSE)</f>
        <v>Very Good</v>
      </c>
      <c r="Q33" s="583"/>
      <c r="R33" s="584"/>
      <c r="S33" s="577"/>
      <c r="T33" s="268"/>
      <c r="U33" s="69"/>
      <c r="V33" s="99">
        <f>VLOOKUP(D33,Poeng!$B$10:$BC$252,Poeng!AG$1,FALSE)</f>
        <v>0</v>
      </c>
      <c r="W33" s="99" t="str">
        <f>VLOOKUP(D33,Poeng!$B$10:$BK$252,Poeng!BK$1,FALSE)</f>
        <v>Very Good</v>
      </c>
      <c r="X33" s="67"/>
      <c r="Y33" s="66"/>
      <c r="Z33" s="577"/>
      <c r="AC33" s="17">
        <f t="shared" si="0"/>
        <v>1</v>
      </c>
      <c r="AD33" s="1" t="e">
        <f>VLOOKUP(K33,'Assessment Details'!$O$45:$P$48,2,FALSE)</f>
        <v>#N/A</v>
      </c>
      <c r="AE33" s="1" t="e">
        <f>VLOOKUP(R33,'Assessment Details'!$O$45:$P$48,2,FALSE)</f>
        <v>#N/A</v>
      </c>
      <c r="AF33" s="1" t="e">
        <f>VLOOKUP(Y33,'Assessment Details'!$O$45:$P$48,2,FALSE)</f>
        <v>#N/A</v>
      </c>
    </row>
    <row r="34" spans="1:58">
      <c r="A34" s="830">
        <v>25</v>
      </c>
      <c r="B34" s="829" t="s">
        <v>251</v>
      </c>
      <c r="C34" s="100" t="s">
        <v>279</v>
      </c>
      <c r="D34" s="14" t="s">
        <v>283</v>
      </c>
      <c r="E34" s="687" t="str">
        <f>VLOOKUP(D34,Poeng!$B$10:$R$252,Poeng!E$1,FALSE)</f>
        <v>Post-occypancy evaluation</v>
      </c>
      <c r="F34" s="98">
        <f>VLOOKUP(D34,Poeng!$B$10:$AB$252,Poeng!AB$1,FALSE)</f>
        <v>1</v>
      </c>
      <c r="G34" s="29"/>
      <c r="H34" s="99">
        <f>VLOOKUP(D34,Poeng!$B$10:$AE$252,Poeng!AE$1,FALSE)</f>
        <v>0</v>
      </c>
      <c r="I34" s="100" t="str">
        <f>VLOOKUP(D34,Poeng!$B$10:$BE$252,Poeng!BE$1,FALSE)</f>
        <v>N/A</v>
      </c>
      <c r="J34" s="66"/>
      <c r="K34" s="233"/>
      <c r="L34" s="633"/>
      <c r="M34" s="848"/>
      <c r="N34" s="69"/>
      <c r="O34" s="99">
        <f>VLOOKUP(D34,Poeng!$B$10:$BC$252,Poeng!AF$1,FALSE)</f>
        <v>0</v>
      </c>
      <c r="P34" s="99" t="str">
        <f>VLOOKUP(D34,Poeng!$B$10:$BH$252,Poeng!BH$1,FALSE)</f>
        <v>N/A</v>
      </c>
      <c r="Q34" s="583"/>
      <c r="R34" s="584"/>
      <c r="S34" s="577"/>
      <c r="T34" s="268"/>
      <c r="U34" s="69"/>
      <c r="V34" s="99">
        <f>VLOOKUP(D34,Poeng!$B$10:$BC$252,Poeng!AG$1,FALSE)</f>
        <v>0</v>
      </c>
      <c r="W34" s="99" t="str">
        <f>VLOOKUP(D34,Poeng!$B$10:$BK$252,Poeng!BK$1,FALSE)</f>
        <v>N/A</v>
      </c>
      <c r="X34" s="67"/>
      <c r="Y34" s="66"/>
      <c r="Z34" s="577"/>
      <c r="AC34" s="17">
        <f t="shared" si="0"/>
        <v>1</v>
      </c>
      <c r="AD34" s="1" t="e">
        <f>VLOOKUP(K34,'Assessment Details'!$O$45:$P$48,2,FALSE)</f>
        <v>#N/A</v>
      </c>
      <c r="AE34" s="1" t="e">
        <f>VLOOKUP(R34,'Assessment Details'!$O$45:$P$48,2,FALSE)</f>
        <v>#N/A</v>
      </c>
      <c r="AF34" s="1" t="e">
        <f>VLOOKUP(Y34,'Assessment Details'!$O$45:$P$48,2,FALSE)</f>
        <v>#N/A</v>
      </c>
    </row>
    <row r="35" spans="1:58" ht="15.75" thickBot="1">
      <c r="A35" s="830">
        <v>26</v>
      </c>
      <c r="B35" s="829" t="s">
        <v>251</v>
      </c>
      <c r="C35" s="836"/>
      <c r="D35" s="653" t="s">
        <v>284</v>
      </c>
      <c r="E35" s="269" t="s">
        <v>285</v>
      </c>
      <c r="F35" s="101">
        <f>Man_Credits</f>
        <v>21</v>
      </c>
      <c r="G35" s="740"/>
      <c r="H35" s="102">
        <f>Man_cont_tot</f>
        <v>0</v>
      </c>
      <c r="I35" s="693" t="str">
        <f>"Credits achieved: "&amp;Man_tot_user</f>
        <v>Credits achieved: 0</v>
      </c>
      <c r="J35" s="109"/>
      <c r="K35" s="234"/>
      <c r="L35" s="585"/>
      <c r="M35" s="648"/>
      <c r="N35" s="326"/>
      <c r="O35" s="102">
        <f>VLOOKUP(D35,Poeng!$B$10:$BC$252,Poeng!AF$1,FALSE)</f>
        <v>0</v>
      </c>
      <c r="P35" s="693" t="str">
        <f>"Credits achieved: "&amp;Man_d_user</f>
        <v>Credits achieved: 0</v>
      </c>
      <c r="Q35" s="586"/>
      <c r="R35" s="587"/>
      <c r="S35" s="585"/>
      <c r="T35" s="268"/>
      <c r="U35" s="326"/>
      <c r="V35" s="102">
        <f>VLOOKUP(D35,Poeng!$B$10:$BC$252,Poeng!AG$1,FALSE)</f>
        <v>0</v>
      </c>
      <c r="W35" s="693" t="str">
        <f>"Credits achieved: "&amp;Man_c_user</f>
        <v>Credits achieved: 0</v>
      </c>
      <c r="X35" s="325"/>
      <c r="Y35" s="110"/>
      <c r="Z35" s="585"/>
      <c r="AA35" s="108"/>
      <c r="AB35" s="496"/>
      <c r="AC35" s="17">
        <f t="shared" si="0"/>
        <v>1</v>
      </c>
      <c r="AD35" s="230">
        <v>0</v>
      </c>
      <c r="AE35" s="230">
        <v>0</v>
      </c>
      <c r="AF35" s="230">
        <v>0</v>
      </c>
      <c r="AG35" s="7"/>
      <c r="AI35" s="56"/>
      <c r="AJ35" s="521" t="s">
        <v>285</v>
      </c>
      <c r="AK35" s="56"/>
      <c r="AL35" s="56"/>
      <c r="AM35" s="56"/>
      <c r="AN35" s="56"/>
      <c r="AO35" s="56"/>
      <c r="AP35" s="56"/>
      <c r="AS35" s="17" t="str">
        <f t="shared" si="3"/>
        <v>N/A</v>
      </c>
      <c r="AT35" s="17" t="str">
        <f t="shared" si="1"/>
        <v>N/A</v>
      </c>
      <c r="AU35" s="17" t="str">
        <f t="shared" si="2"/>
        <v>N/A</v>
      </c>
      <c r="AV35" s="17"/>
      <c r="AW35" s="17"/>
      <c r="AX35" s="17"/>
      <c r="AY35" s="13"/>
      <c r="AZ35" s="496"/>
      <c r="BA35" s="13"/>
      <c r="BB35" s="13"/>
      <c r="BC35" s="13"/>
      <c r="BD35" s="13"/>
      <c r="BE35" s="13"/>
      <c r="BF35" s="13"/>
    </row>
    <row r="36" spans="1:58">
      <c r="A36" s="830">
        <v>27</v>
      </c>
      <c r="B36" s="829" t="s">
        <v>251</v>
      </c>
      <c r="C36" s="271"/>
      <c r="D36" s="653"/>
      <c r="E36" s="270"/>
      <c r="F36" s="271"/>
      <c r="G36" s="272"/>
      <c r="H36" s="271"/>
      <c r="I36" s="271"/>
      <c r="J36" s="273"/>
      <c r="K36" s="272"/>
      <c r="L36" s="588"/>
      <c r="M36" s="648"/>
      <c r="N36" s="274"/>
      <c r="O36" s="274"/>
      <c r="P36" s="588"/>
      <c r="Q36" s="588"/>
      <c r="R36" s="589"/>
      <c r="S36" s="588"/>
      <c r="T36" s="268"/>
      <c r="U36" s="274"/>
      <c r="V36" s="274"/>
      <c r="W36" s="588"/>
      <c r="X36" s="273"/>
      <c r="Y36" s="274"/>
      <c r="Z36" s="588"/>
      <c r="AA36" s="108"/>
      <c r="AB36" s="273"/>
      <c r="AC36" s="17">
        <f t="shared" si="0"/>
        <v>1</v>
      </c>
      <c r="AD36" s="231">
        <v>0</v>
      </c>
      <c r="AE36" s="231">
        <v>0</v>
      </c>
      <c r="AF36" s="231">
        <v>0</v>
      </c>
      <c r="AI36" s="56"/>
      <c r="AJ36" s="522"/>
      <c r="AK36" s="56"/>
      <c r="AL36" s="56"/>
      <c r="AM36" s="56"/>
      <c r="AN36" s="56"/>
      <c r="AO36" s="56"/>
      <c r="AP36" s="56"/>
      <c r="AS36" s="17" t="str">
        <f t="shared" si="3"/>
        <v>N/A</v>
      </c>
      <c r="AT36" s="17" t="str">
        <f t="shared" si="1"/>
        <v>N/A</v>
      </c>
      <c r="AU36" s="17" t="str">
        <f t="shared" si="2"/>
        <v>N/A</v>
      </c>
      <c r="AV36" s="17"/>
      <c r="AW36" s="17"/>
      <c r="AX36" s="17"/>
      <c r="AZ36" s="273"/>
    </row>
    <row r="37" spans="1:58" ht="18.75">
      <c r="A37" s="830">
        <v>28</v>
      </c>
      <c r="B37" s="831" t="s">
        <v>286</v>
      </c>
      <c r="C37" s="837"/>
      <c r="D37" s="653"/>
      <c r="E37" s="275" t="s">
        <v>287</v>
      </c>
      <c r="F37" s="264"/>
      <c r="G37" s="265"/>
      <c r="H37" s="264"/>
      <c r="I37" s="264"/>
      <c r="J37" s="276"/>
      <c r="K37" s="277"/>
      <c r="L37" s="580"/>
      <c r="M37" s="648"/>
      <c r="N37" s="281"/>
      <c r="O37" s="280"/>
      <c r="P37" s="581"/>
      <c r="Q37" s="581"/>
      <c r="R37" s="590"/>
      <c r="S37" s="582"/>
      <c r="T37" s="268"/>
      <c r="U37" s="281"/>
      <c r="V37" s="280"/>
      <c r="W37" s="581"/>
      <c r="X37" s="279"/>
      <c r="Y37" s="280"/>
      <c r="Z37" s="580"/>
      <c r="AA37" s="108"/>
      <c r="AB37" s="278"/>
      <c r="AC37" s="17">
        <f t="shared" si="0"/>
        <v>1</v>
      </c>
      <c r="AD37" s="229">
        <v>0</v>
      </c>
      <c r="AE37" s="229">
        <v>0</v>
      </c>
      <c r="AF37" s="229">
        <v>0</v>
      </c>
      <c r="AI37" s="56"/>
      <c r="AJ37" s="522" t="s">
        <v>287</v>
      </c>
      <c r="AK37" s="56"/>
      <c r="AL37" s="56"/>
      <c r="AM37" s="56"/>
      <c r="AN37" s="56"/>
      <c r="AO37" s="56"/>
      <c r="AP37" s="56"/>
      <c r="AS37" s="17" t="str">
        <f t="shared" si="3"/>
        <v>N/A</v>
      </c>
      <c r="AT37" s="17" t="str">
        <f t="shared" si="1"/>
        <v>N/A</v>
      </c>
      <c r="AU37" s="17" t="str">
        <f t="shared" si="2"/>
        <v>N/A</v>
      </c>
      <c r="AV37" s="17"/>
      <c r="AW37" s="17"/>
      <c r="AX37" s="17"/>
      <c r="AZ37" s="278"/>
    </row>
    <row r="38" spans="1:58">
      <c r="A38" s="830">
        <v>29</v>
      </c>
      <c r="B38" s="831" t="s">
        <v>286</v>
      </c>
      <c r="C38" s="739" t="s">
        <v>288</v>
      </c>
      <c r="D38" s="653" t="s">
        <v>288</v>
      </c>
      <c r="E38" s="686" t="str">
        <f>VLOOKUP(D38,Poeng!$B$10:$R$252,Poeng!E$1,FALSE)</f>
        <v>Hea 01 Visual comfort</v>
      </c>
      <c r="F38" s="691">
        <f>VLOOKUP(D38,Poeng!$B$10:$AB$252,Poeng!AB$1,FALSE)</f>
        <v>7</v>
      </c>
      <c r="G38" s="783"/>
      <c r="H38" s="692" t="str">
        <f>VLOOKUP(D38,Poeng!$B$10:$AI$252,Poeng!AI$1,FALSE)&amp;" c. "&amp;ROUND(VLOOKUP(D38,Poeng!$B$10:$AE$252,Poeng!AE$1,FALSE)*100,1)&amp;" %"</f>
        <v>0 c. 0 %</v>
      </c>
      <c r="I38" s="738" t="str">
        <f>VLOOKUP(D38,Poeng!$B$10:$BE$252,Poeng!BE$1,FALSE)</f>
        <v>N/A</v>
      </c>
      <c r="J38" s="700"/>
      <c r="K38" s="701"/>
      <c r="L38" s="702"/>
      <c r="M38" s="648"/>
      <c r="N38" s="784"/>
      <c r="O38" s="703" t="str">
        <f>VLOOKUP(D38,Poeng!$B$10:$BC$252,Poeng!AJ$1,FALSE)&amp;" c. "&amp;ROUND(VLOOKUP(D38,Poeng!$B$10:$BC$252,Poeng!AF$1,FALSE)*100,1)&amp;" %"</f>
        <v>0 c. 0 %</v>
      </c>
      <c r="P38" s="99" t="str">
        <f>VLOOKUP(D38,Poeng!$B$10:$BH$252,Poeng!BH$1,FALSE)</f>
        <v>N/A</v>
      </c>
      <c r="Q38" s="583"/>
      <c r="R38" s="584"/>
      <c r="S38" s="577"/>
      <c r="T38" s="268"/>
      <c r="U38" s="784"/>
      <c r="V38" s="703" t="str">
        <f>VLOOKUP(D38,Poeng!$B$10:$BC$252,Poeng!AK$1,FALSE)&amp;" c. "&amp;ROUND(VLOOKUP(D38,Poeng!$B$10:$BC$252,Poeng!AG$1,FALSE)*100,1)&amp;" %"</f>
        <v>0 c. 0 %</v>
      </c>
      <c r="W38" s="99" t="str">
        <f>VLOOKUP(D38,Poeng!$B$10:$BK$252,Poeng!BK$1,FALSE)</f>
        <v>N/A</v>
      </c>
      <c r="X38" s="67"/>
      <c r="Y38" s="66"/>
      <c r="Z38" s="577"/>
      <c r="AA38" s="108"/>
      <c r="AB38" s="531" t="s">
        <v>127</v>
      </c>
      <c r="AC38" s="17">
        <f t="shared" si="0"/>
        <v>1</v>
      </c>
      <c r="AD38" s="1" t="e">
        <f>VLOOKUP(K38,'Assessment Details'!$O$45:$P$48,2,FALSE)</f>
        <v>#N/A</v>
      </c>
      <c r="AE38" s="1" t="e">
        <f>VLOOKUP(R38,'Assessment Details'!$O$45:$P$48,2,FALSE)</f>
        <v>#N/A</v>
      </c>
      <c r="AF38" s="1" t="e">
        <f>VLOOKUP(Y38,'Assessment Details'!$O$45:$P$48,2,FALSE)</f>
        <v>#N/A</v>
      </c>
      <c r="AI38" s="56" t="str">
        <f>ais_ja</f>
        <v>Ja</v>
      </c>
      <c r="AJ38" s="522" t="s">
        <v>289</v>
      </c>
      <c r="AK38" s="502" t="s">
        <v>290</v>
      </c>
      <c r="AL38" s="502" t="s">
        <v>291</v>
      </c>
      <c r="AM38" s="502" t="s">
        <v>292</v>
      </c>
      <c r="AN38" s="502" t="s">
        <v>293</v>
      </c>
      <c r="AO38" s="502" t="s">
        <v>294</v>
      </c>
      <c r="AP38" s="502" t="s">
        <v>295</v>
      </c>
      <c r="AR38" s="1" t="str">
        <f>IF($AJ$8=ais_nei,AIS_NA,"No")</f>
        <v>No</v>
      </c>
      <c r="AS38" s="17" t="str">
        <f t="shared" ref="AS38:AX38" si="4">IF(OR($AJ$4=ais_nei,$AJ$8=ais_nei),AIS_NA,IF(AK38="",AIS_NA,AK38))</f>
        <v>N/A</v>
      </c>
      <c r="AT38" s="17" t="str">
        <f t="shared" si="4"/>
        <v>N/A</v>
      </c>
      <c r="AU38" s="17" t="str">
        <f t="shared" si="4"/>
        <v>N/A</v>
      </c>
      <c r="AV38" s="17" t="str">
        <f t="shared" si="4"/>
        <v>N/A</v>
      </c>
      <c r="AW38" s="17" t="str">
        <f t="shared" si="4"/>
        <v>N/A</v>
      </c>
      <c r="AX38" s="17" t="str">
        <f t="shared" si="4"/>
        <v>N/A</v>
      </c>
      <c r="AZ38" s="495"/>
    </row>
    <row r="39" spans="1:58">
      <c r="A39" s="830">
        <v>30</v>
      </c>
      <c r="B39" s="831" t="s">
        <v>286</v>
      </c>
      <c r="C39" s="100" t="str">
        <f>C38</f>
        <v>Hea 01</v>
      </c>
      <c r="D39" s="653" t="s">
        <v>296</v>
      </c>
      <c r="E39" s="687" t="str">
        <f>VLOOKUP(D39,Poeng!$B$10:$R$252,Poeng!E$1,FALSE)</f>
        <v>Pre-requisite: limitation of light flicker and stroboscopic effect</v>
      </c>
      <c r="F39" s="98" t="str">
        <f>VLOOKUP(D39,Poeng!$B$10:$AB$252,Poeng!AB$1,FALSE)</f>
        <v>Yes/No</v>
      </c>
      <c r="G39" s="29"/>
      <c r="H39" s="99" t="str">
        <f>VLOOKUP(D39,Poeng!$B$10:$AE$252,Poeng!AE$1,FALSE)</f>
        <v>-</v>
      </c>
      <c r="I39" s="100" t="str">
        <f>VLOOKUP(D39,Poeng!$B$10:$BE$252,Poeng!BE$1,FALSE)</f>
        <v>Unclassified</v>
      </c>
      <c r="J39" s="867"/>
      <c r="K39" s="868"/>
      <c r="L39" s="869"/>
      <c r="M39" s="648"/>
      <c r="N39" s="69"/>
      <c r="O39" s="99" t="str">
        <f>VLOOKUP(D39,Poeng!$B$10:$BC$252,Poeng!AF$1,FALSE)</f>
        <v>-</v>
      </c>
      <c r="P39" s="99" t="str">
        <f>VLOOKUP(D39,Poeng!$B$10:$BH$252,Poeng!BH$1,FALSE)</f>
        <v>Unclassified</v>
      </c>
      <c r="Q39" s="583"/>
      <c r="R39" s="584"/>
      <c r="S39" s="577"/>
      <c r="T39" s="268"/>
      <c r="U39" s="69"/>
      <c r="V39" s="99" t="str">
        <f>VLOOKUP(D39,Poeng!$B$10:$BC$252,Poeng!AG$1,FALSE)</f>
        <v>-</v>
      </c>
      <c r="W39" s="99" t="str">
        <f>VLOOKUP(D39,Poeng!$B$10:$BK$252,Poeng!BK$1,FALSE)</f>
        <v>Unclassified</v>
      </c>
      <c r="X39" s="67"/>
      <c r="Y39" s="66"/>
      <c r="Z39" s="577"/>
      <c r="AA39" s="108"/>
      <c r="AB39" s="531"/>
      <c r="AC39" s="17">
        <f t="shared" ref="AC39" si="5">IF(F39="",1,IF(F39=0,2,1))</f>
        <v>1</v>
      </c>
      <c r="AD39" s="1" t="e">
        <f>VLOOKUP(K39,'Assessment Details'!$O$45:$P$48,2,FALSE)</f>
        <v>#N/A</v>
      </c>
      <c r="AE39" s="1" t="e">
        <f>VLOOKUP(R39,'Assessment Details'!$O$45:$P$48,2,FALSE)</f>
        <v>#N/A</v>
      </c>
      <c r="AF39" s="1" t="e">
        <f>VLOOKUP(Y39,'Assessment Details'!$O$45:$P$48,2,FALSE)</f>
        <v>#N/A</v>
      </c>
      <c r="AI39" s="56"/>
      <c r="AJ39" s="522"/>
      <c r="AK39" s="502"/>
      <c r="AL39" s="502"/>
      <c r="AM39" s="502"/>
      <c r="AN39" s="502"/>
      <c r="AO39" s="502"/>
      <c r="AP39" s="502"/>
      <c r="AS39" s="17"/>
      <c r="AT39" s="17"/>
      <c r="AU39" s="17"/>
      <c r="AV39" s="17"/>
      <c r="AW39" s="17"/>
      <c r="AX39" s="17"/>
      <c r="AZ39" s="495"/>
    </row>
    <row r="40" spans="1:58">
      <c r="A40" s="830">
        <v>31</v>
      </c>
      <c r="B40" s="831" t="s">
        <v>286</v>
      </c>
      <c r="C40" s="100" t="str">
        <f>C39</f>
        <v>Hea 01</v>
      </c>
      <c r="D40" s="653" t="s">
        <v>297</v>
      </c>
      <c r="E40" s="687" t="str">
        <f>VLOOKUP(D40,Poeng!$B$10:$R$252,Poeng!E$1,FALSE)</f>
        <v>Pre-requisite: daylight assessments</v>
      </c>
      <c r="F40" s="98" t="str">
        <f>VLOOKUP(D40,Poeng!$B$10:$AB$252,Poeng!AB$1,FALSE)</f>
        <v>Yes/No</v>
      </c>
      <c r="G40" s="29"/>
      <c r="H40" s="99" t="str">
        <f>VLOOKUP(D40,Poeng!$B$10:$AE$252,Poeng!AE$1,FALSE)</f>
        <v>-</v>
      </c>
      <c r="I40" s="100" t="str">
        <f>VLOOKUP(D40,Poeng!$B$10:$BE$252,Poeng!BE$1,FALSE)</f>
        <v>Unclassified</v>
      </c>
      <c r="J40" s="867"/>
      <c r="K40" s="868"/>
      <c r="L40" s="869"/>
      <c r="M40" s="648"/>
      <c r="N40" s="69"/>
      <c r="O40" s="99" t="str">
        <f>VLOOKUP(D40,Poeng!$B$10:$BC$252,Poeng!AF$1,FALSE)</f>
        <v>-</v>
      </c>
      <c r="P40" s="99" t="str">
        <f>VLOOKUP(D40,Poeng!$B$10:$BH$252,Poeng!BH$1,FALSE)</f>
        <v>Unclassified</v>
      </c>
      <c r="Q40" s="583"/>
      <c r="R40" s="584"/>
      <c r="S40" s="577"/>
      <c r="T40" s="268"/>
      <c r="U40" s="69"/>
      <c r="V40" s="99" t="str">
        <f>VLOOKUP(D40,Poeng!$B$10:$BC$252,Poeng!AG$1,FALSE)</f>
        <v>-</v>
      </c>
      <c r="W40" s="99" t="str">
        <f>VLOOKUP(D40,Poeng!$B$10:$BK$252,Poeng!BK$1,FALSE)</f>
        <v>Unclassified</v>
      </c>
      <c r="X40" s="67"/>
      <c r="Y40" s="66"/>
      <c r="Z40" s="577"/>
      <c r="AA40" s="108"/>
      <c r="AB40" s="531"/>
      <c r="AC40" s="17">
        <f t="shared" ref="AC40" si="6">IF(F40="",1,IF(F40=0,2,1))</f>
        <v>1</v>
      </c>
      <c r="AD40" s="1" t="e">
        <f>VLOOKUP(K40,'Assessment Details'!$O$45:$P$48,2,FALSE)</f>
        <v>#N/A</v>
      </c>
      <c r="AE40" s="1" t="e">
        <f>VLOOKUP(R40,'Assessment Details'!$O$45:$P$48,2,FALSE)</f>
        <v>#N/A</v>
      </c>
      <c r="AF40" s="1" t="e">
        <f>VLOOKUP(Y40,'Assessment Details'!$O$45:$P$48,2,FALSE)</f>
        <v>#N/A</v>
      </c>
      <c r="AI40" s="56"/>
      <c r="AJ40" s="522"/>
      <c r="AK40" s="502"/>
      <c r="AL40" s="502"/>
      <c r="AM40" s="502"/>
      <c r="AN40" s="502"/>
      <c r="AO40" s="502"/>
      <c r="AP40" s="502"/>
      <c r="AS40" s="17"/>
      <c r="AT40" s="17"/>
      <c r="AU40" s="17"/>
      <c r="AV40" s="17"/>
      <c r="AW40" s="17"/>
      <c r="AX40" s="17"/>
      <c r="AZ40" s="495"/>
    </row>
    <row r="41" spans="1:58">
      <c r="A41" s="830">
        <v>32</v>
      </c>
      <c r="B41" s="831" t="s">
        <v>286</v>
      </c>
      <c r="C41" s="100" t="str">
        <f>C38</f>
        <v>Hea 01</v>
      </c>
      <c r="D41" s="653" t="s">
        <v>298</v>
      </c>
      <c r="E41" s="687" t="str">
        <f>VLOOKUP(D41,Poeng!$B$10:$R$252,Poeng!E$1,FALSE)</f>
        <v>Daylighting</v>
      </c>
      <c r="F41" s="98">
        <f>VLOOKUP(D41,Poeng!$B$10:$AB$252,Poeng!AB$1,FALSE)</f>
        <v>3</v>
      </c>
      <c r="G41" s="29"/>
      <c r="H41" s="99">
        <f>VLOOKUP(D41,Poeng!$B$10:$AE$252,Poeng!AE$1,FALSE)</f>
        <v>0</v>
      </c>
      <c r="I41" s="100" t="str">
        <f>VLOOKUP(D41,Poeng!$B$10:$BE$252,Poeng!BE$1,FALSE)</f>
        <v>N/A</v>
      </c>
      <c r="J41" s="66"/>
      <c r="K41" s="233"/>
      <c r="L41" s="633"/>
      <c r="M41" s="648"/>
      <c r="N41" s="69"/>
      <c r="O41" s="99">
        <f>VLOOKUP(D41,Poeng!$B$10:$BC$252,Poeng!AF$1,FALSE)</f>
        <v>0</v>
      </c>
      <c r="P41" s="99" t="str">
        <f>VLOOKUP(D41,Poeng!$B$10:$BH$252,Poeng!BH$1,FALSE)</f>
        <v>N/A</v>
      </c>
      <c r="Q41" s="583"/>
      <c r="R41" s="584"/>
      <c r="S41" s="577"/>
      <c r="T41" s="268"/>
      <c r="U41" s="69"/>
      <c r="V41" s="99">
        <f>VLOOKUP(D41,Poeng!$B$10:$BC$252,Poeng!AG$1,FALSE)</f>
        <v>0</v>
      </c>
      <c r="W41" s="99" t="str">
        <f>VLOOKUP(D41,Poeng!$B$10:$BK$252,Poeng!BK$1,FALSE)</f>
        <v>N/A</v>
      </c>
      <c r="X41" s="67"/>
      <c r="Y41" s="66"/>
      <c r="Z41" s="577"/>
      <c r="AA41" s="108"/>
      <c r="AB41" s="531"/>
      <c r="AC41" s="17">
        <f t="shared" si="0"/>
        <v>1</v>
      </c>
      <c r="AD41" s="1" t="e">
        <f>VLOOKUP(K41,'Assessment Details'!$O$45:$P$48,2,FALSE)</f>
        <v>#N/A</v>
      </c>
      <c r="AE41" s="1" t="e">
        <f>VLOOKUP(R41,'Assessment Details'!$O$45:$P$48,2,FALSE)</f>
        <v>#N/A</v>
      </c>
      <c r="AF41" s="1" t="e">
        <f>VLOOKUP(Y41,'Assessment Details'!$O$45:$P$48,2,FALSE)</f>
        <v>#N/A</v>
      </c>
      <c r="AI41" s="56"/>
      <c r="AJ41" s="522"/>
      <c r="AK41" s="502"/>
      <c r="AL41" s="502"/>
      <c r="AM41" s="502"/>
      <c r="AN41" s="502"/>
      <c r="AO41" s="502"/>
      <c r="AP41" s="502"/>
      <c r="AS41" s="17"/>
      <c r="AT41" s="17"/>
      <c r="AU41" s="17"/>
      <c r="AV41" s="17"/>
      <c r="AW41" s="17"/>
      <c r="AX41" s="17"/>
      <c r="AZ41" s="495"/>
    </row>
    <row r="42" spans="1:58">
      <c r="A42" s="830">
        <v>33</v>
      </c>
      <c r="B42" s="831" t="s">
        <v>286</v>
      </c>
      <c r="C42" s="100" t="str">
        <f t="shared" ref="C42:C101" si="7">C41</f>
        <v>Hea 01</v>
      </c>
      <c r="D42" s="653" t="s">
        <v>299</v>
      </c>
      <c r="E42" s="687" t="str">
        <f>VLOOKUP(D42,Poeng!$B$10:$R$252,Poeng!E$1,FALSE)</f>
        <v xml:space="preserve">Control of glare from sunlight </v>
      </c>
      <c r="F42" s="98">
        <f>VLOOKUP(D42,Poeng!$B$10:$AB$252,Poeng!AB$1,FALSE)</f>
        <v>1</v>
      </c>
      <c r="G42" s="29"/>
      <c r="H42" s="99">
        <f>VLOOKUP(D42,Poeng!$B$10:$AE$252,Poeng!AE$1,FALSE)</f>
        <v>0</v>
      </c>
      <c r="I42" s="100" t="str">
        <f>VLOOKUP(D42,Poeng!$B$10:$BE$252,Poeng!BE$1,FALSE)</f>
        <v>N/A</v>
      </c>
      <c r="J42" s="66"/>
      <c r="K42" s="233"/>
      <c r="L42" s="633"/>
      <c r="M42" s="648"/>
      <c r="N42" s="69"/>
      <c r="O42" s="99">
        <f>VLOOKUP(D42,Poeng!$B$10:$BC$252,Poeng!AF$1,FALSE)</f>
        <v>0</v>
      </c>
      <c r="P42" s="99" t="str">
        <f>VLOOKUP(D42,Poeng!$B$10:$BH$252,Poeng!BH$1,FALSE)</f>
        <v>N/A</v>
      </c>
      <c r="Q42" s="583"/>
      <c r="R42" s="584"/>
      <c r="S42" s="577"/>
      <c r="T42" s="268"/>
      <c r="U42" s="69"/>
      <c r="V42" s="99">
        <f>VLOOKUP(D42,Poeng!$B$10:$BC$252,Poeng!AG$1,FALSE)</f>
        <v>0</v>
      </c>
      <c r="W42" s="99" t="str">
        <f>VLOOKUP(D42,Poeng!$B$10:$BK$252,Poeng!BK$1,FALSE)</f>
        <v>N/A</v>
      </c>
      <c r="X42" s="67"/>
      <c r="Y42" s="66"/>
      <c r="Z42" s="577"/>
      <c r="AA42" s="108"/>
      <c r="AB42" s="531"/>
      <c r="AC42" s="17">
        <f t="shared" si="0"/>
        <v>1</v>
      </c>
      <c r="AD42" s="1" t="e">
        <f>VLOOKUP(K42,'Assessment Details'!$O$45:$P$48,2,FALSE)</f>
        <v>#N/A</v>
      </c>
      <c r="AE42" s="1" t="e">
        <f>VLOOKUP(R42,'Assessment Details'!$O$45:$P$48,2,FALSE)</f>
        <v>#N/A</v>
      </c>
      <c r="AF42" s="1" t="e">
        <f>VLOOKUP(Y42,'Assessment Details'!$O$45:$P$48,2,FALSE)</f>
        <v>#N/A</v>
      </c>
      <c r="AI42" s="56"/>
      <c r="AJ42" s="522"/>
      <c r="AK42" s="502"/>
      <c r="AL42" s="502"/>
      <c r="AM42" s="502"/>
      <c r="AN42" s="502"/>
      <c r="AO42" s="502"/>
      <c r="AP42" s="502"/>
      <c r="AS42" s="17"/>
      <c r="AT42" s="17"/>
      <c r="AU42" s="17"/>
      <c r="AV42" s="17"/>
      <c r="AW42" s="17"/>
      <c r="AX42" s="17"/>
      <c r="AZ42" s="495"/>
    </row>
    <row r="43" spans="1:58">
      <c r="A43" s="830">
        <v>34</v>
      </c>
      <c r="B43" s="831" t="s">
        <v>286</v>
      </c>
      <c r="C43" s="100" t="str">
        <f t="shared" si="7"/>
        <v>Hea 01</v>
      </c>
      <c r="D43" s="653" t="s">
        <v>300</v>
      </c>
      <c r="E43" s="687" t="str">
        <f>VLOOKUP(D43,Poeng!$B$10:$R$252,Poeng!E$1,FALSE)</f>
        <v xml:space="preserve">View out </v>
      </c>
      <c r="F43" s="98">
        <f>VLOOKUP(D43,Poeng!$B$10:$AB$252,Poeng!AB$1,FALSE)</f>
        <v>1</v>
      </c>
      <c r="G43" s="29"/>
      <c r="H43" s="99">
        <f>VLOOKUP(D43,Poeng!$B$10:$AE$252,Poeng!AE$1,FALSE)</f>
        <v>0</v>
      </c>
      <c r="I43" s="100" t="str">
        <f>VLOOKUP(D43,Poeng!$B$10:$BE$252,Poeng!BE$1,FALSE)</f>
        <v>N/A</v>
      </c>
      <c r="J43" s="66"/>
      <c r="K43" s="233"/>
      <c r="L43" s="633"/>
      <c r="M43" s="648"/>
      <c r="N43" s="69"/>
      <c r="O43" s="99">
        <f>VLOOKUP(D43,Poeng!$B$10:$BC$252,Poeng!AF$1,FALSE)</f>
        <v>0</v>
      </c>
      <c r="P43" s="99" t="str">
        <f>VLOOKUP(D43,Poeng!$B$10:$BH$252,Poeng!BH$1,FALSE)</f>
        <v>N/A</v>
      </c>
      <c r="Q43" s="583"/>
      <c r="R43" s="584"/>
      <c r="S43" s="633"/>
      <c r="T43" s="268"/>
      <c r="U43" s="69"/>
      <c r="V43" s="99">
        <f>VLOOKUP(D43,Poeng!$B$10:$BC$252,Poeng!AG$1,FALSE)</f>
        <v>0</v>
      </c>
      <c r="W43" s="99" t="str">
        <f>VLOOKUP(D43,Poeng!$B$10:$BK$252,Poeng!BK$1,FALSE)</f>
        <v>N/A</v>
      </c>
      <c r="X43" s="67"/>
      <c r="Y43" s="66"/>
      <c r="Z43" s="633"/>
      <c r="AA43" s="108"/>
      <c r="AB43" s="531"/>
      <c r="AC43" s="17">
        <f t="shared" si="0"/>
        <v>1</v>
      </c>
      <c r="AD43" s="1" t="e">
        <f>VLOOKUP(K43,'Assessment Details'!$O$45:$P$48,2,FALSE)</f>
        <v>#N/A</v>
      </c>
      <c r="AE43" s="1" t="e">
        <f>VLOOKUP(R43,'Assessment Details'!$O$45:$P$48,2,FALSE)</f>
        <v>#N/A</v>
      </c>
      <c r="AF43" s="1" t="e">
        <f>VLOOKUP(Y43,'Assessment Details'!$O$45:$P$48,2,FALSE)</f>
        <v>#N/A</v>
      </c>
      <c r="AI43" s="56"/>
      <c r="AJ43" s="522"/>
      <c r="AK43" s="502"/>
      <c r="AL43" s="502"/>
      <c r="AM43" s="502"/>
      <c r="AN43" s="502"/>
      <c r="AO43" s="502"/>
      <c r="AP43" s="502"/>
      <c r="AS43" s="17"/>
      <c r="AT43" s="17"/>
      <c r="AU43" s="17"/>
      <c r="AV43" s="17"/>
      <c r="AW43" s="17"/>
      <c r="AX43" s="17"/>
      <c r="AZ43" s="495"/>
    </row>
    <row r="44" spans="1:58">
      <c r="A44" s="830">
        <v>35</v>
      </c>
      <c r="B44" s="831" t="s">
        <v>286</v>
      </c>
      <c r="C44" s="100" t="str">
        <f t="shared" si="7"/>
        <v>Hea 01</v>
      </c>
      <c r="D44" s="653" t="s">
        <v>301</v>
      </c>
      <c r="E44" s="687" t="str">
        <f>VLOOKUP(D44,Poeng!$B$10:$R$252,Poeng!E$1,FALSE)</f>
        <v xml:space="preserve">Sunlight </v>
      </c>
      <c r="F44" s="98">
        <f>VLOOKUP(D44,Poeng!$B$10:$AB$252,Poeng!AB$1,FALSE)</f>
        <v>1</v>
      </c>
      <c r="G44" s="29"/>
      <c r="H44" s="99">
        <f>VLOOKUP(D44,Poeng!$B$10:$AE$252,Poeng!AE$1,FALSE)</f>
        <v>0</v>
      </c>
      <c r="I44" s="100" t="str">
        <f>VLOOKUP(D44,Poeng!$B$10:$BE$252,Poeng!BE$1,FALSE)</f>
        <v>N/A</v>
      </c>
      <c r="J44" s="66"/>
      <c r="K44" s="233"/>
      <c r="L44" s="633"/>
      <c r="M44" s="648"/>
      <c r="N44" s="69"/>
      <c r="O44" s="99">
        <f>VLOOKUP(D44,Poeng!$B$10:$BC$252,Poeng!AF$1,FALSE)</f>
        <v>0</v>
      </c>
      <c r="P44" s="99" t="str">
        <f>VLOOKUP(D44,Poeng!$B$10:$BH$252,Poeng!BH$1,FALSE)</f>
        <v>N/A</v>
      </c>
      <c r="Q44" s="583"/>
      <c r="R44" s="584"/>
      <c r="S44" s="633"/>
      <c r="T44" s="268"/>
      <c r="U44" s="69"/>
      <c r="V44" s="99">
        <f>VLOOKUP(D44,Poeng!$B$10:$BC$252,Poeng!AG$1,FALSE)</f>
        <v>0</v>
      </c>
      <c r="W44" s="99" t="str">
        <f>VLOOKUP(D44,Poeng!$B$10:$BK$252,Poeng!BK$1,FALSE)</f>
        <v>N/A</v>
      </c>
      <c r="X44" s="67"/>
      <c r="Y44" s="66"/>
      <c r="Z44" s="633"/>
      <c r="AA44" s="108"/>
      <c r="AB44" s="531"/>
      <c r="AC44" s="17">
        <f t="shared" si="0"/>
        <v>1</v>
      </c>
      <c r="AD44" s="1" t="e">
        <f>VLOOKUP(K44,'Assessment Details'!$O$45:$P$48,2,FALSE)</f>
        <v>#N/A</v>
      </c>
      <c r="AE44" s="1" t="e">
        <f>VLOOKUP(R44,'Assessment Details'!$O$45:$P$48,2,FALSE)</f>
        <v>#N/A</v>
      </c>
      <c r="AF44" s="1" t="e">
        <f>VLOOKUP(Y44,'Assessment Details'!$O$45:$P$48,2,FALSE)</f>
        <v>#N/A</v>
      </c>
      <c r="AI44" s="56"/>
      <c r="AJ44" s="522"/>
      <c r="AK44" s="502"/>
      <c r="AL44" s="502"/>
      <c r="AM44" s="502"/>
      <c r="AN44" s="502"/>
      <c r="AO44" s="502"/>
      <c r="AP44" s="502"/>
      <c r="AS44" s="17"/>
      <c r="AT44" s="17"/>
      <c r="AU44" s="17"/>
      <c r="AV44" s="17"/>
      <c r="AW44" s="17"/>
      <c r="AX44" s="17"/>
      <c r="AZ44" s="495"/>
    </row>
    <row r="45" spans="1:58">
      <c r="A45" s="830">
        <v>36</v>
      </c>
      <c r="B45" s="831" t="s">
        <v>286</v>
      </c>
      <c r="C45" s="100" t="str">
        <f t="shared" si="7"/>
        <v>Hea 01</v>
      </c>
      <c r="D45" s="653" t="s">
        <v>302</v>
      </c>
      <c r="E45" s="687" t="str">
        <f>VLOOKUP(D45,Poeng!$B$10:$R$252,Poeng!E$1,FALSE)</f>
        <v xml:space="preserve">Internal and external lighting levels, zoning and control </v>
      </c>
      <c r="F45" s="98">
        <f>VLOOKUP(D45,Poeng!$B$10:$AB$252,Poeng!AB$1,FALSE)</f>
        <v>1</v>
      </c>
      <c r="G45" s="29"/>
      <c r="H45" s="99">
        <f>VLOOKUP(D45,Poeng!$B$10:$AE$252,Poeng!AE$1,FALSE)</f>
        <v>0</v>
      </c>
      <c r="I45" s="100" t="str">
        <f>VLOOKUP(D45,Poeng!$B$10:$BE$252,Poeng!BE$1,FALSE)</f>
        <v>N/A</v>
      </c>
      <c r="J45" s="66"/>
      <c r="K45" s="233"/>
      <c r="L45" s="633"/>
      <c r="M45" s="648"/>
      <c r="N45" s="69"/>
      <c r="O45" s="99">
        <f>VLOOKUP(D45,Poeng!$B$10:$BC$252,Poeng!AF$1,FALSE)</f>
        <v>0</v>
      </c>
      <c r="P45" s="99" t="str">
        <f>VLOOKUP(D45,Poeng!$B$10:$BH$252,Poeng!BH$1,FALSE)</f>
        <v>N/A</v>
      </c>
      <c r="Q45" s="583"/>
      <c r="R45" s="584"/>
      <c r="S45" s="577"/>
      <c r="T45" s="268"/>
      <c r="U45" s="69"/>
      <c r="V45" s="99">
        <f>VLOOKUP(D45,Poeng!$B$10:$BC$252,Poeng!AG$1,FALSE)</f>
        <v>0</v>
      </c>
      <c r="W45" s="99" t="str">
        <f>VLOOKUP(D45,Poeng!$B$10:$BK$252,Poeng!BK$1,FALSE)</f>
        <v>N/A</v>
      </c>
      <c r="X45" s="67"/>
      <c r="Y45" s="66"/>
      <c r="Z45" s="577"/>
      <c r="AA45" s="108"/>
      <c r="AB45" s="531"/>
      <c r="AC45" s="17">
        <f t="shared" si="0"/>
        <v>1</v>
      </c>
      <c r="AD45" s="1" t="e">
        <f>VLOOKUP(K45,'Assessment Details'!$O$45:$P$48,2,FALSE)</f>
        <v>#N/A</v>
      </c>
      <c r="AE45" s="1" t="e">
        <f>VLOOKUP(R45,'Assessment Details'!$O$45:$P$48,2,FALSE)</f>
        <v>#N/A</v>
      </c>
      <c r="AF45" s="1" t="e">
        <f>VLOOKUP(Y45,'Assessment Details'!$O$45:$P$48,2,FALSE)</f>
        <v>#N/A</v>
      </c>
      <c r="AI45" s="56"/>
      <c r="AJ45" s="522"/>
      <c r="AK45" s="502"/>
      <c r="AL45" s="502"/>
      <c r="AM45" s="502"/>
      <c r="AN45" s="502"/>
      <c r="AO45" s="502"/>
      <c r="AP45" s="502"/>
      <c r="AS45" s="17"/>
      <c r="AT45" s="17"/>
      <c r="AU45" s="17"/>
      <c r="AV45" s="17"/>
      <c r="AW45" s="17"/>
      <c r="AX45" s="17"/>
      <c r="AZ45" s="495"/>
    </row>
    <row r="46" spans="1:58" ht="14.25" customHeight="1">
      <c r="A46" s="830">
        <v>37</v>
      </c>
      <c r="B46" s="831" t="s">
        <v>286</v>
      </c>
      <c r="C46" s="739" t="s">
        <v>187</v>
      </c>
      <c r="D46" s="653" t="s">
        <v>187</v>
      </c>
      <c r="E46" s="686" t="str">
        <f>VLOOKUP(D46,Poeng!$B$10:$R$252,Poeng!E$1,FALSE)</f>
        <v>Hea 02 Indoor air quality</v>
      </c>
      <c r="F46" s="691">
        <f>VLOOKUP(D46,Poeng!$B$10:$AB$252,Poeng!AB$1,FALSE)</f>
        <v>4</v>
      </c>
      <c r="G46" s="784"/>
      <c r="H46" s="692" t="str">
        <f>VLOOKUP(D46,Poeng!$B$10:$AI$252,Poeng!AI$1,FALSE)&amp;" c. "&amp;ROUND(VLOOKUP(D46,Poeng!$B$10:$AE$252,Poeng!AE$1,FALSE)*100,1)&amp;" %"</f>
        <v>0 c. 0 %</v>
      </c>
      <c r="I46" s="739" t="str">
        <f>VLOOKUP(D46,Poeng!$B$10:$BE$252,Poeng!BE$1,FALSE)</f>
        <v>N/A</v>
      </c>
      <c r="J46" s="66"/>
      <c r="K46" s="233"/>
      <c r="L46" s="633"/>
      <c r="M46" s="648"/>
      <c r="N46" s="784"/>
      <c r="O46" s="703" t="str">
        <f>VLOOKUP(D46,Poeng!$B$10:$BC$252,Poeng!AJ$1,FALSE)&amp;" c. "&amp;ROUND(VLOOKUP(D46,Poeng!$B$10:$BC$252,Poeng!AF$1,FALSE)*100,1)&amp;" %"</f>
        <v>0 c. 0 %</v>
      </c>
      <c r="P46" s="99" t="str">
        <f>VLOOKUP(D46,Poeng!$B$10:$BH$252,Poeng!BH$1,FALSE)</f>
        <v>N/A</v>
      </c>
      <c r="Q46" s="583"/>
      <c r="R46" s="584"/>
      <c r="S46" s="577"/>
      <c r="T46" s="268"/>
      <c r="U46" s="784"/>
      <c r="V46" s="703" t="str">
        <f>VLOOKUP(D46,Poeng!$B$10:$BC$252,Poeng!AK$1,FALSE)&amp;" c. "&amp;ROUND(VLOOKUP(D46,Poeng!$B$10:$BC$252,Poeng!AG$1,FALSE)*100,1)&amp;" %"</f>
        <v>0 c. 0 %</v>
      </c>
      <c r="W46" s="99" t="str">
        <f>VLOOKUP(D46,Poeng!$B$10:$BK$252,Poeng!BK$1,FALSE)</f>
        <v>N/A</v>
      </c>
      <c r="X46" s="67"/>
      <c r="Y46" s="66"/>
      <c r="Z46" s="577"/>
      <c r="AA46" s="108"/>
      <c r="AB46" s="495" t="s">
        <v>303</v>
      </c>
      <c r="AC46" s="17">
        <f t="shared" si="0"/>
        <v>1</v>
      </c>
      <c r="AD46" s="1" t="e">
        <f>VLOOKUP(K46,'Assessment Details'!$O$45:$P$48,2,FALSE)</f>
        <v>#N/A</v>
      </c>
      <c r="AE46" s="1" t="e">
        <f>VLOOKUP(R46,'Assessment Details'!$O$45:$P$48,2,FALSE)</f>
        <v>#N/A</v>
      </c>
      <c r="AF46" s="1" t="e">
        <f>VLOOKUP(Y46,'Assessment Details'!$O$45:$P$48,2,FALSE)</f>
        <v>#N/A</v>
      </c>
      <c r="AI46" s="56" t="str">
        <f>ais_ja</f>
        <v>Ja</v>
      </c>
      <c r="AJ46" s="522" t="s">
        <v>304</v>
      </c>
      <c r="AK46" s="502" t="s">
        <v>305</v>
      </c>
      <c r="AL46" s="502" t="s">
        <v>306</v>
      </c>
      <c r="AM46" s="502" t="s">
        <v>303</v>
      </c>
      <c r="AN46" s="502" t="s">
        <v>307</v>
      </c>
      <c r="AO46" s="502" t="s">
        <v>308</v>
      </c>
      <c r="AP46" s="502"/>
      <c r="AR46" s="1" t="s">
        <v>127</v>
      </c>
      <c r="AS46" s="17" t="str">
        <f t="shared" si="3"/>
        <v>N/A</v>
      </c>
      <c r="AT46" s="17" t="str">
        <f t="shared" si="1"/>
        <v>N/A</v>
      </c>
      <c r="AU46" s="17" t="str">
        <f t="shared" si="2"/>
        <v>N/A</v>
      </c>
      <c r="AV46" s="17" t="str">
        <f t="shared" ref="AV46" si="8">IF($AJ$4=ais_nei,AIS_NA,IF(AN46="",AIS_NA,AN46))</f>
        <v>N/A</v>
      </c>
      <c r="AW46" s="17" t="str">
        <f t="shared" ref="AW46" si="9">IF($AJ$4=ais_nei,AIS_NA,IF(AO46="",AIS_NA,AO46))</f>
        <v>N/A</v>
      </c>
      <c r="AX46" s="17"/>
      <c r="AZ46" s="495"/>
    </row>
    <row r="47" spans="1:58">
      <c r="A47" s="830">
        <v>38</v>
      </c>
      <c r="B47" s="831" t="s">
        <v>286</v>
      </c>
      <c r="C47" s="100" t="str">
        <f t="shared" si="7"/>
        <v>Hea 02</v>
      </c>
      <c r="D47" s="14" t="s">
        <v>309</v>
      </c>
      <c r="E47" s="687" t="str">
        <f>VLOOKUP(D47,Poeng!$B$10:$R$252,Poeng!E$1,FALSE)</f>
        <v>Pre-requisite: A site-specific indoor air quality plan has been produced</v>
      </c>
      <c r="F47" s="98" t="str">
        <f>VLOOKUP(D47,Poeng!$B$10:$AB$252,Poeng!AB$1,FALSE)</f>
        <v>Yes/No</v>
      </c>
      <c r="G47" s="29"/>
      <c r="H47" s="99" t="str">
        <f>VLOOKUP(D47,Poeng!$B$10:$AE$252,Poeng!AE$1,FALSE)</f>
        <v>-</v>
      </c>
      <c r="I47" s="100" t="str">
        <f>VLOOKUP(D47,Poeng!$B$10:$BE$252,Poeng!BE$1,FALSE)</f>
        <v>Unclassified</v>
      </c>
      <c r="J47" s="66"/>
      <c r="K47" s="233"/>
      <c r="L47" s="633"/>
      <c r="M47" s="648"/>
      <c r="N47" s="69"/>
      <c r="O47" s="99" t="str">
        <f>VLOOKUP(D47,Poeng!$B$10:$BC$252,Poeng!AF$1,FALSE)</f>
        <v>-</v>
      </c>
      <c r="P47" s="99" t="str">
        <f>VLOOKUP(D47,Poeng!$B$10:$BH$252,Poeng!BH$1,FALSE)</f>
        <v>Unclassified</v>
      </c>
      <c r="Q47" s="583"/>
      <c r="R47" s="584"/>
      <c r="S47" s="577"/>
      <c r="T47" s="268"/>
      <c r="U47" s="69"/>
      <c r="V47" s="99" t="str">
        <f>VLOOKUP(D47,Poeng!$B$10:$BC$252,Poeng!AG$1,FALSE)</f>
        <v>-</v>
      </c>
      <c r="W47" s="99" t="str">
        <f>VLOOKUP(D47,Poeng!$B$10:$BK$252,Poeng!BK$1,FALSE)</f>
        <v>Unclassified</v>
      </c>
      <c r="X47" s="67"/>
      <c r="Y47" s="66"/>
      <c r="Z47" s="577"/>
      <c r="AC47" s="17">
        <f t="shared" si="0"/>
        <v>1</v>
      </c>
      <c r="AD47" s="1" t="e">
        <f>VLOOKUP(K47,'Assessment Details'!$O$45:$P$48,2,FALSE)</f>
        <v>#N/A</v>
      </c>
      <c r="AE47" s="1" t="e">
        <f>VLOOKUP(R47,'Assessment Details'!$O$45:$P$48,2,FALSE)</f>
        <v>#N/A</v>
      </c>
      <c r="AF47" s="1" t="e">
        <f>VLOOKUP(Y47,'Assessment Details'!$O$45:$P$48,2,FALSE)</f>
        <v>#N/A</v>
      </c>
    </row>
    <row r="48" spans="1:58">
      <c r="A48" s="830">
        <v>39</v>
      </c>
      <c r="B48" s="831" t="s">
        <v>286</v>
      </c>
      <c r="C48" s="100" t="str">
        <f t="shared" si="7"/>
        <v>Hea 02</v>
      </c>
      <c r="D48" s="14" t="s">
        <v>310</v>
      </c>
      <c r="E48" s="687" t="str">
        <f>VLOOKUP(D48,Poeng!$B$10:$R$252,Poeng!E$1,FALSE)</f>
        <v>Ventilation</v>
      </c>
      <c r="F48" s="98">
        <f>VLOOKUP(D48,Poeng!$B$10:$AB$252,Poeng!AB$1,FALSE)</f>
        <v>1</v>
      </c>
      <c r="G48" s="29"/>
      <c r="H48" s="99">
        <f>VLOOKUP(D48,Poeng!$B$10:$AE$252,Poeng!AE$1,FALSE)</f>
        <v>0</v>
      </c>
      <c r="I48" s="100" t="str">
        <f>VLOOKUP(D48,Poeng!$B$10:$BE$252,Poeng!BE$1,FALSE)</f>
        <v>N/A</v>
      </c>
      <c r="J48" s="66"/>
      <c r="K48" s="233"/>
      <c r="L48" s="633"/>
      <c r="M48" s="648"/>
      <c r="N48" s="69"/>
      <c r="O48" s="99">
        <f>VLOOKUP(D48,Poeng!$B$10:$BC$252,Poeng!AF$1,FALSE)</f>
        <v>0</v>
      </c>
      <c r="P48" s="99" t="str">
        <f>VLOOKUP(D48,Poeng!$B$10:$BH$252,Poeng!BH$1,FALSE)</f>
        <v>N/A</v>
      </c>
      <c r="Q48" s="583"/>
      <c r="R48" s="584"/>
      <c r="S48" s="577"/>
      <c r="T48" s="268"/>
      <c r="U48" s="69"/>
      <c r="V48" s="99">
        <f>VLOOKUP(D48,Poeng!$B$10:$BC$252,Poeng!AG$1,FALSE)</f>
        <v>0</v>
      </c>
      <c r="W48" s="99" t="str">
        <f>VLOOKUP(D48,Poeng!$B$10:$BK$252,Poeng!BK$1,FALSE)</f>
        <v>N/A</v>
      </c>
      <c r="X48" s="67"/>
      <c r="Y48" s="66"/>
      <c r="Z48" s="577"/>
      <c r="AC48" s="17">
        <f t="shared" si="0"/>
        <v>1</v>
      </c>
      <c r="AD48" s="1" t="e">
        <f>VLOOKUP(K48,'Assessment Details'!$O$45:$P$48,2,FALSE)</f>
        <v>#N/A</v>
      </c>
      <c r="AE48" s="1" t="e">
        <f>VLOOKUP(R48,'Assessment Details'!$O$45:$P$48,2,FALSE)</f>
        <v>#N/A</v>
      </c>
      <c r="AF48" s="1" t="e">
        <f>VLOOKUP(Y48,'Assessment Details'!$O$45:$P$48,2,FALSE)</f>
        <v>#N/A</v>
      </c>
    </row>
    <row r="49" spans="1:52" ht="14.25" customHeight="1">
      <c r="A49" s="830">
        <v>40</v>
      </c>
      <c r="B49" s="831" t="s">
        <v>286</v>
      </c>
      <c r="C49" s="100" t="str">
        <f t="shared" si="7"/>
        <v>Hea 02</v>
      </c>
      <c r="D49" s="14" t="s">
        <v>311</v>
      </c>
      <c r="E49" s="825" t="str">
        <f>VLOOKUP(D49,Poeng!$B$10:$R$252,Poeng!E$1,FALSE)</f>
        <v>Emissions from construction products (EU taxonomy requirement: criterion 5)</v>
      </c>
      <c r="F49" s="98">
        <f>VLOOKUP(D49,Poeng!$B$10:$AB$252,Poeng!AB$1,FALSE)</f>
        <v>2</v>
      </c>
      <c r="G49" s="29"/>
      <c r="H49" s="99">
        <f>VLOOKUP(D49,Poeng!$B$10:$AE$252,Poeng!AE$1,FALSE)</f>
        <v>0</v>
      </c>
      <c r="I49" s="100" t="str">
        <f>VLOOKUP(D49,Poeng!$B$10:$BE$252,Poeng!BE$1,FALSE)</f>
        <v>Good</v>
      </c>
      <c r="J49" s="66"/>
      <c r="K49" s="233"/>
      <c r="L49" s="633"/>
      <c r="M49" s="648"/>
      <c r="N49" s="69"/>
      <c r="O49" s="99">
        <f>VLOOKUP(D49,Poeng!$B$10:$BC$252,Poeng!AF$1,FALSE)</f>
        <v>0</v>
      </c>
      <c r="P49" s="99" t="str">
        <f>VLOOKUP(D49,Poeng!$B$10:$BH$252,Poeng!BH$1,FALSE)</f>
        <v>Good</v>
      </c>
      <c r="Q49" s="583"/>
      <c r="R49" s="584"/>
      <c r="S49" s="577"/>
      <c r="T49" s="268"/>
      <c r="U49" s="69"/>
      <c r="V49" s="99">
        <f>VLOOKUP(D49,Poeng!$B$10:$BC$252,Poeng!AG$1,FALSE)</f>
        <v>0</v>
      </c>
      <c r="W49" s="99" t="str">
        <f>VLOOKUP(D49,Poeng!$B$10:$BK$252,Poeng!BK$1,FALSE)</f>
        <v>Good</v>
      </c>
      <c r="X49" s="67"/>
      <c r="Y49" s="66"/>
      <c r="Z49" s="577"/>
      <c r="AC49" s="17">
        <f t="shared" si="0"/>
        <v>1</v>
      </c>
      <c r="AD49" s="1" t="e">
        <f>VLOOKUP(K49,'Assessment Details'!$O$45:$P$48,2,FALSE)</f>
        <v>#N/A</v>
      </c>
      <c r="AE49" s="1" t="e">
        <f>VLOOKUP(R49,'Assessment Details'!$O$45:$P$48,2,FALSE)</f>
        <v>#N/A</v>
      </c>
      <c r="AF49" s="1" t="e">
        <f>VLOOKUP(Y49,'Assessment Details'!$O$45:$P$48,2,FALSE)</f>
        <v>#N/A</v>
      </c>
    </row>
    <row r="50" spans="1:52">
      <c r="A50" s="830">
        <v>41</v>
      </c>
      <c r="B50" s="831" t="s">
        <v>286</v>
      </c>
      <c r="C50" s="100" t="str">
        <f t="shared" si="7"/>
        <v>Hea 02</v>
      </c>
      <c r="D50" s="14" t="s">
        <v>312</v>
      </c>
      <c r="E50" s="687" t="str">
        <f>VLOOKUP(D50,Poeng!$B$10:$R$252,Poeng!E$1,FALSE)</f>
        <v xml:space="preserve">Post-construction indoor air quality measurement </v>
      </c>
      <c r="F50" s="98">
        <f>VLOOKUP(D50,Poeng!$B$10:$AB$252,Poeng!AB$1,FALSE)</f>
        <v>1</v>
      </c>
      <c r="G50" s="29"/>
      <c r="H50" s="99">
        <f>VLOOKUP(D50,Poeng!$B$10:$AE$252,Poeng!AE$1,FALSE)</f>
        <v>0</v>
      </c>
      <c r="I50" s="100" t="str">
        <f>VLOOKUP(D50,Poeng!$B$10:$BE$252,Poeng!BE$1,FALSE)</f>
        <v>N/A</v>
      </c>
      <c r="J50" s="66"/>
      <c r="K50" s="233"/>
      <c r="L50" s="633"/>
      <c r="M50" s="648"/>
      <c r="N50" s="69"/>
      <c r="O50" s="99">
        <f>VLOOKUP(D50,Poeng!$B$10:$BC$252,Poeng!AF$1,FALSE)</f>
        <v>0</v>
      </c>
      <c r="P50" s="99" t="str">
        <f>VLOOKUP(D50,Poeng!$B$10:$BH$252,Poeng!BH$1,FALSE)</f>
        <v>N/A</v>
      </c>
      <c r="Q50" s="583"/>
      <c r="R50" s="584"/>
      <c r="S50" s="577"/>
      <c r="T50" s="268"/>
      <c r="U50" s="69"/>
      <c r="V50" s="99">
        <f>VLOOKUP(D50,Poeng!$B$10:$BC$252,Poeng!AG$1,FALSE)</f>
        <v>0</v>
      </c>
      <c r="W50" s="99" t="str">
        <f>VLOOKUP(D50,Poeng!$B$10:$BK$252,Poeng!BK$1,FALSE)</f>
        <v>N/A</v>
      </c>
      <c r="X50" s="67"/>
      <c r="Y50" s="66"/>
      <c r="Z50" s="577"/>
      <c r="AC50" s="17">
        <f t="shared" si="0"/>
        <v>1</v>
      </c>
      <c r="AD50" s="1" t="e">
        <f>VLOOKUP(K50,'Assessment Details'!$O$45:$P$48,2,FALSE)</f>
        <v>#N/A</v>
      </c>
      <c r="AE50" s="1" t="e">
        <f>VLOOKUP(R50,'Assessment Details'!$O$45:$P$48,2,FALSE)</f>
        <v>#N/A</v>
      </c>
      <c r="AF50" s="1" t="e">
        <f>VLOOKUP(Y50,'Assessment Details'!$O$45:$P$48,2,FALSE)</f>
        <v>#N/A</v>
      </c>
    </row>
    <row r="51" spans="1:52">
      <c r="A51" s="830">
        <v>42</v>
      </c>
      <c r="B51" s="831" t="s">
        <v>286</v>
      </c>
      <c r="C51" s="739" t="s">
        <v>313</v>
      </c>
      <c r="D51" s="653" t="s">
        <v>313</v>
      </c>
      <c r="E51" s="686" t="str">
        <f>VLOOKUP(D51,Poeng!$B$10:$R$252,Poeng!E$1,FALSE)</f>
        <v>Hea 03 Thermal comfort</v>
      </c>
      <c r="F51" s="691">
        <f>VLOOKUP(D51,Poeng!$B$10:$AB$252,Poeng!AB$1,FALSE)</f>
        <v>3</v>
      </c>
      <c r="G51" s="784"/>
      <c r="H51" s="692" t="str">
        <f>VLOOKUP(D51,Poeng!$B$10:$AI$252,Poeng!AI$1,FALSE)&amp;" c. "&amp;ROUND(VLOOKUP(D51,Poeng!$B$10:$AE$252,Poeng!AE$1,FALSE)*100,1)&amp;" %"</f>
        <v>0 c. 0 %</v>
      </c>
      <c r="I51" s="739" t="str">
        <f>VLOOKUP(D51,Poeng!$B$10:$BE$252,Poeng!BE$1,FALSE)</f>
        <v>N/A</v>
      </c>
      <c r="J51" s="66"/>
      <c r="K51" s="233"/>
      <c r="L51" s="633"/>
      <c r="M51" s="648"/>
      <c r="N51" s="784"/>
      <c r="O51" s="703" t="str">
        <f>VLOOKUP(D51,Poeng!$B$10:$BC$252,Poeng!AJ$1,FALSE)&amp;" c. "&amp;ROUND(VLOOKUP(D51,Poeng!$B$10:$BC$252,Poeng!AF$1,FALSE)*100,1)&amp;" %"</f>
        <v>0 c. 0 %</v>
      </c>
      <c r="P51" s="99" t="str">
        <f>VLOOKUP(D51,Poeng!$B$10:$BH$252,Poeng!BH$1,FALSE)</f>
        <v>N/A</v>
      </c>
      <c r="Q51" s="583"/>
      <c r="R51" s="584"/>
      <c r="S51" s="577"/>
      <c r="T51" s="268"/>
      <c r="U51" s="784"/>
      <c r="V51" s="703" t="str">
        <f>VLOOKUP(D51,Poeng!$B$10:$BC$252,Poeng!AK$1,FALSE)&amp;" c. "&amp;ROUND(VLOOKUP(D51,Poeng!$B$10:$BC$252,Poeng!AG$1,FALSE)*100,1)&amp;" %"</f>
        <v>0 c. 0 %</v>
      </c>
      <c r="W51" s="99" t="str">
        <f>VLOOKUP(D51,Poeng!$B$10:$BK$252,Poeng!BK$1,FALSE)</f>
        <v>N/A</v>
      </c>
      <c r="X51" s="67"/>
      <c r="Y51" s="66"/>
      <c r="Z51" s="577"/>
      <c r="AA51" s="108"/>
      <c r="AB51" s="495" t="s">
        <v>127</v>
      </c>
      <c r="AC51" s="17">
        <f t="shared" si="0"/>
        <v>1</v>
      </c>
      <c r="AD51" s="1" t="e">
        <f>VLOOKUP(K51,'Assessment Details'!$O$45:$P$48,2,FALSE)</f>
        <v>#N/A</v>
      </c>
      <c r="AE51" s="1" t="e">
        <f>VLOOKUP(R51,'Assessment Details'!$O$45:$P$48,2,FALSE)</f>
        <v>#N/A</v>
      </c>
      <c r="AF51" s="1" t="e">
        <f>VLOOKUP(Y51,'Assessment Details'!$O$45:$P$48,2,FALSE)</f>
        <v>#N/A</v>
      </c>
      <c r="AI51" s="56" t="str">
        <f>ais_ja</f>
        <v>Ja</v>
      </c>
      <c r="AJ51" s="522" t="s">
        <v>314</v>
      </c>
      <c r="AK51" s="501" t="s">
        <v>273</v>
      </c>
      <c r="AL51" s="501" t="s">
        <v>315</v>
      </c>
      <c r="AM51" s="501" t="s">
        <v>275</v>
      </c>
      <c r="AN51" s="56"/>
      <c r="AO51" s="56"/>
      <c r="AP51" s="56"/>
      <c r="AR51" s="1" t="s">
        <v>127</v>
      </c>
      <c r="AS51" s="17" t="str">
        <f t="shared" si="3"/>
        <v>N/A</v>
      </c>
      <c r="AT51" s="17" t="str">
        <f t="shared" si="1"/>
        <v>N/A</v>
      </c>
      <c r="AU51" s="17" t="str">
        <f t="shared" si="2"/>
        <v>N/A</v>
      </c>
      <c r="AV51" s="17"/>
      <c r="AW51" s="17"/>
      <c r="AX51" s="17"/>
      <c r="AZ51" s="495"/>
    </row>
    <row r="52" spans="1:52">
      <c r="A52" s="830">
        <v>43</v>
      </c>
      <c r="B52" s="831" t="s">
        <v>286</v>
      </c>
      <c r="C52" s="100" t="str">
        <f t="shared" si="7"/>
        <v>Hea 03</v>
      </c>
      <c r="D52" s="653" t="s">
        <v>316</v>
      </c>
      <c r="E52" s="687" t="str">
        <f>VLOOKUP(D52,Poeng!$B$10:$R$252,Poeng!E$1,FALSE)</f>
        <v xml:space="preserve">Thermal modelling </v>
      </c>
      <c r="F52" s="98">
        <f>VLOOKUP(D52,Poeng!$B$10:$AB$252,Poeng!AB$1,FALSE)</f>
        <v>1</v>
      </c>
      <c r="G52" s="29"/>
      <c r="H52" s="99">
        <f>VLOOKUP(D52,Poeng!$B$10:$AE$252,Poeng!AE$1,FALSE)</f>
        <v>0</v>
      </c>
      <c r="I52" s="100" t="str">
        <f>VLOOKUP(D52,Poeng!$B$10:$BE$252,Poeng!BE$1,FALSE)</f>
        <v>N/A</v>
      </c>
      <c r="J52" s="66"/>
      <c r="K52" s="233"/>
      <c r="L52" s="633"/>
      <c r="M52" s="648"/>
      <c r="N52" s="69"/>
      <c r="O52" s="99">
        <f>VLOOKUP(D52,Poeng!$B$10:$BC$252,Poeng!AF$1,FALSE)</f>
        <v>0</v>
      </c>
      <c r="P52" s="99" t="str">
        <f>VLOOKUP(D52,Poeng!$B$10:$BH$252,Poeng!BH$1,FALSE)</f>
        <v>N/A</v>
      </c>
      <c r="Q52" s="583"/>
      <c r="R52" s="584"/>
      <c r="S52" s="577"/>
      <c r="T52" s="268"/>
      <c r="U52" s="69"/>
      <c r="V52" s="99">
        <f>VLOOKUP(D52,Poeng!$B$10:$BC$252,Poeng!AG$1,FALSE)</f>
        <v>0</v>
      </c>
      <c r="W52" s="99" t="str">
        <f>VLOOKUP(D52,Poeng!$B$10:$BK$252,Poeng!BK$1,FALSE)</f>
        <v>N/A</v>
      </c>
      <c r="X52" s="67"/>
      <c r="Y52" s="66"/>
      <c r="Z52" s="633"/>
      <c r="AA52" s="108"/>
      <c r="AB52" s="495"/>
      <c r="AC52" s="17">
        <f t="shared" si="0"/>
        <v>1</v>
      </c>
      <c r="AD52" s="1" t="e">
        <f>VLOOKUP(K52,'Assessment Details'!$O$45:$P$48,2,FALSE)</f>
        <v>#N/A</v>
      </c>
      <c r="AE52" s="1" t="e">
        <f>VLOOKUP(R52,'Assessment Details'!$O$45:$P$48,2,FALSE)</f>
        <v>#N/A</v>
      </c>
      <c r="AF52" s="1" t="e">
        <f>VLOOKUP(Y52,'Assessment Details'!$O$45:$P$48,2,FALSE)</f>
        <v>#N/A</v>
      </c>
      <c r="AI52" s="56"/>
      <c r="AJ52" s="522"/>
      <c r="AK52" s="501"/>
      <c r="AL52" s="501"/>
      <c r="AM52" s="501"/>
      <c r="AN52" s="56"/>
      <c r="AO52" s="56"/>
      <c r="AP52" s="56"/>
      <c r="AS52" s="17"/>
      <c r="AT52" s="17"/>
      <c r="AU52" s="17"/>
      <c r="AV52" s="17"/>
      <c r="AW52" s="17"/>
      <c r="AX52" s="17"/>
      <c r="AZ52" s="495"/>
    </row>
    <row r="53" spans="1:52">
      <c r="A53" s="830">
        <v>44</v>
      </c>
      <c r="B53" s="831" t="s">
        <v>286</v>
      </c>
      <c r="C53" s="100" t="str">
        <f t="shared" si="7"/>
        <v>Hea 03</v>
      </c>
      <c r="D53" s="653" t="s">
        <v>317</v>
      </c>
      <c r="E53" s="687" t="str">
        <f>VLOOKUP(D53,Poeng!$B$10:$R$252,Poeng!E$1,FALSE)</f>
        <v xml:space="preserve">Design for future thermal comfort </v>
      </c>
      <c r="F53" s="98">
        <f>VLOOKUP(D53,Poeng!$B$10:$AB$252,Poeng!AB$1,FALSE)</f>
        <v>1</v>
      </c>
      <c r="G53" s="29"/>
      <c r="H53" s="99">
        <f>VLOOKUP(D53,Poeng!$B$10:$AE$252,Poeng!AE$1,FALSE)</f>
        <v>0</v>
      </c>
      <c r="I53" s="100" t="str">
        <f>VLOOKUP(D53,Poeng!$B$10:$BE$252,Poeng!BE$1,FALSE)</f>
        <v>N/A</v>
      </c>
      <c r="J53" s="66"/>
      <c r="K53" s="233"/>
      <c r="L53" s="633"/>
      <c r="M53" s="648"/>
      <c r="N53" s="69"/>
      <c r="O53" s="99">
        <f>VLOOKUP(D53,Poeng!$B$10:$BC$252,Poeng!AF$1,FALSE)</f>
        <v>0</v>
      </c>
      <c r="P53" s="99" t="str">
        <f>VLOOKUP(D53,Poeng!$B$10:$BH$252,Poeng!BH$1,FALSE)</f>
        <v>N/A</v>
      </c>
      <c r="Q53" s="583"/>
      <c r="R53" s="584"/>
      <c r="S53" s="577"/>
      <c r="T53" s="268"/>
      <c r="U53" s="69"/>
      <c r="V53" s="99">
        <f>VLOOKUP(D53,Poeng!$B$10:$BC$252,Poeng!AG$1,FALSE)</f>
        <v>0</v>
      </c>
      <c r="W53" s="99" t="str">
        <f>VLOOKUP(D53,Poeng!$B$10:$BK$252,Poeng!BK$1,FALSE)</f>
        <v>N/A</v>
      </c>
      <c r="X53" s="67"/>
      <c r="Y53" s="66"/>
      <c r="Z53" s="633"/>
      <c r="AA53" s="108"/>
      <c r="AB53" s="495"/>
      <c r="AC53" s="17">
        <f t="shared" si="0"/>
        <v>1</v>
      </c>
      <c r="AD53" s="1" t="e">
        <f>VLOOKUP(K53,'Assessment Details'!$O$45:$P$48,2,FALSE)</f>
        <v>#N/A</v>
      </c>
      <c r="AE53" s="1" t="e">
        <f>VLOOKUP(R53,'Assessment Details'!$O$45:$P$48,2,FALSE)</f>
        <v>#N/A</v>
      </c>
      <c r="AF53" s="1" t="e">
        <f>VLOOKUP(Y53,'Assessment Details'!$O$45:$P$48,2,FALSE)</f>
        <v>#N/A</v>
      </c>
      <c r="AI53" s="56"/>
      <c r="AJ53" s="522"/>
      <c r="AK53" s="501"/>
      <c r="AL53" s="501"/>
      <c r="AM53" s="501"/>
      <c r="AN53" s="56"/>
      <c r="AO53" s="56"/>
      <c r="AP53" s="56"/>
      <c r="AS53" s="17"/>
      <c r="AT53" s="17"/>
      <c r="AU53" s="17"/>
      <c r="AV53" s="17"/>
      <c r="AW53" s="17"/>
      <c r="AX53" s="17"/>
      <c r="AZ53" s="495"/>
    </row>
    <row r="54" spans="1:52">
      <c r="A54" s="830">
        <v>45</v>
      </c>
      <c r="B54" s="831" t="s">
        <v>286</v>
      </c>
      <c r="C54" s="100" t="str">
        <f t="shared" si="7"/>
        <v>Hea 03</v>
      </c>
      <c r="D54" s="653" t="s">
        <v>318</v>
      </c>
      <c r="E54" s="687" t="str">
        <f>VLOOKUP(D54,Poeng!$B$10:$R$252,Poeng!E$1,FALSE)</f>
        <v xml:space="preserve">Thermal zoning and controls </v>
      </c>
      <c r="F54" s="98">
        <f>VLOOKUP(D54,Poeng!$B$10:$AB$252,Poeng!AB$1,FALSE)</f>
        <v>1</v>
      </c>
      <c r="G54" s="29"/>
      <c r="H54" s="99">
        <f>VLOOKUP(D54,Poeng!$B$10:$AE$252,Poeng!AE$1,FALSE)</f>
        <v>0</v>
      </c>
      <c r="I54" s="100" t="str">
        <f>VLOOKUP(D54,Poeng!$B$10:$BE$252,Poeng!BE$1,FALSE)</f>
        <v>N/A</v>
      </c>
      <c r="J54" s="66"/>
      <c r="K54" s="233"/>
      <c r="L54" s="633"/>
      <c r="M54" s="648"/>
      <c r="N54" s="69"/>
      <c r="O54" s="99">
        <f>VLOOKUP(D54,Poeng!$B$10:$BC$252,Poeng!AF$1,FALSE)</f>
        <v>0</v>
      </c>
      <c r="P54" s="99" t="str">
        <f>VLOOKUP(D54,Poeng!$B$10:$BH$252,Poeng!BH$1,FALSE)</f>
        <v>N/A</v>
      </c>
      <c r="Q54" s="583"/>
      <c r="R54" s="584"/>
      <c r="S54" s="577"/>
      <c r="T54" s="268"/>
      <c r="U54" s="69"/>
      <c r="V54" s="99">
        <f>VLOOKUP(D54,Poeng!$B$10:$BC$252,Poeng!AG$1,FALSE)</f>
        <v>0</v>
      </c>
      <c r="W54" s="99" t="str">
        <f>VLOOKUP(D54,Poeng!$B$10:$BK$252,Poeng!BK$1,FALSE)</f>
        <v>N/A</v>
      </c>
      <c r="X54" s="67"/>
      <c r="Y54" s="66"/>
      <c r="Z54" s="633"/>
      <c r="AA54" s="108"/>
      <c r="AB54" s="495"/>
      <c r="AC54" s="17">
        <f t="shared" si="0"/>
        <v>1</v>
      </c>
      <c r="AD54" s="1" t="e">
        <f>VLOOKUP(K54,'Assessment Details'!$O$45:$P$48,2,FALSE)</f>
        <v>#N/A</v>
      </c>
      <c r="AE54" s="1" t="e">
        <f>VLOOKUP(R54,'Assessment Details'!$O$45:$P$48,2,FALSE)</f>
        <v>#N/A</v>
      </c>
      <c r="AF54" s="1" t="e">
        <f>VLOOKUP(Y54,'Assessment Details'!$O$45:$P$48,2,FALSE)</f>
        <v>#N/A</v>
      </c>
      <c r="AI54" s="56"/>
      <c r="AJ54" s="522"/>
      <c r="AK54" s="501"/>
      <c r="AL54" s="501"/>
      <c r="AM54" s="501"/>
      <c r="AN54" s="56"/>
      <c r="AO54" s="56"/>
      <c r="AP54" s="56"/>
      <c r="AS54" s="17"/>
      <c r="AT54" s="17"/>
      <c r="AU54" s="17"/>
      <c r="AV54" s="17"/>
      <c r="AW54" s="17"/>
      <c r="AX54" s="17"/>
      <c r="AZ54" s="495"/>
    </row>
    <row r="55" spans="1:52">
      <c r="A55" s="830">
        <v>46</v>
      </c>
      <c r="B55" s="831" t="s">
        <v>286</v>
      </c>
      <c r="C55" s="739" t="s">
        <v>319</v>
      </c>
      <c r="D55" s="653" t="s">
        <v>319</v>
      </c>
      <c r="E55" s="686" t="str">
        <f>VLOOKUP(D55,Poeng!$B$10:$R$252,Poeng!E$1,FALSE)</f>
        <v>Hea 05 Acoustic performance</v>
      </c>
      <c r="F55" s="691">
        <f>VLOOKUP(D55,Poeng!$B$10:$AB$252,Poeng!AB$1,FALSE)</f>
        <v>3</v>
      </c>
      <c r="G55" s="784"/>
      <c r="H55" s="692" t="str">
        <f>VLOOKUP(D55,Poeng!$B$10:$AI$252,Poeng!AI$1,FALSE)&amp;" c. "&amp;ROUND(VLOOKUP(D55,Poeng!$B$10:$AE$252,Poeng!AE$1,FALSE)*100,1)&amp;" %"</f>
        <v>0 c. 0 %</v>
      </c>
      <c r="I55" s="739" t="str">
        <f>VLOOKUP(D55,Poeng!$B$10:$BE$252,Poeng!BE$1,FALSE)</f>
        <v>N/A</v>
      </c>
      <c r="J55" s="66"/>
      <c r="K55" s="233"/>
      <c r="L55" s="633"/>
      <c r="M55" s="648"/>
      <c r="N55" s="784"/>
      <c r="O55" s="703" t="str">
        <f>VLOOKUP(D55,Poeng!$B$10:$BC$252,Poeng!AJ$1,FALSE)&amp;" c. "&amp;ROUND(VLOOKUP(D55,Poeng!$B$10:$BC$252,Poeng!AF$1,FALSE)*100,1)&amp;" %"</f>
        <v>0 c. 0 %</v>
      </c>
      <c r="P55" s="99" t="str">
        <f>VLOOKUP(D55,Poeng!$B$10:$BH$252,Poeng!BH$1,FALSE)</f>
        <v>N/A</v>
      </c>
      <c r="Q55" s="583"/>
      <c r="R55" s="584"/>
      <c r="S55" s="577"/>
      <c r="T55" s="268"/>
      <c r="U55" s="784"/>
      <c r="V55" s="703" t="str">
        <f>VLOOKUP(D55,Poeng!$B$10:$BC$252,Poeng!AK$1,FALSE)&amp;" c. "&amp;ROUND(VLOOKUP(D55,Poeng!$B$10:$BC$252,Poeng!AG$1,FALSE)*100,1)&amp;" %"</f>
        <v>0 c. 0 %</v>
      </c>
      <c r="W55" s="99" t="str">
        <f>VLOOKUP(D55,Poeng!$B$10:$BK$252,Poeng!BK$1,FALSE)</f>
        <v>N/A</v>
      </c>
      <c r="X55" s="67"/>
      <c r="Y55" s="66"/>
      <c r="Z55" s="577"/>
      <c r="AA55" s="108"/>
      <c r="AB55" s="495" t="s">
        <v>127</v>
      </c>
      <c r="AC55" s="17">
        <f t="shared" si="0"/>
        <v>1</v>
      </c>
      <c r="AD55" s="1" t="e">
        <f>VLOOKUP(K55,'Assessment Details'!$O$45:$P$48,2,FALSE)</f>
        <v>#N/A</v>
      </c>
      <c r="AE55" s="1" t="e">
        <f>VLOOKUP(R55,'Assessment Details'!$O$45:$P$48,2,FALSE)</f>
        <v>#N/A</v>
      </c>
      <c r="AF55" s="1" t="e">
        <f>VLOOKUP(Y55,'Assessment Details'!$O$45:$P$48,2,FALSE)</f>
        <v>#N/A</v>
      </c>
      <c r="AI55" s="56"/>
      <c r="AJ55" s="522" t="s">
        <v>320</v>
      </c>
      <c r="AK55" s="501" t="s">
        <v>127</v>
      </c>
      <c r="AL55" s="503" t="s">
        <v>123</v>
      </c>
      <c r="AM55" s="56"/>
      <c r="AN55" s="56"/>
      <c r="AO55" s="56"/>
      <c r="AP55" s="56"/>
      <c r="AS55" s="17" t="str">
        <f t="shared" si="3"/>
        <v>N/A</v>
      </c>
      <c r="AT55" s="17" t="str">
        <f t="shared" si="1"/>
        <v>N/A</v>
      </c>
      <c r="AU55" s="17" t="str">
        <f t="shared" si="2"/>
        <v>N/A</v>
      </c>
      <c r="AV55" s="17"/>
      <c r="AW55" s="17"/>
      <c r="AX55" s="17"/>
      <c r="AZ55" s="495"/>
    </row>
    <row r="56" spans="1:52">
      <c r="A56" s="830">
        <v>47</v>
      </c>
      <c r="B56" s="831" t="s">
        <v>286</v>
      </c>
      <c r="C56" s="100" t="str">
        <f t="shared" si="7"/>
        <v>Hea 05</v>
      </c>
      <c r="D56" s="653" t="s">
        <v>321</v>
      </c>
      <c r="E56" s="687" t="str">
        <f>VLOOKUP(D56,Poeng!$B$10:$R$252,Poeng!E$1,FALSE)</f>
        <v xml:space="preserve">Pre-requisite: suitably qualified acoustician </v>
      </c>
      <c r="F56" s="98" t="str">
        <f>VLOOKUP(D56,Poeng!$B$10:$AB$252,Poeng!AB$1,FALSE)</f>
        <v>Yes/No</v>
      </c>
      <c r="G56" s="29"/>
      <c r="H56" s="99" t="str">
        <f>VLOOKUP(D56,Poeng!$B$10:$AE$252,Poeng!AE$1,FALSE)</f>
        <v>-</v>
      </c>
      <c r="I56" s="100" t="str">
        <f>VLOOKUP(D56,Poeng!$B$10:$BE$252,Poeng!BE$1,FALSE)</f>
        <v>N/A</v>
      </c>
      <c r="J56" s="66"/>
      <c r="K56" s="233"/>
      <c r="L56" s="633"/>
      <c r="M56" s="648"/>
      <c r="N56" s="69"/>
      <c r="O56" s="99" t="str">
        <f>VLOOKUP(D56,Poeng!$B$10:$BC$252,Poeng!AF$1,FALSE)</f>
        <v>-</v>
      </c>
      <c r="P56" s="99" t="str">
        <f>VLOOKUP(D56,Poeng!$B$10:$BH$252,Poeng!BH$1,FALSE)</f>
        <v>N/A</v>
      </c>
      <c r="Q56" s="583"/>
      <c r="R56" s="584"/>
      <c r="S56" s="577"/>
      <c r="T56" s="268"/>
      <c r="U56" s="69"/>
      <c r="V56" s="99" t="str">
        <f>VLOOKUP(D56,Poeng!$B$10:$BC$252,Poeng!AG$1,FALSE)</f>
        <v>-</v>
      </c>
      <c r="W56" s="99" t="str">
        <f>VLOOKUP(D56,Poeng!$B$10:$BK$252,Poeng!BK$1,FALSE)</f>
        <v>N/A</v>
      </c>
      <c r="X56" s="67"/>
      <c r="Y56" s="66"/>
      <c r="Z56" s="577"/>
      <c r="AA56" s="108"/>
      <c r="AB56" s="495"/>
      <c r="AC56" s="17">
        <f t="shared" si="0"/>
        <v>1</v>
      </c>
      <c r="AD56" s="1" t="e">
        <f>VLOOKUP(K56,'Assessment Details'!$O$45:$P$48,2,FALSE)</f>
        <v>#N/A</v>
      </c>
      <c r="AE56" s="1" t="e">
        <f>VLOOKUP(R56,'Assessment Details'!$O$45:$P$48,2,FALSE)</f>
        <v>#N/A</v>
      </c>
      <c r="AF56" s="1" t="e">
        <f>VLOOKUP(Y56,'Assessment Details'!$O$45:$P$48,2,FALSE)</f>
        <v>#N/A</v>
      </c>
      <c r="AI56" s="56"/>
      <c r="AJ56" s="522"/>
      <c r="AK56" s="501"/>
      <c r="AL56" s="503"/>
      <c r="AM56" s="56"/>
      <c r="AN56" s="56"/>
      <c r="AO56" s="56"/>
      <c r="AP56" s="56"/>
      <c r="AS56" s="17"/>
      <c r="AT56" s="17"/>
      <c r="AU56" s="17"/>
      <c r="AV56" s="17"/>
      <c r="AW56" s="17"/>
      <c r="AX56" s="17"/>
      <c r="AZ56" s="495"/>
    </row>
    <row r="57" spans="1:52">
      <c r="A57" s="830">
        <v>48</v>
      </c>
      <c r="B57" s="831" t="s">
        <v>286</v>
      </c>
      <c r="C57" s="100" t="str">
        <f t="shared" si="7"/>
        <v>Hea 05</v>
      </c>
      <c r="D57" s="653" t="s">
        <v>322</v>
      </c>
      <c r="E57" s="687" t="str">
        <f>VLOOKUP(D57,Poeng!$B$10:$R$252,Poeng!E$1,FALSE)</f>
        <v xml:space="preserve">Sound class requirements </v>
      </c>
      <c r="F57" s="98">
        <f>VLOOKUP(D57,Poeng!$B$10:$AB$252,Poeng!AB$1,FALSE)</f>
        <v>3</v>
      </c>
      <c r="G57" s="29"/>
      <c r="H57" s="99">
        <f>VLOOKUP(D57,Poeng!$B$10:$AE$252,Poeng!AE$1,FALSE)</f>
        <v>0</v>
      </c>
      <c r="I57" s="100" t="str">
        <f>VLOOKUP(D57,Poeng!$B$10:$BE$252,Poeng!BE$1,FALSE)</f>
        <v>N/A</v>
      </c>
      <c r="J57" s="66"/>
      <c r="K57" s="233"/>
      <c r="L57" s="633"/>
      <c r="M57" s="648"/>
      <c r="N57" s="69"/>
      <c r="O57" s="99">
        <f>VLOOKUP(D57,Poeng!$B$10:$BC$252,Poeng!AF$1,FALSE)</f>
        <v>0</v>
      </c>
      <c r="P57" s="99" t="str">
        <f>VLOOKUP(D57,Poeng!$B$10:$BH$252,Poeng!BH$1,FALSE)</f>
        <v>N/A</v>
      </c>
      <c r="Q57" s="583"/>
      <c r="R57" s="584"/>
      <c r="S57" s="633"/>
      <c r="T57" s="268"/>
      <c r="U57" s="69"/>
      <c r="V57" s="99">
        <f>VLOOKUP(D57,Poeng!$B$10:$BC$252,Poeng!AG$1,FALSE)</f>
        <v>0</v>
      </c>
      <c r="W57" s="99" t="str">
        <f>VLOOKUP(D57,Poeng!$B$10:$BK$252,Poeng!BK$1,FALSE)</f>
        <v>N/A</v>
      </c>
      <c r="X57" s="67"/>
      <c r="Y57" s="66"/>
      <c r="Z57" s="633"/>
      <c r="AA57" s="108"/>
      <c r="AB57" s="495"/>
      <c r="AC57" s="17">
        <f t="shared" si="0"/>
        <v>1</v>
      </c>
      <c r="AD57" s="1" t="e">
        <f>VLOOKUP(K57,'Assessment Details'!$O$45:$P$48,2,FALSE)</f>
        <v>#N/A</v>
      </c>
      <c r="AE57" s="1" t="e">
        <f>VLOOKUP(R57,'Assessment Details'!$O$45:$P$48,2,FALSE)</f>
        <v>#N/A</v>
      </c>
      <c r="AF57" s="1" t="e">
        <f>VLOOKUP(Y57,'Assessment Details'!$O$45:$P$48,2,FALSE)</f>
        <v>#N/A</v>
      </c>
      <c r="AI57" s="56"/>
      <c r="AJ57" s="522"/>
      <c r="AK57" s="501"/>
      <c r="AL57" s="503"/>
      <c r="AM57" s="56"/>
      <c r="AN57" s="56"/>
      <c r="AO57" s="56"/>
      <c r="AP57" s="56"/>
      <c r="AS57" s="17"/>
      <c r="AT57" s="17"/>
      <c r="AU57" s="17"/>
      <c r="AV57" s="17"/>
      <c r="AW57" s="17"/>
      <c r="AX57" s="17"/>
      <c r="AZ57" s="495"/>
    </row>
    <row r="58" spans="1:52">
      <c r="A58" s="830">
        <v>49</v>
      </c>
      <c r="B58" s="831" t="s">
        <v>286</v>
      </c>
      <c r="C58" s="739" t="s">
        <v>323</v>
      </c>
      <c r="D58" s="653" t="s">
        <v>323</v>
      </c>
      <c r="E58" s="686" t="str">
        <f>VLOOKUP(D58,Poeng!$B$10:$R$252,Poeng!E$1,FALSE)</f>
        <v>Hea 06 Safe access</v>
      </c>
      <c r="F58" s="691">
        <f>VLOOKUP(D58,Poeng!$B$10:$AB$252,Poeng!AB$1,FALSE)</f>
        <v>2</v>
      </c>
      <c r="G58" s="784"/>
      <c r="H58" s="692" t="str">
        <f>VLOOKUP(D58,Poeng!$B$10:$AI$252,Poeng!AI$1,FALSE)&amp;" c. "&amp;ROUND(VLOOKUP(D58,Poeng!$B$10:$AE$252,Poeng!AE$1,FALSE)*100,1)&amp;" %"</f>
        <v>0 c. 0 %</v>
      </c>
      <c r="I58" s="739" t="str">
        <f>VLOOKUP(D58,Poeng!$B$10:$BE$252,Poeng!BE$1,FALSE)</f>
        <v>N/A</v>
      </c>
      <c r="J58" s="66"/>
      <c r="K58" s="233"/>
      <c r="L58" s="633"/>
      <c r="M58" s="648"/>
      <c r="N58" s="784"/>
      <c r="O58" s="703" t="str">
        <f>VLOOKUP(D58,Poeng!$B$10:$BC$252,Poeng!AJ$1,FALSE)&amp;" c. "&amp;ROUND(VLOOKUP(D58,Poeng!$B$10:$BC$252,Poeng!AF$1,FALSE)*100,1)&amp;" %"</f>
        <v>0 c. 0 %</v>
      </c>
      <c r="P58" s="99" t="str">
        <f>VLOOKUP(D58,Poeng!$B$10:$BH$252,Poeng!BH$1,FALSE)</f>
        <v>N/A</v>
      </c>
      <c r="Q58" s="583"/>
      <c r="R58" s="584"/>
      <c r="S58" s="577"/>
      <c r="T58" s="268"/>
      <c r="U58" s="784"/>
      <c r="V58" s="703" t="str">
        <f>VLOOKUP(D58,Poeng!$B$10:$BC$252,Poeng!AK$1,FALSE)&amp;" c. "&amp;ROUND(VLOOKUP(D58,Poeng!$B$10:$BC$252,Poeng!AG$1,FALSE)*100,1)&amp;" %"</f>
        <v>0 c. 0 %</v>
      </c>
      <c r="W58" s="99" t="str">
        <f>VLOOKUP(D58,Poeng!$B$10:$BK$252,Poeng!BK$1,FALSE)</f>
        <v>N/A</v>
      </c>
      <c r="X58" s="67"/>
      <c r="Y58" s="66"/>
      <c r="Z58" s="577"/>
      <c r="AA58" s="108"/>
      <c r="AB58" s="495" t="s">
        <v>216</v>
      </c>
      <c r="AC58" s="17">
        <f t="shared" si="0"/>
        <v>1</v>
      </c>
      <c r="AD58" s="1" t="e">
        <f>VLOOKUP(K58,'Assessment Details'!$O$45:$P$48,2,FALSE)</f>
        <v>#N/A</v>
      </c>
      <c r="AE58" s="1" t="e">
        <f>VLOOKUP(R58,'Assessment Details'!$O$45:$P$48,2,FALSE)</f>
        <v>#N/A</v>
      </c>
      <c r="AF58" s="1" t="e">
        <f>VLOOKUP(Y58,'Assessment Details'!$O$45:$P$48,2,FALSE)</f>
        <v>#N/A</v>
      </c>
      <c r="AI58" s="56"/>
      <c r="AJ58" s="522" t="s">
        <v>324</v>
      </c>
      <c r="AK58" s="56"/>
      <c r="AL58" s="56"/>
      <c r="AM58" s="56"/>
      <c r="AN58" s="56"/>
      <c r="AO58" s="56"/>
      <c r="AP58" s="56"/>
      <c r="AS58" s="17" t="str">
        <f t="shared" si="3"/>
        <v>N/A</v>
      </c>
      <c r="AT58" s="17" t="str">
        <f t="shared" si="1"/>
        <v>N/A</v>
      </c>
      <c r="AU58" s="17" t="str">
        <f t="shared" si="2"/>
        <v>N/A</v>
      </c>
      <c r="AV58" s="17"/>
      <c r="AW58" s="17"/>
      <c r="AX58" s="17"/>
      <c r="AZ58" s="495"/>
    </row>
    <row r="59" spans="1:52">
      <c r="A59" s="830">
        <v>50</v>
      </c>
      <c r="B59" s="831" t="s">
        <v>286</v>
      </c>
      <c r="C59" s="100" t="str">
        <f t="shared" si="7"/>
        <v>Hea 06</v>
      </c>
      <c r="D59" s="653" t="s">
        <v>325</v>
      </c>
      <c r="E59" s="687" t="str">
        <f>VLOOKUP(D59,Poeng!$B$10:$R$252,Poeng!E$1,FALSE)</f>
        <v xml:space="preserve">Inclusive design </v>
      </c>
      <c r="F59" s="98">
        <f>VLOOKUP(D59,Poeng!$B$10:$AB$252,Poeng!AB$1,FALSE)</f>
        <v>1</v>
      </c>
      <c r="G59" s="29"/>
      <c r="H59" s="99">
        <f>VLOOKUP(D59,Poeng!$B$10:$AE$252,Poeng!AE$1,FALSE)</f>
        <v>0</v>
      </c>
      <c r="I59" s="100" t="str">
        <f>VLOOKUP(D59,Poeng!$B$10:$BE$252,Poeng!BE$1,FALSE)</f>
        <v>N/A</v>
      </c>
      <c r="J59" s="66"/>
      <c r="K59" s="233"/>
      <c r="L59" s="633"/>
      <c r="M59" s="648"/>
      <c r="N59" s="69"/>
      <c r="O59" s="99">
        <f>VLOOKUP(D59,Poeng!$B$10:$BC$252,Poeng!AF$1,FALSE)</f>
        <v>0</v>
      </c>
      <c r="P59" s="99" t="str">
        <f>VLOOKUP(D59,Poeng!$B$10:$BH$252,Poeng!BH$1,FALSE)</f>
        <v>N/A</v>
      </c>
      <c r="Q59" s="583"/>
      <c r="R59" s="584"/>
      <c r="S59" s="577"/>
      <c r="T59" s="268"/>
      <c r="U59" s="69"/>
      <c r="V59" s="99">
        <f>VLOOKUP(D59,Poeng!$B$10:$BC$252,Poeng!AG$1,FALSE)</f>
        <v>0</v>
      </c>
      <c r="W59" s="99" t="str">
        <f>VLOOKUP(D59,Poeng!$B$10:$BK$252,Poeng!BK$1,FALSE)</f>
        <v>N/A</v>
      </c>
      <c r="X59" s="67"/>
      <c r="Y59" s="66"/>
      <c r="Z59" s="633"/>
      <c r="AA59" s="108"/>
      <c r="AB59" s="495"/>
      <c r="AC59" s="17">
        <f t="shared" si="0"/>
        <v>1</v>
      </c>
      <c r="AD59" s="1" t="e">
        <f>VLOOKUP(K59,'Assessment Details'!$O$45:$P$48,2,FALSE)</f>
        <v>#N/A</v>
      </c>
      <c r="AE59" s="1" t="e">
        <f>VLOOKUP(R59,'Assessment Details'!$O$45:$P$48,2,FALSE)</f>
        <v>#N/A</v>
      </c>
      <c r="AF59" s="1" t="e">
        <f>VLOOKUP(Y59,'Assessment Details'!$O$45:$P$48,2,FALSE)</f>
        <v>#N/A</v>
      </c>
      <c r="AI59" s="56"/>
      <c r="AJ59" s="522"/>
      <c r="AK59" s="56"/>
      <c r="AL59" s="56"/>
      <c r="AM59" s="56"/>
      <c r="AN59" s="56"/>
      <c r="AO59" s="56"/>
      <c r="AP59" s="56"/>
      <c r="AS59" s="17"/>
      <c r="AT59" s="17"/>
      <c r="AU59" s="17"/>
      <c r="AV59" s="17"/>
      <c r="AW59" s="17"/>
      <c r="AX59" s="17"/>
      <c r="AZ59" s="495"/>
    </row>
    <row r="60" spans="1:52">
      <c r="A60" s="830">
        <v>51</v>
      </c>
      <c r="B60" s="831" t="s">
        <v>286</v>
      </c>
      <c r="C60" s="100" t="str">
        <f t="shared" si="7"/>
        <v>Hea 06</v>
      </c>
      <c r="D60" s="653" t="s">
        <v>326</v>
      </c>
      <c r="E60" s="687" t="str">
        <f>VLOOKUP(D60,Poeng!$B$10:$R$252,Poeng!E$1,FALSE)</f>
        <v xml:space="preserve">Biofilik design </v>
      </c>
      <c r="F60" s="98">
        <f>VLOOKUP(D60,Poeng!$B$10:$AB$252,Poeng!AB$1,FALSE)</f>
        <v>1</v>
      </c>
      <c r="G60" s="29"/>
      <c r="H60" s="99">
        <f>VLOOKUP(D60,Poeng!$B$10:$AE$252,Poeng!AE$1,FALSE)</f>
        <v>0</v>
      </c>
      <c r="I60" s="100" t="str">
        <f>VLOOKUP(D60,Poeng!$B$10:$BE$252,Poeng!BE$1,FALSE)</f>
        <v>N/A</v>
      </c>
      <c r="J60" s="66"/>
      <c r="K60" s="233"/>
      <c r="L60" s="633"/>
      <c r="M60" s="648"/>
      <c r="N60" s="69"/>
      <c r="O60" s="99">
        <f>VLOOKUP(D60,Poeng!$B$10:$BC$252,Poeng!AF$1,FALSE)</f>
        <v>0</v>
      </c>
      <c r="P60" s="99" t="str">
        <f>VLOOKUP(D60,Poeng!$B$10:$BH$252,Poeng!BH$1,FALSE)</f>
        <v>N/A</v>
      </c>
      <c r="Q60" s="583"/>
      <c r="R60" s="584"/>
      <c r="S60" s="577"/>
      <c r="T60" s="268"/>
      <c r="U60" s="69"/>
      <c r="V60" s="99">
        <f>VLOOKUP(D60,Poeng!$B$10:$BC$252,Poeng!AG$1,FALSE)</f>
        <v>0</v>
      </c>
      <c r="W60" s="99" t="str">
        <f>VLOOKUP(D60,Poeng!$B$10:$BK$252,Poeng!BK$1,FALSE)</f>
        <v>N/A</v>
      </c>
      <c r="X60" s="67"/>
      <c r="Y60" s="66"/>
      <c r="Z60" s="577"/>
      <c r="AA60" s="108"/>
      <c r="AB60" s="495"/>
      <c r="AC60" s="17">
        <f t="shared" si="0"/>
        <v>1</v>
      </c>
      <c r="AD60" s="1" t="e">
        <f>VLOOKUP(K60,'Assessment Details'!$O$45:$P$48,2,FALSE)</f>
        <v>#N/A</v>
      </c>
      <c r="AE60" s="1" t="e">
        <f>VLOOKUP(R60,'Assessment Details'!$O$45:$P$48,2,FALSE)</f>
        <v>#N/A</v>
      </c>
      <c r="AF60" s="1" t="e">
        <f>VLOOKUP(Y60,'Assessment Details'!$O$45:$P$48,2,FALSE)</f>
        <v>#N/A</v>
      </c>
      <c r="AI60" s="56"/>
      <c r="AJ60" s="522"/>
      <c r="AK60" s="56"/>
      <c r="AL60" s="56"/>
      <c r="AM60" s="56"/>
      <c r="AN60" s="56"/>
      <c r="AO60" s="56"/>
      <c r="AP60" s="56"/>
      <c r="AS60" s="17"/>
      <c r="AT60" s="17"/>
      <c r="AU60" s="17"/>
      <c r="AV60" s="17"/>
      <c r="AW60" s="17"/>
      <c r="AX60" s="17"/>
      <c r="AZ60" s="495"/>
    </row>
    <row r="61" spans="1:52">
      <c r="A61" s="830">
        <v>52</v>
      </c>
      <c r="B61" s="831" t="s">
        <v>286</v>
      </c>
      <c r="C61" s="739" t="s">
        <v>327</v>
      </c>
      <c r="D61" s="653" t="s">
        <v>327</v>
      </c>
      <c r="E61" s="686" t="str">
        <f>VLOOKUP(D61,Poeng!$B$10:$R$252,Poeng!E$1,FALSE)</f>
        <v>Hea 08 Private space</v>
      </c>
      <c r="F61" s="691">
        <f>VLOOKUP(D61,Poeng!$B$10:$AB$252,Poeng!AB$1,FALSE)</f>
        <v>0</v>
      </c>
      <c r="G61" s="784"/>
      <c r="H61" s="692" t="str">
        <f>VLOOKUP(D61,Poeng!$B$10:$AI$252,Poeng!AI$1,FALSE)&amp;" c. "&amp;ROUND(VLOOKUP(D61,Poeng!$B$10:$AE$252,Poeng!AE$1,FALSE)*100,1)&amp;" %"</f>
        <v>0 c. 0 %</v>
      </c>
      <c r="I61" s="739" t="str">
        <f>VLOOKUP(D61,Poeng!$B$10:$BE$252,Poeng!BE$1,FALSE)</f>
        <v>N/A</v>
      </c>
      <c r="J61" s="66"/>
      <c r="K61" s="233"/>
      <c r="L61" s="633"/>
      <c r="M61" s="648"/>
      <c r="N61" s="784"/>
      <c r="O61" s="703" t="str">
        <f>VLOOKUP(D61,Poeng!$B$10:$BC$252,Poeng!AJ$1,FALSE)&amp;" c. "&amp;ROUND(VLOOKUP(D61,Poeng!$B$10:$BC$252,Poeng!AF$1,FALSE)*100,1)&amp;" %"</f>
        <v>0 c. 0 %</v>
      </c>
      <c r="P61" s="99" t="str">
        <f>VLOOKUP(D61,Poeng!$B$10:$BH$252,Poeng!BH$1,FALSE)</f>
        <v>N/A</v>
      </c>
      <c r="Q61" s="583"/>
      <c r="R61" s="584"/>
      <c r="S61" s="577"/>
      <c r="T61" s="268"/>
      <c r="U61" s="784"/>
      <c r="V61" s="703" t="str">
        <f>VLOOKUP(D61,Poeng!$B$10:$BC$252,Poeng!AK$1,FALSE)&amp;" c. "&amp;ROUND(VLOOKUP(D61,Poeng!$B$10:$BC$252,Poeng!AG$1,FALSE)*100,1)&amp;" %"</f>
        <v>0 c. 0 %</v>
      </c>
      <c r="W61" s="99" t="str">
        <f>VLOOKUP(D61,Poeng!$B$10:$BK$252,Poeng!BK$1,FALSE)</f>
        <v>N/A</v>
      </c>
      <c r="X61" s="67"/>
      <c r="Y61" s="66"/>
      <c r="Z61" s="577"/>
      <c r="AA61" s="108"/>
      <c r="AB61" s="495" t="s">
        <v>216</v>
      </c>
      <c r="AC61" s="17">
        <f t="shared" si="0"/>
        <v>2</v>
      </c>
      <c r="AD61" s="1" t="e">
        <f>VLOOKUP(K61,'Assessment Details'!$O$45:$P$48,2,FALSE)</f>
        <v>#N/A</v>
      </c>
      <c r="AE61" s="1" t="e">
        <f>VLOOKUP(R61,'Assessment Details'!$O$45:$P$48,2,FALSE)</f>
        <v>#N/A</v>
      </c>
      <c r="AF61" s="1" t="e">
        <f>VLOOKUP(Y61,'Assessment Details'!$O$45:$P$48,2,FALSE)</f>
        <v>#N/A</v>
      </c>
      <c r="AI61" s="56"/>
      <c r="AJ61" s="522" t="s">
        <v>328</v>
      </c>
      <c r="AK61" s="56"/>
      <c r="AL61" s="56"/>
      <c r="AM61" s="56"/>
      <c r="AN61" s="56"/>
      <c r="AO61" s="56"/>
      <c r="AP61" s="56"/>
      <c r="AS61" s="17" t="str">
        <f t="shared" si="3"/>
        <v>N/A</v>
      </c>
      <c r="AT61" s="17" t="str">
        <f t="shared" si="1"/>
        <v>N/A</v>
      </c>
      <c r="AU61" s="17" t="str">
        <f t="shared" si="2"/>
        <v>N/A</v>
      </c>
      <c r="AV61" s="17"/>
      <c r="AW61" s="17"/>
      <c r="AX61" s="17"/>
      <c r="AZ61" s="495"/>
    </row>
    <row r="62" spans="1:52">
      <c r="A62" s="830">
        <v>53</v>
      </c>
      <c r="B62" s="831" t="s">
        <v>286</v>
      </c>
      <c r="C62" s="100" t="str">
        <f t="shared" si="7"/>
        <v>Hea 08</v>
      </c>
      <c r="D62" s="653" t="s">
        <v>329</v>
      </c>
      <c r="E62" s="687" t="str">
        <f>VLOOKUP(D62,Poeng!$B$10:$R$252,Poeng!E$1,FALSE)</f>
        <v xml:space="preserve">Private outdoor spaces </v>
      </c>
      <c r="F62" s="98">
        <f>VLOOKUP(D62,Poeng!$B$10:$AB$252,Poeng!AB$1,FALSE)</f>
        <v>0</v>
      </c>
      <c r="G62" s="29"/>
      <c r="H62" s="99">
        <f>VLOOKUP(D62,Poeng!$B$10:$AE$252,Poeng!AE$1,FALSE)</f>
        <v>0</v>
      </c>
      <c r="I62" s="100" t="str">
        <f>VLOOKUP(D62,Poeng!$B$10:$BE$252,Poeng!BE$1,FALSE)</f>
        <v>N/A</v>
      </c>
      <c r="J62" s="66"/>
      <c r="K62" s="233"/>
      <c r="L62" s="633"/>
      <c r="M62" s="648"/>
      <c r="N62" s="69"/>
      <c r="O62" s="99">
        <f>VLOOKUP(D62,Poeng!$B$10:$BC$252,Poeng!AF$1,FALSE)</f>
        <v>0</v>
      </c>
      <c r="P62" s="99" t="str">
        <f>VLOOKUP(D62,Poeng!$B$10:$BH$252,Poeng!BH$1,FALSE)</f>
        <v>N/A</v>
      </c>
      <c r="Q62" s="583"/>
      <c r="R62" s="584"/>
      <c r="S62" s="633"/>
      <c r="T62" s="268"/>
      <c r="U62" s="69"/>
      <c r="V62" s="99">
        <f>VLOOKUP(D62,Poeng!$B$10:$BC$252,Poeng!AG$1,FALSE)</f>
        <v>0</v>
      </c>
      <c r="W62" s="99" t="str">
        <f>VLOOKUP(D62,Poeng!$B$10:$BK$252,Poeng!BK$1,FALSE)</f>
        <v>N/A</v>
      </c>
      <c r="X62" s="67"/>
      <c r="Y62" s="66"/>
      <c r="Z62" s="633"/>
      <c r="AA62" s="108"/>
      <c r="AB62" s="559"/>
      <c r="AC62" s="17">
        <f t="shared" si="0"/>
        <v>2</v>
      </c>
      <c r="AD62" s="1" t="e">
        <f>VLOOKUP(K62,'Assessment Details'!$O$45:$P$48,2,FALSE)</f>
        <v>#N/A</v>
      </c>
      <c r="AE62" s="1" t="e">
        <f>VLOOKUP(R62,'Assessment Details'!$O$45:$P$48,2,FALSE)</f>
        <v>#N/A</v>
      </c>
      <c r="AF62" s="1" t="e">
        <f>VLOOKUP(Y62,'Assessment Details'!$O$45:$P$48,2,FALSE)</f>
        <v>#N/A</v>
      </c>
      <c r="AI62" s="56"/>
      <c r="AJ62" s="522"/>
      <c r="AK62" s="56"/>
      <c r="AL62" s="56"/>
      <c r="AM62" s="56"/>
      <c r="AN62" s="56"/>
      <c r="AO62" s="56"/>
      <c r="AP62" s="56"/>
      <c r="AS62" s="17"/>
      <c r="AT62" s="17"/>
      <c r="AU62" s="17"/>
      <c r="AV62" s="17"/>
      <c r="AW62" s="17"/>
      <c r="AX62" s="17"/>
      <c r="AZ62" s="559"/>
    </row>
    <row r="63" spans="1:52" ht="15.75" thickBot="1">
      <c r="A63" s="830">
        <v>54</v>
      </c>
      <c r="B63" s="831" t="s">
        <v>286</v>
      </c>
      <c r="C63" s="836"/>
      <c r="D63" s="653" t="s">
        <v>330</v>
      </c>
      <c r="E63" s="269" t="s">
        <v>331</v>
      </c>
      <c r="F63" s="101">
        <f>Hea_Credits</f>
        <v>19</v>
      </c>
      <c r="G63" s="106"/>
      <c r="H63" s="102">
        <f>Hea_cont_tot</f>
        <v>0</v>
      </c>
      <c r="I63" s="693" t="str">
        <f>"Credits achieved: "&amp;HW_tot_user</f>
        <v>Credits achieved: 0</v>
      </c>
      <c r="J63" s="109"/>
      <c r="K63" s="234"/>
      <c r="L63" s="585"/>
      <c r="M63" s="648"/>
      <c r="N63" s="326"/>
      <c r="O63" s="102">
        <f>VLOOKUP(D63,Poeng!$B$10:$BC$252,Poeng!AF$1,FALSE)</f>
        <v>0</v>
      </c>
      <c r="P63" s="693" t="str">
        <f>"Credits achieved: "&amp;HW_d_user</f>
        <v>Credits achieved: 0</v>
      </c>
      <c r="Q63" s="586"/>
      <c r="R63" s="587"/>
      <c r="S63" s="585"/>
      <c r="T63" s="268"/>
      <c r="U63" s="326"/>
      <c r="V63" s="102">
        <f>VLOOKUP(D63,Poeng!$B$10:$BC$252,Poeng!AG$1,FALSE)</f>
        <v>0</v>
      </c>
      <c r="W63" s="693" t="str">
        <f>"Credits achieved: "&amp;HW_c_user</f>
        <v>Credits achieved: 0</v>
      </c>
      <c r="X63" s="325"/>
      <c r="Y63" s="111"/>
      <c r="Z63" s="585"/>
      <c r="AA63" s="108"/>
      <c r="AB63" s="496"/>
      <c r="AC63" s="17">
        <f t="shared" si="0"/>
        <v>1</v>
      </c>
      <c r="AD63" s="230">
        <v>0</v>
      </c>
      <c r="AE63" s="230">
        <v>0</v>
      </c>
      <c r="AF63" s="230">
        <v>0</v>
      </c>
      <c r="AI63" s="56"/>
      <c r="AJ63" s="522" t="s">
        <v>331</v>
      </c>
      <c r="AK63" s="56"/>
      <c r="AL63" s="56"/>
      <c r="AM63" s="56"/>
      <c r="AN63" s="56"/>
      <c r="AO63" s="56"/>
      <c r="AP63" s="56"/>
      <c r="AS63" s="17" t="str">
        <f t="shared" si="3"/>
        <v>N/A</v>
      </c>
      <c r="AT63" s="17" t="str">
        <f t="shared" si="1"/>
        <v>N/A</v>
      </c>
      <c r="AU63" s="17" t="str">
        <f t="shared" si="2"/>
        <v>N/A</v>
      </c>
      <c r="AV63" s="17"/>
      <c r="AW63" s="17"/>
      <c r="AX63" s="17"/>
      <c r="AZ63" s="496"/>
    </row>
    <row r="64" spans="1:52">
      <c r="A64" s="830">
        <v>55</v>
      </c>
      <c r="B64" s="831" t="s">
        <v>286</v>
      </c>
      <c r="C64" s="838"/>
      <c r="D64" s="653"/>
      <c r="E64" s="282"/>
      <c r="F64" s="271"/>
      <c r="G64" s="272"/>
      <c r="H64" s="271"/>
      <c r="I64" s="271"/>
      <c r="J64" s="273"/>
      <c r="K64" s="272"/>
      <c r="L64" s="588"/>
      <c r="M64" s="648"/>
      <c r="N64" s="274"/>
      <c r="O64" s="274"/>
      <c r="P64" s="588"/>
      <c r="Q64" s="588"/>
      <c r="R64" s="589"/>
      <c r="S64" s="588"/>
      <c r="T64" s="268"/>
      <c r="U64" s="274"/>
      <c r="V64" s="274"/>
      <c r="W64" s="588"/>
      <c r="X64" s="273"/>
      <c r="Y64" s="274"/>
      <c r="Z64" s="588"/>
      <c r="AA64" s="108"/>
      <c r="AB64" s="273"/>
      <c r="AC64" s="17">
        <f t="shared" si="0"/>
        <v>1</v>
      </c>
      <c r="AD64" s="231">
        <v>0</v>
      </c>
      <c r="AE64" s="231">
        <v>0</v>
      </c>
      <c r="AF64" s="231">
        <v>0</v>
      </c>
      <c r="AI64" s="56"/>
      <c r="AJ64" s="522"/>
      <c r="AK64" s="56"/>
      <c r="AL64" s="56"/>
      <c r="AM64" s="56"/>
      <c r="AN64" s="56"/>
      <c r="AO64" s="56"/>
      <c r="AP64" s="56"/>
      <c r="AS64" s="17" t="str">
        <f t="shared" si="3"/>
        <v>N/A</v>
      </c>
      <c r="AT64" s="17" t="str">
        <f t="shared" si="1"/>
        <v>N/A</v>
      </c>
      <c r="AU64" s="17" t="str">
        <f t="shared" si="2"/>
        <v>N/A</v>
      </c>
      <c r="AV64" s="17"/>
      <c r="AW64" s="17"/>
      <c r="AX64" s="17"/>
      <c r="AZ64" s="273"/>
    </row>
    <row r="65" spans="1:52" ht="18.75">
      <c r="A65" s="830">
        <v>56</v>
      </c>
      <c r="B65" s="831" t="s">
        <v>332</v>
      </c>
      <c r="C65" s="839"/>
      <c r="D65" s="653"/>
      <c r="E65" s="283" t="s">
        <v>333</v>
      </c>
      <c r="F65" s="264"/>
      <c r="G65" s="265"/>
      <c r="H65" s="284"/>
      <c r="I65" s="264"/>
      <c r="J65" s="276"/>
      <c r="K65" s="277"/>
      <c r="L65" s="591"/>
      <c r="M65" s="648"/>
      <c r="N65" s="287"/>
      <c r="O65" s="280"/>
      <c r="P65" s="581"/>
      <c r="Q65" s="592"/>
      <c r="R65" s="593"/>
      <c r="S65" s="594"/>
      <c r="T65" s="268"/>
      <c r="U65" s="287"/>
      <c r="V65" s="286"/>
      <c r="W65" s="581"/>
      <c r="X65" s="276"/>
      <c r="Y65" s="286"/>
      <c r="Z65" s="591"/>
      <c r="AA65" s="108"/>
      <c r="AB65" s="285"/>
      <c r="AC65" s="17">
        <f t="shared" si="0"/>
        <v>1</v>
      </c>
      <c r="AD65" s="229">
        <v>0</v>
      </c>
      <c r="AE65" s="229">
        <v>0</v>
      </c>
      <c r="AF65" s="229">
        <v>0</v>
      </c>
      <c r="AI65" s="56"/>
      <c r="AJ65" s="522" t="s">
        <v>333</v>
      </c>
      <c r="AK65" s="56"/>
      <c r="AL65" s="56"/>
      <c r="AM65" s="56"/>
      <c r="AN65" s="56"/>
      <c r="AO65" s="56"/>
      <c r="AP65" s="56"/>
      <c r="AS65" s="17" t="str">
        <f t="shared" si="3"/>
        <v>N/A</v>
      </c>
      <c r="AT65" s="17" t="str">
        <f t="shared" si="1"/>
        <v>N/A</v>
      </c>
      <c r="AU65" s="17" t="str">
        <f t="shared" si="2"/>
        <v>N/A</v>
      </c>
      <c r="AV65" s="17"/>
      <c r="AW65" s="17"/>
      <c r="AX65" s="17"/>
      <c r="AZ65" s="285"/>
    </row>
    <row r="66" spans="1:52">
      <c r="A66" s="830">
        <v>57</v>
      </c>
      <c r="B66" s="831" t="s">
        <v>332</v>
      </c>
      <c r="C66" s="739" t="s">
        <v>334</v>
      </c>
      <c r="D66" s="653" t="s">
        <v>334</v>
      </c>
      <c r="E66" s="686" t="str">
        <f>VLOOKUP(D66,Poeng!$B$10:$R$252,Poeng!E$1,FALSE)</f>
        <v>Ene 01 Energy efficiency</v>
      </c>
      <c r="F66" s="691">
        <f>VLOOKUP(D66,Poeng!$B$10:$AB$252,Poeng!AB$1,FALSE)</f>
        <v>12</v>
      </c>
      <c r="G66" s="783"/>
      <c r="H66" s="692" t="str">
        <f>VLOOKUP(D66,Poeng!$B$10:$AI$252,Poeng!AI$1,FALSE)&amp;" c. "&amp;ROUND(VLOOKUP(D66,Poeng!$B$10:$AE$252,Poeng!AE$1,FALSE)*100,1)&amp;" %"</f>
        <v>0 c. 0 %</v>
      </c>
      <c r="I66" s="738" t="str">
        <f>VLOOKUP(D66,Poeng!$B$10:$BE$252,Poeng!BE$1,FALSE)</f>
        <v>N/A</v>
      </c>
      <c r="J66" s="700"/>
      <c r="K66" s="701"/>
      <c r="L66" s="702"/>
      <c r="M66" s="648"/>
      <c r="N66" s="784"/>
      <c r="O66" s="846" t="str">
        <f>VLOOKUP(D66,Poeng!$B$10:$BC$252,Poeng!AJ$1,FALSE)&amp;" c. "&amp;ROUND(VLOOKUP(D66,Poeng!$B$10:$BC$252,Poeng!AF$1,FALSE)*100,1)&amp;" %"</f>
        <v>0 c. 0 %</v>
      </c>
      <c r="P66" s="99" t="str">
        <f>VLOOKUP(D66,Poeng!$B$10:$BH$252,Poeng!BH$1,FALSE)</f>
        <v>N/A</v>
      </c>
      <c r="Q66" s="583"/>
      <c r="R66" s="584"/>
      <c r="S66" s="577"/>
      <c r="T66" s="268"/>
      <c r="U66" s="784"/>
      <c r="V66" s="703" t="str">
        <f>VLOOKUP(D66,Poeng!$B$10:$BC$252,Poeng!AK$1,FALSE)&amp;" c. "&amp;ROUND(VLOOKUP(D66,Poeng!$B$10:$BC$252,Poeng!AG$1,FALSE)*100,1)&amp;" %"</f>
        <v>0 c. 0 %</v>
      </c>
      <c r="W66" s="99" t="str">
        <f>VLOOKUP(D66,Poeng!$B$10:$BK$252,Poeng!BK$1,FALSE)</f>
        <v>N/A</v>
      </c>
      <c r="X66" s="67"/>
      <c r="Y66" s="66"/>
      <c r="Z66" s="577"/>
      <c r="AA66" s="108"/>
      <c r="AB66" s="495" t="s">
        <v>127</v>
      </c>
      <c r="AC66" s="17">
        <f t="shared" si="0"/>
        <v>1</v>
      </c>
      <c r="AD66" s="1" t="e">
        <f>VLOOKUP(K66,'Assessment Details'!$O$45:$P$48,2,FALSE)</f>
        <v>#N/A</v>
      </c>
      <c r="AE66" s="1" t="e">
        <f>VLOOKUP(R66,'Assessment Details'!$O$45:$P$48,2,FALSE)</f>
        <v>#N/A</v>
      </c>
      <c r="AF66" s="1" t="e">
        <f>VLOOKUP(Y66,'Assessment Details'!$O$45:$P$48,2,FALSE)</f>
        <v>#N/A</v>
      </c>
      <c r="AI66" s="56"/>
      <c r="AJ66" s="522" t="s">
        <v>335</v>
      </c>
      <c r="AK66" s="501" t="s">
        <v>273</v>
      </c>
      <c r="AL66" s="501" t="s">
        <v>275</v>
      </c>
      <c r="AM66" s="56"/>
      <c r="AN66" s="56"/>
      <c r="AO66" s="56"/>
      <c r="AP66" s="56"/>
      <c r="AR66" s="1" t="s">
        <v>127</v>
      </c>
      <c r="AS66" s="17" t="str">
        <f t="shared" si="3"/>
        <v>N/A</v>
      </c>
      <c r="AT66" s="17" t="str">
        <f t="shared" si="1"/>
        <v>N/A</v>
      </c>
      <c r="AU66" s="17" t="str">
        <f t="shared" si="2"/>
        <v>N/A</v>
      </c>
      <c r="AV66" s="17"/>
      <c r="AW66" s="17"/>
      <c r="AX66" s="17"/>
      <c r="AZ66" s="495"/>
    </row>
    <row r="67" spans="1:52">
      <c r="A67" s="830">
        <v>58</v>
      </c>
      <c r="B67" s="831" t="s">
        <v>332</v>
      </c>
      <c r="C67" s="100" t="str">
        <f t="shared" si="7"/>
        <v>Ene 01</v>
      </c>
      <c r="D67" s="14" t="s">
        <v>336</v>
      </c>
      <c r="E67" s="687" t="str">
        <f>VLOOKUP(D67,Poeng!$B$10:$R$252,Poeng!E$1,FALSE)</f>
        <v xml:space="preserve">Passive design </v>
      </c>
      <c r="F67" s="98">
        <f>VLOOKUP(D67,Poeng!$B$10:$AB$252,Poeng!AB$1,FALSE)</f>
        <v>2</v>
      </c>
      <c r="G67" s="29"/>
      <c r="H67" s="99">
        <f>VLOOKUP(D67,Poeng!$B$10:$AE$252,Poeng!AE$1,FALSE)</f>
        <v>0</v>
      </c>
      <c r="I67" s="100" t="str">
        <f>VLOOKUP(D67,Poeng!$B$10:$BE$252,Poeng!BE$1,FALSE)</f>
        <v>N/A</v>
      </c>
      <c r="J67" s="66"/>
      <c r="K67" s="233"/>
      <c r="L67" s="577"/>
      <c r="M67" s="648"/>
      <c r="N67" s="69"/>
      <c r="O67" s="99">
        <f>VLOOKUP(D67,Poeng!$B$10:$BC$252,Poeng!AF$1,FALSE)</f>
        <v>0</v>
      </c>
      <c r="P67" s="99" t="str">
        <f>VLOOKUP(D67,Poeng!$B$10:$BH$252,Poeng!BH$1,FALSE)</f>
        <v>N/A</v>
      </c>
      <c r="Q67" s="583"/>
      <c r="R67" s="584"/>
      <c r="S67" s="577"/>
      <c r="T67" s="268"/>
      <c r="U67" s="69"/>
      <c r="V67" s="99">
        <f>VLOOKUP(D67,Poeng!$B$10:$BC$252,Poeng!AG$1,FALSE)</f>
        <v>0</v>
      </c>
      <c r="W67" s="99" t="str">
        <f>VLOOKUP(D67,Poeng!$B$10:$BK$252,Poeng!BK$1,FALSE)</f>
        <v>N/A</v>
      </c>
      <c r="X67" s="67"/>
      <c r="Y67" s="66"/>
      <c r="Z67" s="577"/>
      <c r="AC67" s="17">
        <f t="shared" si="0"/>
        <v>1</v>
      </c>
      <c r="AD67" s="1" t="e">
        <f>VLOOKUP(K67,'Assessment Details'!$O$45:$P$48,2,FALSE)</f>
        <v>#N/A</v>
      </c>
      <c r="AE67" s="1" t="e">
        <f>VLOOKUP(R67,'Assessment Details'!$O$45:$P$48,2,FALSE)</f>
        <v>#N/A</v>
      </c>
      <c r="AF67" s="1" t="e">
        <f>VLOOKUP(Y67,'Assessment Details'!$O$45:$P$48,2,FALSE)</f>
        <v>#N/A</v>
      </c>
    </row>
    <row r="68" spans="1:52">
      <c r="A68" s="830">
        <v>59</v>
      </c>
      <c r="B68" s="831" t="s">
        <v>332</v>
      </c>
      <c r="C68" s="100" t="str">
        <f t="shared" si="7"/>
        <v>Ene 01</v>
      </c>
      <c r="D68" s="14" t="s">
        <v>337</v>
      </c>
      <c r="E68" s="687" t="str">
        <f>VLOOKUP(D68,Poeng!$B$10:$R$252,Poeng!E$1,FALSE)</f>
        <v xml:space="preserve">Low and zero carbon technologies </v>
      </c>
      <c r="F68" s="98">
        <f>VLOOKUP(D68,Poeng!$B$10:$AB$252,Poeng!AB$1,FALSE)</f>
        <v>1</v>
      </c>
      <c r="G68" s="29"/>
      <c r="H68" s="99">
        <f>VLOOKUP(D68,Poeng!$B$10:$AE$252,Poeng!AE$1,FALSE)</f>
        <v>0</v>
      </c>
      <c r="I68" s="100" t="str">
        <f>VLOOKUP(D68,Poeng!$B$10:$BE$252,Poeng!BE$1,FALSE)</f>
        <v>N/A</v>
      </c>
      <c r="J68" s="66"/>
      <c r="K68" s="233"/>
      <c r="L68" s="633"/>
      <c r="M68" s="648"/>
      <c r="N68" s="69"/>
      <c r="O68" s="99">
        <f>VLOOKUP(D68,Poeng!$B$10:$BC$252,Poeng!AF$1,FALSE)</f>
        <v>0</v>
      </c>
      <c r="P68" s="99" t="str">
        <f>VLOOKUP(D68,Poeng!$B$10:$BH$252,Poeng!BH$1,FALSE)</f>
        <v>N/A</v>
      </c>
      <c r="Q68" s="583"/>
      <c r="R68" s="584"/>
      <c r="S68" s="577"/>
      <c r="T68" s="268"/>
      <c r="U68" s="69"/>
      <c r="V68" s="99">
        <f>VLOOKUP(D68,Poeng!$B$10:$BC$252,Poeng!AG$1,FALSE)</f>
        <v>0</v>
      </c>
      <c r="W68" s="99" t="str">
        <f>VLOOKUP(D68,Poeng!$B$10:$BK$252,Poeng!BK$1,FALSE)</f>
        <v>N/A</v>
      </c>
      <c r="X68" s="67"/>
      <c r="Y68" s="66"/>
      <c r="Z68" s="577"/>
      <c r="AC68" s="17">
        <f t="shared" si="0"/>
        <v>1</v>
      </c>
      <c r="AD68" s="1" t="e">
        <f>VLOOKUP(K68,'Assessment Details'!$O$45:$P$48,2,FALSE)</f>
        <v>#N/A</v>
      </c>
      <c r="AE68" s="1" t="e">
        <f>VLOOKUP(R68,'Assessment Details'!$O$45:$P$48,2,FALSE)</f>
        <v>#N/A</v>
      </c>
      <c r="AF68" s="1" t="e">
        <f>VLOOKUP(Y68,'Assessment Details'!$O$45:$P$48,2,FALSE)</f>
        <v>#N/A</v>
      </c>
    </row>
    <row r="69" spans="1:52">
      <c r="A69" s="830">
        <v>60</v>
      </c>
      <c r="B69" s="831" t="s">
        <v>332</v>
      </c>
      <c r="C69" s="100" t="str">
        <f>C68</f>
        <v>Ene 01</v>
      </c>
      <c r="D69" s="14" t="s">
        <v>338</v>
      </c>
      <c r="E69" s="687" t="str">
        <f>VLOOKUP(D69,Poeng!$B$10:$R$252,Poeng!E$1,FALSE)</f>
        <v xml:space="preserve">Energy performance </v>
      </c>
      <c r="F69" s="98">
        <f>VLOOKUP(D69,Poeng!$B$10:$AB$252,Poeng!AB$1,FALSE)</f>
        <v>4</v>
      </c>
      <c r="G69" s="29"/>
      <c r="H69" s="99">
        <f>VLOOKUP(D69,Poeng!$B$10:$AE$252,Poeng!AE$1,FALSE)</f>
        <v>0</v>
      </c>
      <c r="I69" s="100" t="str">
        <f>VLOOKUP(D69,Poeng!$B$10:$BE$252,Poeng!BE$1,FALSE)</f>
        <v>Very Good</v>
      </c>
      <c r="J69" s="66"/>
      <c r="K69" s="233"/>
      <c r="L69" s="633"/>
      <c r="M69" s="648"/>
      <c r="N69" s="69"/>
      <c r="O69" s="99">
        <f>VLOOKUP(D69,Poeng!$B$10:$BC$252,Poeng!AF$1,FALSE)</f>
        <v>0</v>
      </c>
      <c r="P69" s="99" t="str">
        <f>VLOOKUP(D69,Poeng!$B$10:$BH$252,Poeng!BH$1,FALSE)</f>
        <v>Very Good</v>
      </c>
      <c r="Q69" s="583"/>
      <c r="R69" s="584"/>
      <c r="S69" s="577"/>
      <c r="T69" s="268"/>
      <c r="U69" s="69"/>
      <c r="V69" s="99">
        <f>VLOOKUP(D69,Poeng!$B$10:$BC$252,Poeng!AG$1,FALSE)</f>
        <v>0</v>
      </c>
      <c r="W69" s="99" t="str">
        <f>VLOOKUP(D69,Poeng!$B$10:$BK$252,Poeng!BK$1,FALSE)</f>
        <v>Very Good</v>
      </c>
      <c r="X69" s="67"/>
      <c r="Y69" s="66"/>
      <c r="Z69" s="577"/>
      <c r="AC69" s="17">
        <f t="shared" si="0"/>
        <v>1</v>
      </c>
      <c r="AD69" s="1" t="e">
        <f>VLOOKUP(K69,'Assessment Details'!$O$45:$P$48,2,FALSE)</f>
        <v>#N/A</v>
      </c>
      <c r="AE69" s="1" t="e">
        <f>VLOOKUP(R69,'Assessment Details'!$O$45:$P$48,2,FALSE)</f>
        <v>#N/A</v>
      </c>
      <c r="AF69" s="1" t="e">
        <f>VLOOKUP(Y69,'Assessment Details'!$O$45:$P$48,2,FALSE)</f>
        <v>#N/A</v>
      </c>
    </row>
    <row r="70" spans="1:52">
      <c r="A70" s="830">
        <v>61</v>
      </c>
      <c r="B70" s="831" t="s">
        <v>332</v>
      </c>
      <c r="C70" s="100" t="str">
        <f>C68</f>
        <v>Ene 01</v>
      </c>
      <c r="D70" s="14" t="s">
        <v>339</v>
      </c>
      <c r="E70" s="978" t="str">
        <f>VLOOKUP(D70,Poeng!$B$10:$R$258,Poeng!E$1,FALSE)</f>
        <v>EU taxonomy requirements: criterion 10 - thermographic survey</v>
      </c>
      <c r="F70" s="98" t="str">
        <f>VLOOKUP(D70,Poeng!$B$10:$AB$258,Poeng!AB$1,FALSE)</f>
        <v>Yes/No</v>
      </c>
      <c r="G70" s="29"/>
      <c r="H70" s="99" t="str">
        <f>VLOOKUP(D70,Poeng!$B$10:$AE$258,Poeng!AE$1,FALSE)</f>
        <v>-</v>
      </c>
      <c r="I70" s="100" t="str">
        <f>VLOOKUP(D70,Poeng!$B$10:$BE$258,Poeng!BE$1,FALSE)</f>
        <v>N/A</v>
      </c>
      <c r="J70" s="66"/>
      <c r="K70" s="233"/>
      <c r="L70" s="633"/>
      <c r="M70" s="648"/>
      <c r="N70" s="69"/>
      <c r="O70" s="99" t="str">
        <f>VLOOKUP(D70,Poeng!$B$10:$BC$258,Poeng!AF$1,FALSE)</f>
        <v>-</v>
      </c>
      <c r="P70" s="99" t="str">
        <f>VLOOKUP(D70,Poeng!$B$10:$BH$258,Poeng!BH$1,FALSE)</f>
        <v>N/A</v>
      </c>
      <c r="Q70" s="583"/>
      <c r="R70" s="584"/>
      <c r="S70" s="577"/>
      <c r="T70" s="268"/>
      <c r="U70" s="69"/>
      <c r="V70" s="99" t="str">
        <f>VLOOKUP(D70,Poeng!$B$10:$BC$258,Poeng!AG$1,FALSE)</f>
        <v>-</v>
      </c>
      <c r="W70" s="99" t="str">
        <f>VLOOKUP(D70,Poeng!$B$10:$BK$258,Poeng!BK$1,FALSE)</f>
        <v>N/A</v>
      </c>
      <c r="X70" s="67"/>
      <c r="Y70" s="66"/>
      <c r="Z70" s="577"/>
      <c r="AC70" s="17">
        <f t="shared" ref="AC70" si="10">IF(F70="",1,IF(F70=0,2,1))</f>
        <v>1</v>
      </c>
      <c r="AD70" s="1" t="e">
        <f>VLOOKUP(K70,'Assessment Details'!$O$45:$P$48,2,FALSE)</f>
        <v>#N/A</v>
      </c>
      <c r="AE70" s="1" t="e">
        <f>VLOOKUP(R70,'Assessment Details'!$O$45:$P$48,2,FALSE)</f>
        <v>#N/A</v>
      </c>
      <c r="AF70" s="1" t="e">
        <f>VLOOKUP(Y70,'Assessment Details'!$O$45:$P$48,2,FALSE)</f>
        <v>#N/A</v>
      </c>
    </row>
    <row r="71" spans="1:52">
      <c r="A71" s="830">
        <v>62</v>
      </c>
      <c r="B71" s="831" t="s">
        <v>332</v>
      </c>
      <c r="C71" s="100" t="str">
        <f>C69</f>
        <v>Ene 01</v>
      </c>
      <c r="D71" s="14" t="s">
        <v>340</v>
      </c>
      <c r="E71" s="687" t="str">
        <f>VLOOKUP(D71,Poeng!$B$10:$R$252,Poeng!E$1,FALSE)</f>
        <v>Adaptation to EU taxonomy</v>
      </c>
      <c r="F71" s="98">
        <f>VLOOKUP(D71,Poeng!$B$10:$AB$252,Poeng!AB$1,FALSE)</f>
        <v>1</v>
      </c>
      <c r="G71" s="29"/>
      <c r="H71" s="99">
        <f>VLOOKUP(D71,Poeng!$B$10:$AE$252,Poeng!AE$1,FALSE)</f>
        <v>0</v>
      </c>
      <c r="I71" s="100" t="str">
        <f>VLOOKUP(D71,Poeng!$B$10:$BE$252,Poeng!BE$1,FALSE)</f>
        <v>Very Good</v>
      </c>
      <c r="J71" s="66"/>
      <c r="K71" s="233"/>
      <c r="L71" s="633"/>
      <c r="M71" s="648"/>
      <c r="N71" s="69"/>
      <c r="O71" s="99">
        <f>VLOOKUP(D71,Poeng!$B$10:$BC$252,Poeng!AF$1,FALSE)</f>
        <v>0</v>
      </c>
      <c r="P71" s="99" t="str">
        <f>VLOOKUP(D71,Poeng!$B$10:$BH$252,Poeng!BH$1,FALSE)</f>
        <v>Very Good</v>
      </c>
      <c r="Q71" s="583"/>
      <c r="R71" s="584"/>
      <c r="S71" s="577"/>
      <c r="T71" s="268"/>
      <c r="U71" s="69"/>
      <c r="V71" s="99">
        <f>VLOOKUP(D71,Poeng!$B$10:$BC$252,Poeng!AG$1,FALSE)</f>
        <v>0</v>
      </c>
      <c r="W71" s="99" t="str">
        <f>VLOOKUP(D71,Poeng!$B$10:$BK$252,Poeng!BK$1,FALSE)</f>
        <v>Very Good</v>
      </c>
      <c r="X71" s="67"/>
      <c r="Y71" s="66"/>
      <c r="Z71" s="577"/>
      <c r="AC71" s="17">
        <f t="shared" si="0"/>
        <v>1</v>
      </c>
      <c r="AD71" s="1" t="e">
        <f>VLOOKUP(K71,'Assessment Details'!$O$45:$P$48,2,FALSE)</f>
        <v>#N/A</v>
      </c>
      <c r="AE71" s="1" t="e">
        <f>VLOOKUP(R71,'Assessment Details'!$O$45:$P$48,2,FALSE)</f>
        <v>#N/A</v>
      </c>
      <c r="AF71" s="1" t="e">
        <f>VLOOKUP(Y71,'Assessment Details'!$O$45:$P$48,2,FALSE)</f>
        <v>#N/A</v>
      </c>
    </row>
    <row r="72" spans="1:52">
      <c r="A72" s="830">
        <v>63</v>
      </c>
      <c r="B72" s="831" t="s">
        <v>332</v>
      </c>
      <c r="C72" s="100" t="s">
        <v>334</v>
      </c>
      <c r="D72" s="14" t="s">
        <v>341</v>
      </c>
      <c r="E72" s="978" t="str">
        <f>VLOOKUP(D72,Poeng!$B$10:$R$258,Poeng!E$1,FALSE)</f>
        <v>EU taxonomy requirements: criterion 11-12</v>
      </c>
      <c r="F72" s="98" t="str">
        <f>VLOOKUP(D72,Poeng!$B$10:$AB$258,Poeng!AB$1,FALSE)</f>
        <v>Yes/No</v>
      </c>
      <c r="G72" s="29"/>
      <c r="H72" s="99" t="str">
        <f>VLOOKUP(D72,Poeng!$B$10:$AE$258,Poeng!AE$1,FALSE)</f>
        <v>-</v>
      </c>
      <c r="I72" s="100" t="str">
        <f>VLOOKUP(D72,Poeng!$B$10:$BE$258,Poeng!BE$1,FALSE)</f>
        <v>N/A</v>
      </c>
      <c r="J72" s="66"/>
      <c r="K72" s="233"/>
      <c r="L72" s="633"/>
      <c r="M72" s="648"/>
      <c r="N72" s="69"/>
      <c r="O72" s="99" t="str">
        <f>VLOOKUP(D72,Poeng!$B$10:$BC$258,Poeng!AF$1,FALSE)</f>
        <v>-</v>
      </c>
      <c r="P72" s="99" t="str">
        <f>VLOOKUP(D72,Poeng!$B$10:$BH$258,Poeng!BH$1,FALSE)</f>
        <v>N/A</v>
      </c>
      <c r="Q72" s="583"/>
      <c r="R72" s="584"/>
      <c r="S72" s="577"/>
      <c r="T72" s="268"/>
      <c r="U72" s="69"/>
      <c r="V72" s="99" t="str">
        <f>VLOOKUP(D72,Poeng!$B$10:$BC$258,Poeng!AG$1,FALSE)</f>
        <v>-</v>
      </c>
      <c r="W72" s="99" t="str">
        <f>VLOOKUP(D72,Poeng!$B$10:$BK$258,Poeng!BK$1,FALSE)</f>
        <v>N/A</v>
      </c>
      <c r="X72" s="67"/>
      <c r="Y72" s="66"/>
      <c r="Z72" s="577"/>
      <c r="AC72" s="17"/>
      <c r="AD72" s="1"/>
      <c r="AE72" s="1"/>
      <c r="AF72" s="1"/>
    </row>
    <row r="73" spans="1:52">
      <c r="A73" s="830">
        <v>64</v>
      </c>
      <c r="B73" s="831" t="s">
        <v>332</v>
      </c>
      <c r="C73" s="100" t="str">
        <f>C71</f>
        <v>Ene 01</v>
      </c>
      <c r="D73" s="14" t="s">
        <v>342</v>
      </c>
      <c r="E73" s="687" t="str">
        <f>VLOOKUP(D73,Poeng!$B$10:$R$252,Poeng!E$1,FALSE)</f>
        <v xml:space="preserve">Prediction of operational energy consumption </v>
      </c>
      <c r="F73" s="98">
        <f>VLOOKUP(D73,Poeng!$B$10:$AB$252,Poeng!AB$1,FALSE)</f>
        <v>4</v>
      </c>
      <c r="G73" s="29"/>
      <c r="H73" s="99">
        <f>VLOOKUP(D73,Poeng!$B$10:$AE$252,Poeng!AE$1,FALSE)</f>
        <v>0</v>
      </c>
      <c r="I73" s="100" t="str">
        <f>VLOOKUP(D73,Poeng!$B$10:$BE$252,Poeng!BE$1,FALSE)</f>
        <v>N/A</v>
      </c>
      <c r="J73" s="66"/>
      <c r="K73" s="233"/>
      <c r="L73" s="633"/>
      <c r="M73" s="648"/>
      <c r="N73" s="69"/>
      <c r="O73" s="99">
        <f>VLOOKUP(D73,Poeng!$B$10:$BC$252,Poeng!AF$1,FALSE)</f>
        <v>0</v>
      </c>
      <c r="P73" s="99" t="str">
        <f>VLOOKUP(D73,Poeng!$B$10:$BH$252,Poeng!BH$1,FALSE)</f>
        <v>N/A</v>
      </c>
      <c r="Q73" s="583"/>
      <c r="R73" s="584"/>
      <c r="S73" s="577"/>
      <c r="T73" s="268"/>
      <c r="U73" s="69"/>
      <c r="V73" s="99">
        <f>VLOOKUP(D73,Poeng!$B$10:$BC$252,Poeng!AG$1,FALSE)</f>
        <v>0</v>
      </c>
      <c r="W73" s="99" t="str">
        <f>VLOOKUP(D73,Poeng!$B$10:$BK$252,Poeng!BK$1,FALSE)</f>
        <v>N/A</v>
      </c>
      <c r="X73" s="67"/>
      <c r="Y73" s="66"/>
      <c r="Z73" s="577"/>
      <c r="AC73" s="17">
        <f t="shared" si="0"/>
        <v>1</v>
      </c>
      <c r="AD73" s="1" t="e">
        <f>VLOOKUP(K73,'Assessment Details'!$O$45:$P$48,2,FALSE)</f>
        <v>#N/A</v>
      </c>
      <c r="AE73" s="1" t="e">
        <f>VLOOKUP(R73,'Assessment Details'!$O$45:$P$48,2,FALSE)</f>
        <v>#N/A</v>
      </c>
      <c r="AF73" s="1" t="e">
        <f>VLOOKUP(Y73,'Assessment Details'!$O$45:$P$48,2,FALSE)</f>
        <v>#N/A</v>
      </c>
    </row>
    <row r="74" spans="1:52" ht="24">
      <c r="A74" s="830">
        <v>65</v>
      </c>
      <c r="B74" s="831" t="s">
        <v>332</v>
      </c>
      <c r="C74" s="739" t="s">
        <v>343</v>
      </c>
      <c r="D74" s="653" t="s">
        <v>343</v>
      </c>
      <c r="E74" s="686" t="str">
        <f>VLOOKUP(D74,Poeng!$B$10:$R$252,Poeng!E$1,FALSE)</f>
        <v>Ene 02 Energy monitoring</v>
      </c>
      <c r="F74" s="691">
        <f>VLOOKUP(D74,Poeng!$B$10:$AB$252,Poeng!AB$1,FALSE)</f>
        <v>2</v>
      </c>
      <c r="G74" s="784"/>
      <c r="H74" s="692" t="str">
        <f>VLOOKUP(D74,Poeng!$B$10:$AI$252,Poeng!AI$1,FALSE)&amp;" c. "&amp;ROUND(VLOOKUP(D74,Poeng!$B$10:$AE$252,Poeng!AE$1,FALSE)*100,1)&amp;" %"</f>
        <v>0 c. 0 %</v>
      </c>
      <c r="I74" s="739" t="str">
        <f>VLOOKUP(D74,Poeng!$B$10:$BE$252,Poeng!BE$1,FALSE)</f>
        <v>N/A</v>
      </c>
      <c r="J74" s="66"/>
      <c r="K74" s="233"/>
      <c r="L74" s="633"/>
      <c r="M74" s="648"/>
      <c r="N74" s="784"/>
      <c r="O74" s="703" t="str">
        <f>VLOOKUP(D74,Poeng!$B$10:$BC$252,Poeng!AJ$1,FALSE)&amp;" c. "&amp;ROUND(VLOOKUP(D74,Poeng!$B$10:$BC$252,Poeng!AF$1,FALSE)*100,1)&amp;" %"</f>
        <v>0 c. 0 %</v>
      </c>
      <c r="P74" s="99" t="str">
        <f>VLOOKUP(D74,Poeng!$B$10:$BH$252,Poeng!BH$1,FALSE)</f>
        <v>N/A</v>
      </c>
      <c r="Q74" s="583"/>
      <c r="R74" s="584"/>
      <c r="S74" s="577"/>
      <c r="T74" s="268"/>
      <c r="U74" s="784"/>
      <c r="V74" s="703" t="str">
        <f>VLOOKUP(D74,Poeng!$B$10:$BC$252,Poeng!AK$1,FALSE)&amp;" c. "&amp;ROUND(VLOOKUP(D74,Poeng!$B$10:$BC$252,Poeng!AG$1,FALSE)*100,1)&amp;" %"</f>
        <v>0 c. 0 %</v>
      </c>
      <c r="W74" s="99" t="str">
        <f>VLOOKUP(D74,Poeng!$B$10:$BK$252,Poeng!BK$1,FALSE)</f>
        <v>N/A</v>
      </c>
      <c r="X74" s="67"/>
      <c r="Y74" s="66"/>
      <c r="Z74" s="577"/>
      <c r="AA74" s="108"/>
      <c r="AB74" s="532" t="s">
        <v>344</v>
      </c>
      <c r="AC74" s="17">
        <f t="shared" si="0"/>
        <v>1</v>
      </c>
      <c r="AD74" s="1" t="e">
        <f>VLOOKUP(K74,'Assessment Details'!$O$45:$P$48,2,FALSE)</f>
        <v>#N/A</v>
      </c>
      <c r="AE74" s="1" t="e">
        <f>VLOOKUP(R74,'Assessment Details'!$O$45:$P$48,2,FALSE)</f>
        <v>#N/A</v>
      </c>
      <c r="AF74" s="1" t="e">
        <f>VLOOKUP(Y74,'Assessment Details'!$O$45:$P$48,2,FALSE)</f>
        <v>#N/A</v>
      </c>
      <c r="AI74" s="56" t="str">
        <f>ais_ja</f>
        <v>Ja</v>
      </c>
      <c r="AJ74" s="522" t="s">
        <v>345</v>
      </c>
      <c r="AK74" s="504" t="s">
        <v>346</v>
      </c>
      <c r="AL74" s="504" t="s">
        <v>347</v>
      </c>
      <c r="AM74" s="504" t="s">
        <v>344</v>
      </c>
      <c r="AN74" s="504" t="s">
        <v>348</v>
      </c>
      <c r="AO74" s="504" t="s">
        <v>349</v>
      </c>
      <c r="AP74" s="56"/>
      <c r="AR74" s="1" t="str">
        <f>IF($AJ$8=ais_nei,AIS_NA,"No")</f>
        <v>No</v>
      </c>
      <c r="AS74" s="17" t="str">
        <f t="shared" ref="AS74:AX74" si="11">IF(OR($AJ$4=ais_nei,$AJ$8=ais_nei),AIS_NA,IF(AK74="",AIS_NA,AK74))</f>
        <v>N/A</v>
      </c>
      <c r="AT74" s="17" t="str">
        <f t="shared" si="11"/>
        <v>N/A</v>
      </c>
      <c r="AU74" s="17" t="str">
        <f t="shared" si="11"/>
        <v>N/A</v>
      </c>
      <c r="AV74" s="17" t="str">
        <f t="shared" si="11"/>
        <v>N/A</v>
      </c>
      <c r="AW74" s="17" t="str">
        <f t="shared" si="11"/>
        <v>N/A</v>
      </c>
      <c r="AX74" s="17" t="str">
        <f t="shared" si="11"/>
        <v>N/A</v>
      </c>
      <c r="AY74" s="1" t="s">
        <v>123</v>
      </c>
      <c r="AZ74" s="495"/>
    </row>
    <row r="75" spans="1:52">
      <c r="A75" s="830">
        <v>66</v>
      </c>
      <c r="B75" s="831" t="s">
        <v>332</v>
      </c>
      <c r="C75" s="100" t="str">
        <f t="shared" si="7"/>
        <v>Ene 02</v>
      </c>
      <c r="D75" s="653" t="s">
        <v>172</v>
      </c>
      <c r="E75" s="687" t="str">
        <f>VLOOKUP(D75,Poeng!$B$10:$R$252,Poeng!E$1,FALSE)</f>
        <v xml:space="preserve">Sub-metering of end-use categories </v>
      </c>
      <c r="F75" s="98">
        <f>VLOOKUP(D75,Poeng!$B$10:$AB$252,Poeng!AB$1,FALSE)</f>
        <v>1</v>
      </c>
      <c r="G75" s="29"/>
      <c r="H75" s="99">
        <f>VLOOKUP(D75,Poeng!$B$10:$AE$252,Poeng!AE$1,FALSE)</f>
        <v>0</v>
      </c>
      <c r="I75" s="100" t="str">
        <f>VLOOKUP(D75,Poeng!$B$10:$BE$252,Poeng!BE$1,FALSE)</f>
        <v>N/A</v>
      </c>
      <c r="J75" s="66"/>
      <c r="K75" s="233"/>
      <c r="L75" s="633"/>
      <c r="M75" s="648"/>
      <c r="N75" s="69"/>
      <c r="O75" s="99">
        <f>VLOOKUP(D75,Poeng!$B$10:$BC$252,Poeng!AF$1,FALSE)</f>
        <v>0</v>
      </c>
      <c r="P75" s="99" t="str">
        <f>VLOOKUP(D75,Poeng!$B$10:$BH$252,Poeng!BH$1,FALSE)</f>
        <v>N/A</v>
      </c>
      <c r="Q75" s="583"/>
      <c r="R75" s="584"/>
      <c r="S75" s="577"/>
      <c r="T75" s="268"/>
      <c r="U75" s="69"/>
      <c r="V75" s="99">
        <f>VLOOKUP(D75,Poeng!$B$10:$BC$252,Poeng!AG$1,FALSE)</f>
        <v>0</v>
      </c>
      <c r="W75" s="99" t="str">
        <f>VLOOKUP(D75,Poeng!$B$10:$BK$252,Poeng!BK$1,FALSE)</f>
        <v>N/A</v>
      </c>
      <c r="X75" s="67"/>
      <c r="Y75" s="66"/>
      <c r="Z75" s="577"/>
      <c r="AA75" s="108"/>
      <c r="AB75" s="532"/>
      <c r="AC75" s="17">
        <f t="shared" si="0"/>
        <v>1</v>
      </c>
      <c r="AD75" s="1" t="e">
        <f>VLOOKUP(K75,'Assessment Details'!$O$45:$P$48,2,FALSE)</f>
        <v>#N/A</v>
      </c>
      <c r="AE75" s="1" t="e">
        <f>VLOOKUP(R75,'Assessment Details'!$O$45:$P$48,2,FALSE)</f>
        <v>#N/A</v>
      </c>
      <c r="AF75" s="1" t="e">
        <f>VLOOKUP(Y75,'Assessment Details'!$O$45:$P$48,2,FALSE)</f>
        <v>#N/A</v>
      </c>
      <c r="AI75" s="56"/>
      <c r="AJ75" s="522"/>
      <c r="AK75" s="504"/>
      <c r="AL75" s="504"/>
      <c r="AM75" s="504"/>
      <c r="AN75" s="504"/>
      <c r="AO75" s="504"/>
      <c r="AP75" s="56"/>
      <c r="AS75" s="17"/>
      <c r="AT75" s="17"/>
      <c r="AU75" s="17"/>
      <c r="AV75" s="17"/>
      <c r="AW75" s="17"/>
      <c r="AX75" s="17"/>
      <c r="AZ75" s="495"/>
    </row>
    <row r="76" spans="1:52">
      <c r="A76" s="830">
        <v>67</v>
      </c>
      <c r="B76" s="831" t="s">
        <v>332</v>
      </c>
      <c r="C76" s="100" t="str">
        <f t="shared" si="7"/>
        <v>Ene 02</v>
      </c>
      <c r="D76" s="653" t="s">
        <v>350</v>
      </c>
      <c r="E76" s="687" t="str">
        <f>VLOOKUP(D76,Poeng!$B$10:$R$252,Poeng!E$1,FALSE)</f>
        <v xml:space="preserve">Sub-metering of high energy load and tenancy areas </v>
      </c>
      <c r="F76" s="98">
        <f>VLOOKUP(D76,Poeng!$B$10:$AB$252,Poeng!AB$1,FALSE)</f>
        <v>1</v>
      </c>
      <c r="G76" s="29"/>
      <c r="H76" s="99">
        <f>VLOOKUP(D76,Poeng!$B$10:$AE$252,Poeng!AE$1,FALSE)</f>
        <v>0</v>
      </c>
      <c r="I76" s="100" t="str">
        <f>VLOOKUP(D76,Poeng!$B$10:$BE$252,Poeng!BE$1,FALSE)</f>
        <v>N/A</v>
      </c>
      <c r="J76" s="66"/>
      <c r="K76" s="233"/>
      <c r="L76" s="633"/>
      <c r="M76" s="648"/>
      <c r="N76" s="69"/>
      <c r="O76" s="99">
        <f>VLOOKUP(D76,Poeng!$B$10:$BC$252,Poeng!AF$1,FALSE)</f>
        <v>0</v>
      </c>
      <c r="P76" s="99" t="str">
        <f>VLOOKUP(D76,Poeng!$B$10:$BH$252,Poeng!BH$1,FALSE)</f>
        <v>N/A</v>
      </c>
      <c r="Q76" s="583"/>
      <c r="R76" s="584"/>
      <c r="S76" s="577"/>
      <c r="T76" s="268"/>
      <c r="U76" s="69"/>
      <c r="V76" s="99">
        <f>VLOOKUP(D76,Poeng!$B$10:$BC$252,Poeng!AG$1,FALSE)</f>
        <v>0</v>
      </c>
      <c r="W76" s="99" t="str">
        <f>VLOOKUP(D76,Poeng!$B$10:$BK$252,Poeng!BK$1,FALSE)</f>
        <v>N/A</v>
      </c>
      <c r="X76" s="67"/>
      <c r="Y76" s="66"/>
      <c r="Z76" s="577"/>
      <c r="AA76" s="108"/>
      <c r="AB76" s="532"/>
      <c r="AC76" s="17">
        <f t="shared" si="0"/>
        <v>1</v>
      </c>
      <c r="AD76" s="1" t="e">
        <f>VLOOKUP(K76,'Assessment Details'!$O$45:$P$48,2,FALSE)</f>
        <v>#N/A</v>
      </c>
      <c r="AE76" s="1" t="e">
        <f>VLOOKUP(R76,'Assessment Details'!$O$45:$P$48,2,FALSE)</f>
        <v>#N/A</v>
      </c>
      <c r="AF76" s="1" t="e">
        <f>VLOOKUP(Y76,'Assessment Details'!$O$45:$P$48,2,FALSE)</f>
        <v>#N/A</v>
      </c>
      <c r="AI76" s="56"/>
      <c r="AJ76" s="522"/>
      <c r="AK76" s="504"/>
      <c r="AL76" s="504"/>
      <c r="AM76" s="504"/>
      <c r="AN76" s="504"/>
      <c r="AO76" s="504"/>
      <c r="AP76" s="56"/>
      <c r="AS76" s="17"/>
      <c r="AT76" s="17"/>
      <c r="AU76" s="17"/>
      <c r="AV76" s="17"/>
      <c r="AW76" s="17"/>
      <c r="AX76" s="17"/>
      <c r="AZ76" s="495"/>
    </row>
    <row r="77" spans="1:52">
      <c r="A77" s="830">
        <v>68</v>
      </c>
      <c r="B77" s="831" t="s">
        <v>332</v>
      </c>
      <c r="C77" s="100" t="str">
        <f t="shared" si="7"/>
        <v>Ene 02</v>
      </c>
      <c r="D77" s="653" t="s">
        <v>351</v>
      </c>
      <c r="E77" s="687" t="str">
        <f>VLOOKUP(D77,Poeng!$B$10:$R$252,Poeng!E$1,FALSE)</f>
        <v xml:space="preserve">Sub-metering of energy consumption in residential buildings </v>
      </c>
      <c r="F77" s="98">
        <f>VLOOKUP(D77,Poeng!$B$10:$AB$252,Poeng!AB$1,FALSE)</f>
        <v>0</v>
      </c>
      <c r="G77" s="29"/>
      <c r="H77" s="99">
        <f>VLOOKUP(D77,Poeng!$B$10:$AE$252,Poeng!AE$1,FALSE)</f>
        <v>0</v>
      </c>
      <c r="I77" s="100" t="str">
        <f>VLOOKUP(D77,Poeng!$B$10:$BE$252,Poeng!BE$1,FALSE)</f>
        <v>N/A</v>
      </c>
      <c r="J77" s="66"/>
      <c r="K77" s="233"/>
      <c r="L77" s="633"/>
      <c r="M77" s="648"/>
      <c r="N77" s="69"/>
      <c r="O77" s="99">
        <f>VLOOKUP(D77,Poeng!$B$10:$BC$252,Poeng!AF$1,FALSE)</f>
        <v>0</v>
      </c>
      <c r="P77" s="99" t="str">
        <f>VLOOKUP(D77,Poeng!$B$10:$BH$252,Poeng!BH$1,FALSE)</f>
        <v>N/A</v>
      </c>
      <c r="Q77" s="583"/>
      <c r="R77" s="584"/>
      <c r="S77" s="577"/>
      <c r="T77" s="268"/>
      <c r="U77" s="69"/>
      <c r="V77" s="99">
        <f>VLOOKUP(D77,Poeng!$B$10:$BC$252,Poeng!AG$1,FALSE)</f>
        <v>0</v>
      </c>
      <c r="W77" s="99" t="str">
        <f>VLOOKUP(D77,Poeng!$B$10:$BK$252,Poeng!BK$1,FALSE)</f>
        <v>N/A</v>
      </c>
      <c r="X77" s="67"/>
      <c r="Y77" s="66"/>
      <c r="Z77" s="577"/>
      <c r="AA77" s="108"/>
      <c r="AB77" s="532"/>
      <c r="AC77" s="17">
        <f t="shared" si="0"/>
        <v>2</v>
      </c>
      <c r="AD77" s="1" t="e">
        <f>VLOOKUP(K77,'Assessment Details'!$O$45:$P$48,2,FALSE)</f>
        <v>#N/A</v>
      </c>
      <c r="AE77" s="1" t="e">
        <f>VLOOKUP(R77,'Assessment Details'!$O$45:$P$48,2,FALSE)</f>
        <v>#N/A</v>
      </c>
      <c r="AF77" s="1" t="e">
        <f>VLOOKUP(Y77,'Assessment Details'!$O$45:$P$48,2,FALSE)</f>
        <v>#N/A</v>
      </c>
      <c r="AI77" s="56"/>
      <c r="AJ77" s="522"/>
      <c r="AK77" s="504"/>
      <c r="AL77" s="504"/>
      <c r="AM77" s="504"/>
      <c r="AN77" s="504"/>
      <c r="AO77" s="504"/>
      <c r="AP77" s="56"/>
      <c r="AS77" s="17"/>
      <c r="AT77" s="17"/>
      <c r="AU77" s="17"/>
      <c r="AV77" s="17"/>
      <c r="AW77" s="17"/>
      <c r="AX77" s="17"/>
      <c r="AZ77" s="495"/>
    </row>
    <row r="78" spans="1:52">
      <c r="A78" s="830">
        <v>69</v>
      </c>
      <c r="B78" s="831" t="s">
        <v>332</v>
      </c>
      <c r="C78" s="739" t="s">
        <v>352</v>
      </c>
      <c r="D78" s="653" t="s">
        <v>352</v>
      </c>
      <c r="E78" s="686" t="str">
        <f>VLOOKUP(D78,Poeng!$B$10:$R$252,Poeng!E$1,FALSE)</f>
        <v>Ene 03 External lighting</v>
      </c>
      <c r="F78" s="691">
        <f>VLOOKUP(D78,Poeng!$B$10:$AB$252,Poeng!AB$1,FALSE)</f>
        <v>1</v>
      </c>
      <c r="G78" s="784"/>
      <c r="H78" s="692" t="str">
        <f>VLOOKUP(D78,Poeng!$B$10:$AI$252,Poeng!AI$1,FALSE)&amp;" c. "&amp;ROUND(VLOOKUP(D78,Poeng!$B$10:$AE$252,Poeng!AE$1,FALSE)*100,1)&amp;" %"</f>
        <v>0 c. 0 %</v>
      </c>
      <c r="I78" s="739" t="str">
        <f>VLOOKUP(D78,Poeng!$B$10:$BE$252,Poeng!BE$1,FALSE)</f>
        <v>N/A</v>
      </c>
      <c r="J78" s="66"/>
      <c r="K78" s="233"/>
      <c r="L78" s="633"/>
      <c r="M78" s="648"/>
      <c r="N78" s="784"/>
      <c r="O78" s="703" t="str">
        <f>VLOOKUP(D78,Poeng!$B$10:$BC$252,Poeng!AJ$1,FALSE)&amp;" c. "&amp;ROUND(VLOOKUP(D78,Poeng!$B$10:$BC$252,Poeng!AF$1,FALSE)*100,1)&amp;" %"</f>
        <v>0 c. 0 %</v>
      </c>
      <c r="P78" s="99" t="str">
        <f>VLOOKUP(D78,Poeng!$B$10:$BH$252,Poeng!BH$1,FALSE)</f>
        <v>N/A</v>
      </c>
      <c r="Q78" s="583"/>
      <c r="R78" s="584"/>
      <c r="S78" s="577"/>
      <c r="T78" s="268"/>
      <c r="U78" s="784"/>
      <c r="V78" s="703" t="str">
        <f>VLOOKUP(D78,Poeng!$B$10:$BC$252,Poeng!AK$1,FALSE)&amp;" c. "&amp;ROUND(VLOOKUP(D78,Poeng!$B$10:$BC$252,Poeng!AG$1,FALSE)*100,1)&amp;" %"</f>
        <v>0 c. 0 %</v>
      </c>
      <c r="W78" s="99" t="str">
        <f>VLOOKUP(D78,Poeng!$B$10:$BK$252,Poeng!BK$1,FALSE)</f>
        <v>N/A</v>
      </c>
      <c r="X78" s="67"/>
      <c r="Y78" s="66"/>
      <c r="Z78" s="577"/>
      <c r="AA78" s="108"/>
      <c r="AB78" s="495" t="s">
        <v>127</v>
      </c>
      <c r="AC78" s="17">
        <f t="shared" ref="AC78:AC143" si="12">IF(F78="",1,IF(F78=0,2,1))</f>
        <v>1</v>
      </c>
      <c r="AD78" s="1" t="e">
        <f>VLOOKUP(K78,'Assessment Details'!$O$45:$P$48,2,FALSE)</f>
        <v>#N/A</v>
      </c>
      <c r="AE78" s="1" t="e">
        <f>VLOOKUP(R78,'Assessment Details'!$O$45:$P$48,2,FALSE)</f>
        <v>#N/A</v>
      </c>
      <c r="AF78" s="1" t="e">
        <f>VLOOKUP(Y78,'Assessment Details'!$O$45:$P$48,2,FALSE)</f>
        <v>#N/A</v>
      </c>
      <c r="AI78" s="56" t="str">
        <f>ais_ja</f>
        <v>Ja</v>
      </c>
      <c r="AJ78" s="522" t="s">
        <v>353</v>
      </c>
      <c r="AK78" s="501" t="s">
        <v>273</v>
      </c>
      <c r="AL78" s="501" t="s">
        <v>315</v>
      </c>
      <c r="AM78" s="501" t="s">
        <v>275</v>
      </c>
      <c r="AN78" s="56"/>
      <c r="AO78" s="56"/>
      <c r="AP78" s="56"/>
      <c r="AR78" s="1" t="s">
        <v>127</v>
      </c>
      <c r="AS78" s="17" t="str">
        <f t="shared" si="3"/>
        <v>N/A</v>
      </c>
      <c r="AT78" s="17" t="str">
        <f t="shared" si="1"/>
        <v>N/A</v>
      </c>
      <c r="AU78" s="17" t="str">
        <f t="shared" si="2"/>
        <v>N/A</v>
      </c>
      <c r="AV78" s="17"/>
      <c r="AW78" s="17"/>
      <c r="AX78" s="17"/>
      <c r="AZ78" s="495"/>
    </row>
    <row r="79" spans="1:52">
      <c r="A79" s="830">
        <v>70</v>
      </c>
      <c r="B79" s="831" t="s">
        <v>332</v>
      </c>
      <c r="C79" s="100" t="str">
        <f t="shared" si="7"/>
        <v>Ene 03</v>
      </c>
      <c r="D79" s="653" t="s">
        <v>354</v>
      </c>
      <c r="E79" s="687" t="str">
        <f>VLOOKUP(D79,Poeng!$B$10:$R$252,Poeng!E$1,FALSE)</f>
        <v>No external lighting within the construction zone</v>
      </c>
      <c r="F79" s="98">
        <f>VLOOKUP(D79,Poeng!$B$10:$AB$252,Poeng!AB$1,FALSE)</f>
        <v>1</v>
      </c>
      <c r="G79" s="29"/>
      <c r="H79" s="99">
        <f>VLOOKUP(D79,Poeng!$B$10:$AE$252,Poeng!AE$1,FALSE)</f>
        <v>0</v>
      </c>
      <c r="I79" s="100" t="str">
        <f>VLOOKUP(D79,Poeng!$B$10:$BE$252,Poeng!BE$1,FALSE)</f>
        <v>N/A</v>
      </c>
      <c r="J79" s="66"/>
      <c r="K79" s="233"/>
      <c r="L79" s="633"/>
      <c r="M79" s="648"/>
      <c r="N79" s="69"/>
      <c r="O79" s="99">
        <f>VLOOKUP(D79,Poeng!$B$10:$BC$252,Poeng!AF$1,FALSE)</f>
        <v>0</v>
      </c>
      <c r="P79" s="99" t="str">
        <f>VLOOKUP(D79,Poeng!$B$10:$BH$252,Poeng!BH$1,FALSE)</f>
        <v>N/A</v>
      </c>
      <c r="Q79" s="583"/>
      <c r="R79" s="584"/>
      <c r="S79" s="577"/>
      <c r="T79" s="268"/>
      <c r="U79" s="69"/>
      <c r="V79" s="99">
        <f>VLOOKUP(D79,Poeng!$B$10:$BC$252,Poeng!AG$1,FALSE)</f>
        <v>0</v>
      </c>
      <c r="W79" s="99" t="str">
        <f>VLOOKUP(D79,Poeng!$B$10:$BK$252,Poeng!BK$1,FALSE)</f>
        <v>N/A</v>
      </c>
      <c r="X79" s="67"/>
      <c r="Y79" s="66"/>
      <c r="Z79" s="577"/>
      <c r="AA79" s="108"/>
      <c r="AB79" s="495"/>
      <c r="AC79" s="17">
        <f t="shared" si="12"/>
        <v>1</v>
      </c>
      <c r="AD79" s="1" t="e">
        <f>VLOOKUP(K79,'Assessment Details'!$O$45:$P$48,2,FALSE)</f>
        <v>#N/A</v>
      </c>
      <c r="AE79" s="1" t="e">
        <f>VLOOKUP(R79,'Assessment Details'!$O$45:$P$48,2,FALSE)</f>
        <v>#N/A</v>
      </c>
      <c r="AF79" s="1" t="e">
        <f>VLOOKUP(Y79,'Assessment Details'!$O$45:$P$48,2,FALSE)</f>
        <v>#N/A</v>
      </c>
      <c r="AI79" s="56"/>
      <c r="AJ79" s="522"/>
      <c r="AK79" s="501"/>
      <c r="AL79" s="501"/>
      <c r="AM79" s="501"/>
      <c r="AN79" s="56"/>
      <c r="AO79" s="56"/>
      <c r="AP79" s="56"/>
      <c r="AS79" s="17"/>
      <c r="AT79" s="17"/>
      <c r="AU79" s="17"/>
      <c r="AV79" s="17"/>
      <c r="AW79" s="17"/>
      <c r="AX79" s="17"/>
      <c r="AZ79" s="495"/>
    </row>
    <row r="80" spans="1:52">
      <c r="A80" s="830">
        <v>71</v>
      </c>
      <c r="B80" s="831" t="s">
        <v>332</v>
      </c>
      <c r="C80" s="100" t="str">
        <f t="shared" si="7"/>
        <v>Ene 03</v>
      </c>
      <c r="D80" s="653" t="s">
        <v>355</v>
      </c>
      <c r="E80" s="687" t="str">
        <f>VLOOKUP(D80,Poeng!$B$10:$R$252,Poeng!E$1,FALSE)</f>
        <v>External lighting within the construction zone</v>
      </c>
      <c r="F80" s="98">
        <f>VLOOKUP(D80,Poeng!$B$10:$AB$252,Poeng!AB$1,FALSE)</f>
        <v>0</v>
      </c>
      <c r="G80" s="29"/>
      <c r="H80" s="99">
        <f>VLOOKUP(D80,Poeng!$B$10:$AE$252,Poeng!AE$1,FALSE)</f>
        <v>0</v>
      </c>
      <c r="I80" s="100" t="str">
        <f>VLOOKUP(D80,Poeng!$B$10:$BE$252,Poeng!BE$1,FALSE)</f>
        <v>N/A</v>
      </c>
      <c r="J80" s="66"/>
      <c r="K80" s="233"/>
      <c r="L80" s="633"/>
      <c r="M80" s="648"/>
      <c r="N80" s="69"/>
      <c r="O80" s="99">
        <f>VLOOKUP(D80,Poeng!$B$10:$BC$252,Poeng!AF$1,FALSE)</f>
        <v>0</v>
      </c>
      <c r="P80" s="99" t="str">
        <f>VLOOKUP(D80,Poeng!$B$10:$BH$252,Poeng!BH$1,FALSE)</f>
        <v>N/A</v>
      </c>
      <c r="Q80" s="583"/>
      <c r="R80" s="584"/>
      <c r="S80" s="577"/>
      <c r="T80" s="268"/>
      <c r="U80" s="69"/>
      <c r="V80" s="99">
        <f>VLOOKUP(D80,Poeng!$B$10:$BC$252,Poeng!AG$1,FALSE)</f>
        <v>0</v>
      </c>
      <c r="W80" s="99" t="str">
        <f>VLOOKUP(D80,Poeng!$B$10:$BK$252,Poeng!BK$1,FALSE)</f>
        <v>N/A</v>
      </c>
      <c r="X80" s="67"/>
      <c r="Y80" s="66"/>
      <c r="Z80" s="577"/>
      <c r="AA80" s="108"/>
      <c r="AB80" s="495"/>
      <c r="AC80" s="17">
        <f t="shared" si="12"/>
        <v>2</v>
      </c>
      <c r="AD80" s="1" t="e">
        <f>VLOOKUP(K80,'Assessment Details'!$O$45:$P$48,2,FALSE)</f>
        <v>#N/A</v>
      </c>
      <c r="AE80" s="1" t="e">
        <f>VLOOKUP(R80,'Assessment Details'!$O$45:$P$48,2,FALSE)</f>
        <v>#N/A</v>
      </c>
      <c r="AF80" s="1" t="e">
        <f>VLOOKUP(Y80,'Assessment Details'!$O$45:$P$48,2,FALSE)</f>
        <v>#N/A</v>
      </c>
      <c r="AI80" s="56"/>
      <c r="AJ80" s="522"/>
      <c r="AK80" s="501"/>
      <c r="AL80" s="501"/>
      <c r="AM80" s="501"/>
      <c r="AN80" s="56"/>
      <c r="AO80" s="56"/>
      <c r="AP80" s="56"/>
      <c r="AS80" s="17"/>
      <c r="AT80" s="17"/>
      <c r="AU80" s="17"/>
      <c r="AV80" s="17"/>
      <c r="AW80" s="17"/>
      <c r="AX80" s="17"/>
      <c r="AZ80" s="495"/>
    </row>
    <row r="81" spans="1:52">
      <c r="A81" s="830">
        <v>72</v>
      </c>
      <c r="B81" s="831" t="s">
        <v>332</v>
      </c>
      <c r="C81" s="739" t="s">
        <v>356</v>
      </c>
      <c r="D81" s="653" t="s">
        <v>356</v>
      </c>
      <c r="E81" s="686" t="str">
        <f>VLOOKUP(D81,Poeng!$B$10:$R$252,Poeng!E$1,FALSE)</f>
        <v>Ene 05 Energy efficient cold storage</v>
      </c>
      <c r="F81" s="691">
        <f>VLOOKUP(D81,Poeng!$B$10:$AB$252,Poeng!AB$1,FALSE)</f>
        <v>2</v>
      </c>
      <c r="G81" s="784"/>
      <c r="H81" s="692" t="str">
        <f>VLOOKUP(D81,Poeng!$B$10:$AI$252,Poeng!AI$1,FALSE)&amp;" c. "&amp;ROUND(VLOOKUP(D81,Poeng!$B$10:$AE$252,Poeng!AE$1,FALSE)*100,1)&amp;" %"</f>
        <v>0 c. 0 %</v>
      </c>
      <c r="I81" s="739" t="str">
        <f>VLOOKUP(D81,Poeng!$B$10:$BE$252,Poeng!BE$1,FALSE)</f>
        <v>N/A</v>
      </c>
      <c r="J81" s="66"/>
      <c r="K81" s="233"/>
      <c r="L81" s="633"/>
      <c r="M81" s="648"/>
      <c r="N81" s="784"/>
      <c r="O81" s="703" t="str">
        <f>VLOOKUP(D81,Poeng!$B$10:$BC$252,Poeng!AJ$1,FALSE)&amp;" c. "&amp;ROUND(VLOOKUP(D81,Poeng!$B$10:$BC$252,Poeng!AF$1,FALSE)*100,1)&amp;" %"</f>
        <v>0 c. 0 %</v>
      </c>
      <c r="P81" s="99" t="str">
        <f>VLOOKUP(D81,Poeng!$B$10:$BH$252,Poeng!BH$1,FALSE)</f>
        <v>N/A</v>
      </c>
      <c r="Q81" s="583"/>
      <c r="R81" s="584"/>
      <c r="S81" s="577"/>
      <c r="T81" s="268"/>
      <c r="U81" s="784"/>
      <c r="V81" s="703" t="str">
        <f>VLOOKUP(D81,Poeng!$B$10:$BC$252,Poeng!AK$1,FALSE)&amp;" c. "&amp;ROUND(VLOOKUP(D81,Poeng!$B$10:$BC$252,Poeng!AG$1,FALSE)*100,1)&amp;" %"</f>
        <v>0 c. 0 %</v>
      </c>
      <c r="W81" s="99" t="str">
        <f>VLOOKUP(D81,Poeng!$B$10:$BK$252,Poeng!BK$1,FALSE)</f>
        <v>N/A</v>
      </c>
      <c r="X81" s="67"/>
      <c r="Y81" s="66"/>
      <c r="Z81" s="577"/>
      <c r="AA81" s="108"/>
      <c r="AB81" s="495" t="s">
        <v>127</v>
      </c>
      <c r="AC81" s="17">
        <f t="shared" si="12"/>
        <v>1</v>
      </c>
      <c r="AD81" s="1" t="e">
        <f>VLOOKUP(K81,'Assessment Details'!$O$45:$P$48,2,FALSE)</f>
        <v>#N/A</v>
      </c>
      <c r="AE81" s="1" t="e">
        <f>VLOOKUP(R81,'Assessment Details'!$O$45:$P$48,2,FALSE)</f>
        <v>#N/A</v>
      </c>
      <c r="AF81" s="1" t="e">
        <f>VLOOKUP(Y81,'Assessment Details'!$O$45:$P$48,2,FALSE)</f>
        <v>#N/A</v>
      </c>
      <c r="AI81" s="56" t="str">
        <f>ais_ja</f>
        <v>Ja</v>
      </c>
      <c r="AJ81" s="522" t="s">
        <v>357</v>
      </c>
      <c r="AK81" s="501" t="s">
        <v>273</v>
      </c>
      <c r="AL81" s="501" t="s">
        <v>315</v>
      </c>
      <c r="AM81" s="501" t="s">
        <v>275</v>
      </c>
      <c r="AN81" s="56"/>
      <c r="AO81" s="56"/>
      <c r="AP81" s="56"/>
      <c r="AR81" s="1" t="s">
        <v>127</v>
      </c>
      <c r="AS81" s="17" t="str">
        <f t="shared" si="3"/>
        <v>N/A</v>
      </c>
      <c r="AT81" s="17" t="str">
        <f t="shared" si="1"/>
        <v>N/A</v>
      </c>
      <c r="AU81" s="17" t="str">
        <f t="shared" si="2"/>
        <v>N/A</v>
      </c>
      <c r="AV81" s="17"/>
      <c r="AW81" s="17"/>
      <c r="AX81" s="17"/>
      <c r="AZ81" s="495"/>
    </row>
    <row r="82" spans="1:52">
      <c r="A82" s="830">
        <v>73</v>
      </c>
      <c r="B82" s="831" t="s">
        <v>332</v>
      </c>
      <c r="C82" s="100" t="str">
        <f t="shared" si="7"/>
        <v>Ene 05</v>
      </c>
      <c r="D82" s="653" t="s">
        <v>358</v>
      </c>
      <c r="E82" s="687" t="str">
        <f>VLOOKUP(D82,Poeng!$B$10:$R$252,Poeng!E$1,FALSE)</f>
        <v xml:space="preserve">Design of energy efficient refrigeration- and freezing room </v>
      </c>
      <c r="F82" s="98">
        <f>VLOOKUP(D82,Poeng!$B$10:$AB$252,Poeng!AB$1,FALSE)</f>
        <v>1</v>
      </c>
      <c r="G82" s="29"/>
      <c r="H82" s="99">
        <f>VLOOKUP(D82,Poeng!$B$10:$AE$252,Poeng!AE$1,FALSE)</f>
        <v>0</v>
      </c>
      <c r="I82" s="100" t="str">
        <f>VLOOKUP(D82,Poeng!$B$10:$BE$252,Poeng!BE$1,FALSE)</f>
        <v>N/A</v>
      </c>
      <c r="J82" s="66"/>
      <c r="K82" s="233"/>
      <c r="L82" s="633"/>
      <c r="M82" s="648"/>
      <c r="N82" s="69"/>
      <c r="O82" s="99">
        <f>VLOOKUP(D82,Poeng!$B$10:$BC$252,Poeng!AF$1,FALSE)</f>
        <v>0</v>
      </c>
      <c r="P82" s="99" t="str">
        <f>VLOOKUP(D82,Poeng!$B$10:$BH$252,Poeng!BH$1,FALSE)</f>
        <v>N/A</v>
      </c>
      <c r="Q82" s="583"/>
      <c r="R82" s="584"/>
      <c r="S82" s="577"/>
      <c r="T82" s="268"/>
      <c r="U82" s="69"/>
      <c r="V82" s="99">
        <f>VLOOKUP(D82,Poeng!$B$10:$BC$252,Poeng!AG$1,FALSE)</f>
        <v>0</v>
      </c>
      <c r="W82" s="99" t="str">
        <f>VLOOKUP(D82,Poeng!$B$10:$BK$252,Poeng!BK$1,FALSE)</f>
        <v>N/A</v>
      </c>
      <c r="X82" s="67"/>
      <c r="Y82" s="66"/>
      <c r="Z82" s="577"/>
      <c r="AA82" s="108"/>
      <c r="AB82" s="495"/>
      <c r="AC82" s="17">
        <f t="shared" si="12"/>
        <v>1</v>
      </c>
      <c r="AD82" s="1" t="e">
        <f>VLOOKUP(K82,'Assessment Details'!$O$45:$P$48,2,FALSE)</f>
        <v>#N/A</v>
      </c>
      <c r="AE82" s="1" t="e">
        <f>VLOOKUP(R82,'Assessment Details'!$O$45:$P$48,2,FALSE)</f>
        <v>#N/A</v>
      </c>
      <c r="AF82" s="1" t="e">
        <f>VLOOKUP(Y82,'Assessment Details'!$O$45:$P$48,2,FALSE)</f>
        <v>#N/A</v>
      </c>
      <c r="AI82" s="56"/>
      <c r="AJ82" s="522"/>
      <c r="AK82" s="501"/>
      <c r="AL82" s="501"/>
      <c r="AM82" s="501"/>
      <c r="AN82" s="56"/>
      <c r="AO82" s="56"/>
      <c r="AP82" s="56"/>
      <c r="AS82" s="17"/>
      <c r="AT82" s="17"/>
      <c r="AU82" s="17"/>
      <c r="AV82" s="17"/>
      <c r="AW82" s="17"/>
      <c r="AX82" s="17"/>
      <c r="AZ82" s="495"/>
    </row>
    <row r="83" spans="1:52">
      <c r="A83" s="830">
        <v>74</v>
      </c>
      <c r="B83" s="831" t="s">
        <v>332</v>
      </c>
      <c r="C83" s="100" t="str">
        <f t="shared" si="7"/>
        <v>Ene 05</v>
      </c>
      <c r="D83" s="653" t="s">
        <v>359</v>
      </c>
      <c r="E83" s="687" t="str">
        <f>VLOOKUP(D83,Poeng!$B$10:$R$252,Poeng!E$1,FALSE)</f>
        <v xml:space="preserve">Indirect greenhouse gas emissions </v>
      </c>
      <c r="F83" s="98">
        <f>VLOOKUP(D83,Poeng!$B$10:$AB$252,Poeng!AB$1,FALSE)</f>
        <v>1</v>
      </c>
      <c r="G83" s="29"/>
      <c r="H83" s="99">
        <f>VLOOKUP(D83,Poeng!$B$10:$AE$252,Poeng!AE$1,FALSE)</f>
        <v>0</v>
      </c>
      <c r="I83" s="100" t="str">
        <f>VLOOKUP(D83,Poeng!$B$10:$BE$252,Poeng!BE$1,FALSE)</f>
        <v>N/A</v>
      </c>
      <c r="J83" s="66"/>
      <c r="K83" s="233"/>
      <c r="L83" s="633"/>
      <c r="M83" s="648"/>
      <c r="N83" s="69"/>
      <c r="O83" s="99">
        <f>VLOOKUP(D83,Poeng!$B$10:$BC$252,Poeng!AF$1,FALSE)</f>
        <v>0</v>
      </c>
      <c r="P83" s="99" t="str">
        <f>VLOOKUP(D83,Poeng!$B$10:$BH$252,Poeng!BH$1,FALSE)</f>
        <v>N/A</v>
      </c>
      <c r="Q83" s="583"/>
      <c r="R83" s="584"/>
      <c r="S83" s="577"/>
      <c r="T83" s="268"/>
      <c r="U83" s="69"/>
      <c r="V83" s="99">
        <f>VLOOKUP(D83,Poeng!$B$10:$BC$252,Poeng!AG$1,FALSE)</f>
        <v>0</v>
      </c>
      <c r="W83" s="99" t="str">
        <f>VLOOKUP(D83,Poeng!$B$10:$BK$252,Poeng!BK$1,FALSE)</f>
        <v>N/A</v>
      </c>
      <c r="X83" s="67"/>
      <c r="Y83" s="66"/>
      <c r="Z83" s="577"/>
      <c r="AA83" s="108"/>
      <c r="AB83" s="495"/>
      <c r="AC83" s="17">
        <f t="shared" si="12"/>
        <v>1</v>
      </c>
      <c r="AD83" s="1" t="e">
        <f>VLOOKUP(K83,'Assessment Details'!$O$45:$P$48,2,FALSE)</f>
        <v>#N/A</v>
      </c>
      <c r="AE83" s="1" t="e">
        <f>VLOOKUP(R83,'Assessment Details'!$O$45:$P$48,2,FALSE)</f>
        <v>#N/A</v>
      </c>
      <c r="AF83" s="1" t="e">
        <f>VLOOKUP(Y83,'Assessment Details'!$O$45:$P$48,2,FALSE)</f>
        <v>#N/A</v>
      </c>
      <c r="AI83" s="56"/>
      <c r="AJ83" s="522"/>
      <c r="AK83" s="501"/>
      <c r="AL83" s="501"/>
      <c r="AM83" s="501"/>
      <c r="AN83" s="56"/>
      <c r="AO83" s="56"/>
      <c r="AP83" s="56"/>
      <c r="AS83" s="17"/>
      <c r="AT83" s="17"/>
      <c r="AU83" s="17"/>
      <c r="AV83" s="17"/>
      <c r="AW83" s="17"/>
      <c r="AX83" s="17"/>
      <c r="AZ83" s="495"/>
    </row>
    <row r="84" spans="1:52">
      <c r="A84" s="830">
        <v>75</v>
      </c>
      <c r="B84" s="831" t="s">
        <v>332</v>
      </c>
      <c r="C84" s="739" t="s">
        <v>186</v>
      </c>
      <c r="D84" s="653" t="s">
        <v>186</v>
      </c>
      <c r="E84" s="686" t="str">
        <f>VLOOKUP(D84,Poeng!$B$10:$R$252,Poeng!E$1,FALSE)</f>
        <v>Ene 06 Energy efficient transportation systems</v>
      </c>
      <c r="F84" s="691">
        <f>VLOOKUP(D84,Poeng!$B$10:$AB$252,Poeng!AB$1,FALSE)</f>
        <v>3</v>
      </c>
      <c r="G84" s="784"/>
      <c r="H84" s="692" t="str">
        <f>VLOOKUP(D84,Poeng!$B$10:$AI$252,Poeng!AI$1,FALSE)&amp;" c. "&amp;ROUND(VLOOKUP(D84,Poeng!$B$10:$AE$252,Poeng!AE$1,FALSE)*100,1)&amp;" %"</f>
        <v>0 c. 0 %</v>
      </c>
      <c r="I84" s="739" t="str">
        <f>VLOOKUP(D84,Poeng!$B$10:$BE$252,Poeng!BE$1,FALSE)</f>
        <v>N/A</v>
      </c>
      <c r="J84" s="66"/>
      <c r="K84" s="233"/>
      <c r="L84" s="633"/>
      <c r="M84" s="648"/>
      <c r="N84" s="784"/>
      <c r="O84" s="703" t="str">
        <f>VLOOKUP(D84,Poeng!$B$10:$BC$252,Poeng!AJ$1,FALSE)&amp;" c. "&amp;ROUND(VLOOKUP(D84,Poeng!$B$10:$BC$252,Poeng!AF$1,FALSE)*100,1)&amp;" %"</f>
        <v>0 c. 0 %</v>
      </c>
      <c r="P84" s="99" t="str">
        <f>VLOOKUP(D84,Poeng!$B$10:$BH$252,Poeng!BH$1,FALSE)</f>
        <v>N/A</v>
      </c>
      <c r="Q84" s="583"/>
      <c r="R84" s="584"/>
      <c r="S84" s="577"/>
      <c r="T84" s="268"/>
      <c r="U84" s="784"/>
      <c r="V84" s="703" t="str">
        <f>VLOOKUP(D84,Poeng!$B$10:$BC$252,Poeng!AK$1,FALSE)&amp;" c. "&amp;ROUND(VLOOKUP(D84,Poeng!$B$10:$BC$252,Poeng!AG$1,FALSE)*100,1)&amp;" %"</f>
        <v>0 c. 0 %</v>
      </c>
      <c r="W84" s="99" t="str">
        <f>VLOOKUP(D84,Poeng!$B$10:$BK$252,Poeng!BK$1,FALSE)</f>
        <v>N/A</v>
      </c>
      <c r="X84" s="67"/>
      <c r="Y84" s="66"/>
      <c r="Z84" s="577"/>
      <c r="AA84" s="108"/>
      <c r="AB84" s="495" t="s">
        <v>127</v>
      </c>
      <c r="AC84" s="17">
        <f t="shared" si="12"/>
        <v>1</v>
      </c>
      <c r="AD84" s="1" t="e">
        <f>VLOOKUP(K84,'Assessment Details'!$O$45:$P$48,2,FALSE)</f>
        <v>#N/A</v>
      </c>
      <c r="AE84" s="1" t="e">
        <f>VLOOKUP(R84,'Assessment Details'!$O$45:$P$48,2,FALSE)</f>
        <v>#N/A</v>
      </c>
      <c r="AF84" s="1" t="e">
        <f>VLOOKUP(Y84,'Assessment Details'!$O$45:$P$48,2,FALSE)</f>
        <v>#N/A</v>
      </c>
      <c r="AI84" s="56"/>
      <c r="AJ84" s="522" t="s">
        <v>360</v>
      </c>
      <c r="AK84" s="501" t="s">
        <v>273</v>
      </c>
      <c r="AL84" s="501" t="s">
        <v>275</v>
      </c>
      <c r="AM84" s="56"/>
      <c r="AN84" s="56"/>
      <c r="AO84" s="56"/>
      <c r="AP84" s="56"/>
      <c r="AR84" s="1" t="s">
        <v>127</v>
      </c>
      <c r="AS84" s="17" t="str">
        <f t="shared" si="3"/>
        <v>N/A</v>
      </c>
      <c r="AT84" s="17" t="str">
        <f t="shared" si="1"/>
        <v>N/A</v>
      </c>
      <c r="AU84" s="17" t="str">
        <f t="shared" si="2"/>
        <v>N/A</v>
      </c>
      <c r="AV84" s="17"/>
      <c r="AW84" s="17"/>
      <c r="AX84" s="17"/>
      <c r="AZ84" s="495"/>
    </row>
    <row r="85" spans="1:52">
      <c r="A85" s="830">
        <v>76</v>
      </c>
      <c r="B85" s="831" t="s">
        <v>332</v>
      </c>
      <c r="C85" s="100" t="str">
        <f t="shared" si="7"/>
        <v>Ene 06</v>
      </c>
      <c r="D85" s="653" t="s">
        <v>361</v>
      </c>
      <c r="E85" s="687" t="str">
        <f>VLOOKUP(D85,Poeng!$B$10:$R$252,Poeng!E$1,FALSE)</f>
        <v>Transport needs and usage patterns</v>
      </c>
      <c r="F85" s="98">
        <f>VLOOKUP(D85,Poeng!$B$10:$AB$252,Poeng!AB$1,FALSE)</f>
        <v>1</v>
      </c>
      <c r="G85" s="29"/>
      <c r="H85" s="99">
        <f>VLOOKUP(D85,Poeng!$B$10:$AE$252,Poeng!AE$1,FALSE)</f>
        <v>0</v>
      </c>
      <c r="I85" s="100" t="str">
        <f>VLOOKUP(D85,Poeng!$B$10:$BE$252,Poeng!BE$1,FALSE)</f>
        <v>N/A</v>
      </c>
      <c r="J85" s="66"/>
      <c r="K85" s="233"/>
      <c r="L85" s="633"/>
      <c r="M85" s="648"/>
      <c r="N85" s="69"/>
      <c r="O85" s="99">
        <f>VLOOKUP(D85,Poeng!$B$10:$BC$252,Poeng!AF$1,FALSE)</f>
        <v>0</v>
      </c>
      <c r="P85" s="99" t="str">
        <f>VLOOKUP(D85,Poeng!$B$10:$BH$252,Poeng!BH$1,FALSE)</f>
        <v>N/A</v>
      </c>
      <c r="Q85" s="583"/>
      <c r="R85" s="584"/>
      <c r="S85" s="577"/>
      <c r="T85" s="268"/>
      <c r="U85" s="69"/>
      <c r="V85" s="99">
        <f>VLOOKUP(D85,Poeng!$B$10:$BC$252,Poeng!AG$1,FALSE)</f>
        <v>0</v>
      </c>
      <c r="W85" s="99" t="str">
        <f>VLOOKUP(D85,Poeng!$B$10:$BK$252,Poeng!BK$1,FALSE)</f>
        <v>N/A</v>
      </c>
      <c r="X85" s="67"/>
      <c r="Y85" s="66"/>
      <c r="Z85" s="577"/>
      <c r="AA85" s="108"/>
      <c r="AB85" s="495"/>
      <c r="AC85" s="17">
        <f t="shared" si="12"/>
        <v>1</v>
      </c>
      <c r="AD85" s="1" t="e">
        <f>VLOOKUP(K85,'Assessment Details'!$O$45:$P$48,2,FALSE)</f>
        <v>#N/A</v>
      </c>
      <c r="AE85" s="1" t="e">
        <f>VLOOKUP(R85,'Assessment Details'!$O$45:$P$48,2,FALSE)</f>
        <v>#N/A</v>
      </c>
      <c r="AF85" s="1" t="e">
        <f>VLOOKUP(Y85,'Assessment Details'!$O$45:$P$48,2,FALSE)</f>
        <v>#N/A</v>
      </c>
      <c r="AI85" s="56"/>
      <c r="AJ85" s="522"/>
      <c r="AK85" s="501"/>
      <c r="AL85" s="501"/>
      <c r="AM85" s="56"/>
      <c r="AN85" s="56"/>
      <c r="AO85" s="56"/>
      <c r="AP85" s="56"/>
      <c r="AS85" s="17"/>
      <c r="AT85" s="17"/>
      <c r="AU85" s="17"/>
      <c r="AV85" s="17"/>
      <c r="AW85" s="17"/>
      <c r="AX85" s="17"/>
      <c r="AZ85" s="495"/>
    </row>
    <row r="86" spans="1:52">
      <c r="A86" s="830">
        <v>77</v>
      </c>
      <c r="B86" s="831" t="s">
        <v>332</v>
      </c>
      <c r="C86" s="100" t="str">
        <f>C84</f>
        <v>Ene 06</v>
      </c>
      <c r="D86" s="653" t="s">
        <v>362</v>
      </c>
      <c r="E86" s="687" t="str">
        <f>VLOOKUP(D86,Poeng!$B$10:$R$252,Poeng!E$1,FALSE)</f>
        <v>Energy efficient features: lifts</v>
      </c>
      <c r="F86" s="98">
        <f>VLOOKUP(D86,Poeng!$B$10:$AB$252,Poeng!AB$1,FALSE)</f>
        <v>1</v>
      </c>
      <c r="G86" s="29"/>
      <c r="H86" s="99">
        <f>VLOOKUP(D86,Poeng!$B$10:$AE$252,Poeng!AE$1,FALSE)</f>
        <v>0</v>
      </c>
      <c r="I86" s="100" t="str">
        <f>VLOOKUP(D86,Poeng!$B$10:$BE$252,Poeng!BE$1,FALSE)</f>
        <v>N/A</v>
      </c>
      <c r="J86" s="66"/>
      <c r="K86" s="233"/>
      <c r="L86" s="633"/>
      <c r="M86" s="648"/>
      <c r="N86" s="69"/>
      <c r="O86" s="99">
        <f>VLOOKUP(D86,Poeng!$B$10:$BC$252,Poeng!AF$1,FALSE)</f>
        <v>0</v>
      </c>
      <c r="P86" s="99" t="str">
        <f>VLOOKUP(D86,Poeng!$B$10:$BH$252,Poeng!BH$1,FALSE)</f>
        <v>N/A</v>
      </c>
      <c r="Q86" s="583"/>
      <c r="R86" s="584"/>
      <c r="S86" s="577"/>
      <c r="T86" s="268"/>
      <c r="U86" s="69"/>
      <c r="V86" s="99">
        <f>VLOOKUP(D86,Poeng!$B$10:$BC$252,Poeng!AG$1,FALSE)</f>
        <v>0</v>
      </c>
      <c r="W86" s="99" t="str">
        <f>VLOOKUP(D86,Poeng!$B$10:$BK$252,Poeng!BK$1,FALSE)</f>
        <v>N/A</v>
      </c>
      <c r="X86" s="67"/>
      <c r="Y86" s="66"/>
      <c r="Z86" s="577"/>
      <c r="AA86" s="108"/>
      <c r="AB86" s="495"/>
      <c r="AC86" s="17">
        <f t="shared" si="12"/>
        <v>1</v>
      </c>
      <c r="AD86" s="1" t="e">
        <f>VLOOKUP(K86,'Assessment Details'!$O$45:$P$48,2,FALSE)</f>
        <v>#N/A</v>
      </c>
      <c r="AE86" s="1" t="e">
        <f>VLOOKUP(R86,'Assessment Details'!$O$45:$P$48,2,FALSE)</f>
        <v>#N/A</v>
      </c>
      <c r="AF86" s="1" t="e">
        <f>VLOOKUP(Y86,'Assessment Details'!$O$45:$P$48,2,FALSE)</f>
        <v>#N/A</v>
      </c>
      <c r="AI86" s="56"/>
      <c r="AJ86" s="522"/>
      <c r="AK86" s="501"/>
      <c r="AL86" s="501"/>
      <c r="AM86" s="56"/>
      <c r="AN86" s="56"/>
      <c r="AO86" s="56"/>
      <c r="AP86" s="56"/>
      <c r="AS86" s="17"/>
      <c r="AT86" s="17"/>
      <c r="AU86" s="17"/>
      <c r="AV86" s="17"/>
      <c r="AW86" s="17"/>
      <c r="AX86" s="17"/>
      <c r="AZ86" s="495"/>
    </row>
    <row r="87" spans="1:52">
      <c r="A87" s="830">
        <v>78</v>
      </c>
      <c r="B87" s="831" t="s">
        <v>332</v>
      </c>
      <c r="C87" s="100" t="str">
        <f>C85</f>
        <v>Ene 06</v>
      </c>
      <c r="D87" s="653" t="s">
        <v>363</v>
      </c>
      <c r="E87" s="687" t="str">
        <f>VLOOKUP(D87,Poeng!$B$10:$R$252,Poeng!E$1,FALSE)</f>
        <v>Energy efficient features: escalators or moving walks</v>
      </c>
      <c r="F87" s="98">
        <f>VLOOKUP(D87,Poeng!$B$10:$AB$252,Poeng!AB$1,FALSE)</f>
        <v>1</v>
      </c>
      <c r="G87" s="29"/>
      <c r="H87" s="99">
        <f>VLOOKUP(D87,Poeng!$B$10:$AE$252,Poeng!AE$1,FALSE)</f>
        <v>0</v>
      </c>
      <c r="I87" s="100" t="str">
        <f>VLOOKUP(D87,Poeng!$B$10:$BE$252,Poeng!BE$1,FALSE)</f>
        <v>N/A</v>
      </c>
      <c r="J87" s="66"/>
      <c r="K87" s="233"/>
      <c r="L87" s="633"/>
      <c r="M87" s="648"/>
      <c r="N87" s="69"/>
      <c r="O87" s="99">
        <f>VLOOKUP(D87,Poeng!$B$10:$BC$252,Poeng!AF$1,FALSE)</f>
        <v>0</v>
      </c>
      <c r="P87" s="99" t="str">
        <f>VLOOKUP(D87,Poeng!$B$10:$BH$252,Poeng!BH$1,FALSE)</f>
        <v>N/A</v>
      </c>
      <c r="Q87" s="583"/>
      <c r="R87" s="584"/>
      <c r="S87" s="577"/>
      <c r="T87" s="268"/>
      <c r="U87" s="69"/>
      <c r="V87" s="99">
        <f>VLOOKUP(D87,Poeng!$B$10:$BC$252,Poeng!AG$1,FALSE)</f>
        <v>0</v>
      </c>
      <c r="W87" s="99" t="str">
        <f>VLOOKUP(D87,Poeng!$B$10:$BK$252,Poeng!BK$1,FALSE)</f>
        <v>N/A</v>
      </c>
      <c r="X87" s="67"/>
      <c r="Y87" s="66"/>
      <c r="Z87" s="577"/>
      <c r="AA87" s="108"/>
      <c r="AB87" s="495"/>
      <c r="AC87" s="17">
        <f t="shared" si="12"/>
        <v>1</v>
      </c>
      <c r="AD87" s="1" t="e">
        <f>VLOOKUP(K87,'Assessment Details'!$O$45:$P$48,2,FALSE)</f>
        <v>#N/A</v>
      </c>
      <c r="AE87" s="1" t="e">
        <f>VLOOKUP(R87,'Assessment Details'!$O$45:$P$48,2,FALSE)</f>
        <v>#N/A</v>
      </c>
      <c r="AF87" s="1" t="e">
        <f>VLOOKUP(Y87,'Assessment Details'!$O$45:$P$48,2,FALSE)</f>
        <v>#N/A</v>
      </c>
      <c r="AI87" s="56"/>
      <c r="AJ87" s="522"/>
      <c r="AK87" s="501"/>
      <c r="AL87" s="501"/>
      <c r="AM87" s="56"/>
      <c r="AN87" s="56"/>
      <c r="AO87" s="56"/>
      <c r="AP87" s="56"/>
      <c r="AS87" s="17"/>
      <c r="AT87" s="17"/>
      <c r="AU87" s="17"/>
      <c r="AV87" s="17"/>
      <c r="AW87" s="17"/>
      <c r="AX87" s="17"/>
      <c r="AZ87" s="495"/>
    </row>
    <row r="88" spans="1:52">
      <c r="A88" s="830">
        <v>79</v>
      </c>
      <c r="B88" s="831" t="s">
        <v>332</v>
      </c>
      <c r="C88" s="739" t="s">
        <v>364</v>
      </c>
      <c r="D88" s="653" t="s">
        <v>364</v>
      </c>
      <c r="E88" s="686" t="str">
        <f>VLOOKUP(D88,Poeng!$B$10:$R$252,Poeng!E$1,FALSE)</f>
        <v>Ene 07 Energy Efficient Laboratory Systems</v>
      </c>
      <c r="F88" s="691">
        <f>VLOOKUP(D88,Poeng!$B$10:$AB$252,Poeng!AB$1,FALSE)</f>
        <v>5</v>
      </c>
      <c r="G88" s="784"/>
      <c r="H88" s="692" t="str">
        <f>VLOOKUP(D88,Poeng!$B$10:$AI$252,Poeng!AI$1,FALSE)&amp;" c. "&amp;ROUND(VLOOKUP(D88,Poeng!$B$10:$AE$252,Poeng!AE$1,FALSE)*100,1)&amp;" %"</f>
        <v>0 c. 0 %</v>
      </c>
      <c r="I88" s="739" t="str">
        <f>VLOOKUP(D88,Poeng!$B$10:$BE$252,Poeng!BE$1,FALSE)</f>
        <v>N/A</v>
      </c>
      <c r="J88" s="66"/>
      <c r="K88" s="233"/>
      <c r="L88" s="633"/>
      <c r="M88" s="648"/>
      <c r="N88" s="784"/>
      <c r="O88" s="703" t="str">
        <f>VLOOKUP(D88,Poeng!$B$10:$BC$252,Poeng!AJ$1,FALSE)&amp;" c. "&amp;ROUND(VLOOKUP(D88,Poeng!$B$10:$BC$252,Poeng!AF$1,FALSE)*100,1)&amp;" %"</f>
        <v>0 c. 0 %</v>
      </c>
      <c r="P88" s="99" t="str">
        <f>VLOOKUP(D88,Poeng!$B$10:$BH$252,Poeng!BH$1,FALSE)</f>
        <v>N/A</v>
      </c>
      <c r="Q88" s="583"/>
      <c r="R88" s="584"/>
      <c r="S88" s="577"/>
      <c r="T88" s="268"/>
      <c r="U88" s="784"/>
      <c r="V88" s="703" t="str">
        <f>VLOOKUP(D88,Poeng!$B$10:$BC$252,Poeng!AK$1,FALSE)&amp;" c. "&amp;ROUND(VLOOKUP(D88,Poeng!$B$10:$BC$252,Poeng!AG$1,FALSE)*100,1)&amp;" %"</f>
        <v>0 c. 0 %</v>
      </c>
      <c r="W88" s="99" t="str">
        <f>VLOOKUP(D88,Poeng!$B$10:$BK$252,Poeng!BK$1,FALSE)</f>
        <v>N/A</v>
      </c>
      <c r="X88" s="67"/>
      <c r="Y88" s="66"/>
      <c r="Z88" s="577"/>
      <c r="AA88" s="108"/>
      <c r="AB88" s="495" t="s">
        <v>216</v>
      </c>
      <c r="AC88" s="17">
        <f t="shared" si="12"/>
        <v>1</v>
      </c>
      <c r="AD88" s="1" t="e">
        <f>VLOOKUP(K88,'Assessment Details'!$O$45:$P$48,2,FALSE)</f>
        <v>#N/A</v>
      </c>
      <c r="AE88" s="1" t="e">
        <f>VLOOKUP(R88,'Assessment Details'!$O$45:$P$48,2,FALSE)</f>
        <v>#N/A</v>
      </c>
      <c r="AF88" s="1" t="e">
        <f>VLOOKUP(Y88,'Assessment Details'!$O$45:$P$48,2,FALSE)</f>
        <v>#N/A</v>
      </c>
      <c r="AI88" s="56"/>
      <c r="AJ88" s="522" t="s">
        <v>365</v>
      </c>
      <c r="AK88" s="56"/>
      <c r="AL88" s="56"/>
      <c r="AM88" s="56"/>
      <c r="AN88" s="56"/>
      <c r="AO88" s="56"/>
      <c r="AP88" s="56"/>
      <c r="AS88" s="17" t="str">
        <f t="shared" si="3"/>
        <v>N/A</v>
      </c>
      <c r="AT88" s="17" t="str">
        <f t="shared" si="1"/>
        <v>N/A</v>
      </c>
      <c r="AU88" s="17" t="str">
        <f t="shared" si="2"/>
        <v>N/A</v>
      </c>
      <c r="AV88" s="17"/>
      <c r="AW88" s="17"/>
      <c r="AX88" s="17"/>
      <c r="AZ88" s="495"/>
    </row>
    <row r="89" spans="1:52">
      <c r="A89" s="830">
        <v>80</v>
      </c>
      <c r="B89" s="831" t="s">
        <v>332</v>
      </c>
      <c r="C89" s="100" t="str">
        <f t="shared" si="7"/>
        <v>Ene 07</v>
      </c>
      <c r="D89" s="653" t="s">
        <v>366</v>
      </c>
      <c r="E89" s="687" t="str">
        <f>VLOOKUP(D89,Poeng!$B$10:$R$252,Poeng!E$1,FALSE)</f>
        <v xml:space="preserve">Design specification </v>
      </c>
      <c r="F89" s="98">
        <f>VLOOKUP(D89,Poeng!$B$10:$AB$252,Poeng!AB$1,FALSE)</f>
        <v>1</v>
      </c>
      <c r="G89" s="29"/>
      <c r="H89" s="99">
        <f>VLOOKUP(D89,Poeng!$B$10:$AE$252,Poeng!AE$1,FALSE)</f>
        <v>0</v>
      </c>
      <c r="I89" s="100" t="str">
        <f>VLOOKUP(D89,Poeng!$B$10:$BE$252,Poeng!BE$1,FALSE)</f>
        <v>Unclassified</v>
      </c>
      <c r="J89" s="66"/>
      <c r="K89" s="233"/>
      <c r="L89" s="633"/>
      <c r="M89" s="648"/>
      <c r="N89" s="69"/>
      <c r="O89" s="99">
        <f>VLOOKUP(D89,Poeng!$B$10:$BC$252,Poeng!AF$1,FALSE)</f>
        <v>0</v>
      </c>
      <c r="P89" s="99" t="str">
        <f>VLOOKUP(D89,Poeng!$B$10:$BH$252,Poeng!BH$1,FALSE)</f>
        <v>Unclassified</v>
      </c>
      <c r="Q89" s="583"/>
      <c r="R89" s="584"/>
      <c r="S89" s="577"/>
      <c r="T89" s="268"/>
      <c r="U89" s="69"/>
      <c r="V89" s="99">
        <f>VLOOKUP(D89,Poeng!$B$10:$BC$252,Poeng!AG$1,FALSE)</f>
        <v>0</v>
      </c>
      <c r="W89" s="99" t="str">
        <f>VLOOKUP(D89,Poeng!$B$10:$BK$252,Poeng!BK$1,FALSE)</f>
        <v>Unclassified</v>
      </c>
      <c r="X89" s="67"/>
      <c r="Y89" s="66"/>
      <c r="Z89" s="577"/>
      <c r="AA89" s="108"/>
      <c r="AB89" s="495"/>
      <c r="AC89" s="17">
        <f t="shared" si="12"/>
        <v>1</v>
      </c>
      <c r="AD89" s="1" t="e">
        <f>VLOOKUP(K89,'Assessment Details'!$O$45:$P$48,2,FALSE)</f>
        <v>#N/A</v>
      </c>
      <c r="AE89" s="1" t="e">
        <f>VLOOKUP(R89,'Assessment Details'!$O$45:$P$48,2,FALSE)</f>
        <v>#N/A</v>
      </c>
      <c r="AF89" s="1" t="e">
        <f>VLOOKUP(Y89,'Assessment Details'!$O$45:$P$48,2,FALSE)</f>
        <v>#N/A</v>
      </c>
      <c r="AI89" s="56"/>
      <c r="AJ89" s="522"/>
      <c r="AK89" s="56"/>
      <c r="AL89" s="56"/>
      <c r="AM89" s="56"/>
      <c r="AN89" s="56"/>
      <c r="AO89" s="56"/>
      <c r="AP89" s="56"/>
      <c r="AS89" s="17"/>
      <c r="AT89" s="17"/>
      <c r="AU89" s="17"/>
      <c r="AV89" s="17"/>
      <c r="AW89" s="17"/>
      <c r="AX89" s="17"/>
      <c r="AZ89" s="495"/>
    </row>
    <row r="90" spans="1:52">
      <c r="A90" s="830">
        <v>81</v>
      </c>
      <c r="B90" s="831" t="s">
        <v>332</v>
      </c>
      <c r="C90" s="100" t="str">
        <f t="shared" si="7"/>
        <v>Ene 07</v>
      </c>
      <c r="D90" s="653" t="s">
        <v>367</v>
      </c>
      <c r="E90" s="687" t="str">
        <f>VLOOKUP(D90,Poeng!$B$10:$R$252,Poeng!E$1,FALSE)</f>
        <v xml:space="preserve">Best practice energy efficient measures </v>
      </c>
      <c r="F90" s="98">
        <f>VLOOKUP(D90,Poeng!$B$10:$AB$252,Poeng!AB$1,FALSE)</f>
        <v>4</v>
      </c>
      <c r="G90" s="29"/>
      <c r="H90" s="99">
        <f>VLOOKUP(D90,Poeng!$B$10:$AE$252,Poeng!AE$1,FALSE)</f>
        <v>0</v>
      </c>
      <c r="I90" s="100" t="str">
        <f>VLOOKUP(D90,Poeng!$B$10:$BE$252,Poeng!BE$1,FALSE)</f>
        <v>N/A</v>
      </c>
      <c r="J90" s="66"/>
      <c r="K90" s="233"/>
      <c r="L90" s="633"/>
      <c r="M90" s="648"/>
      <c r="N90" s="69"/>
      <c r="O90" s="99">
        <f>VLOOKUP(D90,Poeng!$B$10:$BC$252,Poeng!AF$1,FALSE)</f>
        <v>0</v>
      </c>
      <c r="P90" s="99" t="str">
        <f>VLOOKUP(D90,Poeng!$B$10:$BH$252,Poeng!BH$1,FALSE)</f>
        <v>N/A</v>
      </c>
      <c r="Q90" s="583"/>
      <c r="R90" s="584"/>
      <c r="S90" s="577"/>
      <c r="T90" s="268"/>
      <c r="U90" s="69"/>
      <c r="V90" s="99">
        <f>VLOOKUP(D90,Poeng!$B$10:$BC$252,Poeng!AG$1,FALSE)</f>
        <v>0</v>
      </c>
      <c r="W90" s="99" t="str">
        <f>VLOOKUP(D90,Poeng!$B$10:$BK$252,Poeng!BK$1,FALSE)</f>
        <v>N/A</v>
      </c>
      <c r="X90" s="67"/>
      <c r="Y90" s="66"/>
      <c r="Z90" s="577"/>
      <c r="AA90" s="108"/>
      <c r="AB90" s="495"/>
      <c r="AC90" s="17">
        <f t="shared" si="12"/>
        <v>1</v>
      </c>
      <c r="AD90" s="1" t="e">
        <f>VLOOKUP(K90,'Assessment Details'!$O$45:$P$48,2,FALSE)</f>
        <v>#N/A</v>
      </c>
      <c r="AE90" s="1" t="e">
        <f>VLOOKUP(R90,'Assessment Details'!$O$45:$P$48,2,FALSE)</f>
        <v>#N/A</v>
      </c>
      <c r="AF90" s="1" t="e">
        <f>VLOOKUP(Y90,'Assessment Details'!$O$45:$P$48,2,FALSE)</f>
        <v>#N/A</v>
      </c>
      <c r="AI90" s="56"/>
      <c r="AJ90" s="522"/>
      <c r="AK90" s="56"/>
      <c r="AL90" s="56"/>
      <c r="AM90" s="56"/>
      <c r="AN90" s="56"/>
      <c r="AO90" s="56"/>
      <c r="AP90" s="56"/>
      <c r="AS90" s="17"/>
      <c r="AT90" s="17"/>
      <c r="AU90" s="17"/>
      <c r="AV90" s="17"/>
      <c r="AW90" s="17"/>
      <c r="AX90" s="17"/>
      <c r="AZ90" s="495"/>
    </row>
    <row r="91" spans="1:52">
      <c r="A91" s="830">
        <v>82</v>
      </c>
      <c r="B91" s="831" t="s">
        <v>332</v>
      </c>
      <c r="C91" s="739" t="s">
        <v>368</v>
      </c>
      <c r="D91" s="653" t="s">
        <v>368</v>
      </c>
      <c r="E91" s="686" t="str">
        <f>VLOOKUP(D91,Poeng!$B$10:$R$252,Poeng!E$1,FALSE)</f>
        <v>Ene 08 Energy efficient equipment</v>
      </c>
      <c r="F91" s="691">
        <f>VLOOKUP(D91,Poeng!$B$10:$AB$252,Poeng!AB$1,FALSE)</f>
        <v>2</v>
      </c>
      <c r="G91" s="784"/>
      <c r="H91" s="692" t="str">
        <f>VLOOKUP(D91,Poeng!$B$10:$AI$252,Poeng!AI$1,FALSE)&amp;" c. "&amp;ROUND(VLOOKUP(D91,Poeng!$B$10:$AE$252,Poeng!AE$1,FALSE)*100,1)&amp;" %"</f>
        <v>0 c. 0 %</v>
      </c>
      <c r="I91" s="739" t="str">
        <f>VLOOKUP(D91,Poeng!$B$10:$BE$252,Poeng!BE$1,FALSE)</f>
        <v>N/A</v>
      </c>
      <c r="J91" s="66"/>
      <c r="K91" s="233"/>
      <c r="L91" s="633"/>
      <c r="M91" s="648"/>
      <c r="N91" s="784"/>
      <c r="O91" s="703" t="str">
        <f>VLOOKUP(D91,Poeng!$B$10:$BC$252,Poeng!AJ$1,FALSE)&amp;" c. "&amp;ROUND(VLOOKUP(D91,Poeng!$B$10:$BC$252,Poeng!AF$1,FALSE)*100,1)&amp;" %"</f>
        <v>0 c. 0 %</v>
      </c>
      <c r="P91" s="99" t="str">
        <f>VLOOKUP(D91,Poeng!$B$10:$BH$252,Poeng!BH$1,FALSE)</f>
        <v>N/A</v>
      </c>
      <c r="Q91" s="583"/>
      <c r="R91" s="584"/>
      <c r="S91" s="577"/>
      <c r="T91" s="268"/>
      <c r="U91" s="784"/>
      <c r="V91" s="703" t="str">
        <f>VLOOKUP(D91,Poeng!$B$10:$BC$252,Poeng!AK$1,FALSE)&amp;" c. "&amp;ROUND(VLOOKUP(D91,Poeng!$B$10:$BC$252,Poeng!AG$1,FALSE)*100,1)&amp;" %"</f>
        <v>0 c. 0 %</v>
      </c>
      <c r="W91" s="99" t="str">
        <f>VLOOKUP(D91,Poeng!$B$10:$BK$252,Poeng!BK$1,FALSE)</f>
        <v>N/A</v>
      </c>
      <c r="X91" s="67"/>
      <c r="Y91" s="66"/>
      <c r="Z91" s="577"/>
      <c r="AA91" s="108"/>
      <c r="AB91" s="495" t="s">
        <v>127</v>
      </c>
      <c r="AC91" s="17">
        <f t="shared" si="12"/>
        <v>1</v>
      </c>
      <c r="AD91" s="1" t="e">
        <f>VLOOKUP(K91,'Assessment Details'!$O$45:$P$48,2,FALSE)</f>
        <v>#N/A</v>
      </c>
      <c r="AE91" s="1" t="e">
        <f>VLOOKUP(R91,'Assessment Details'!$O$45:$P$48,2,FALSE)</f>
        <v>#N/A</v>
      </c>
      <c r="AF91" s="1" t="e">
        <f>VLOOKUP(Y91,'Assessment Details'!$O$45:$P$48,2,FALSE)</f>
        <v>#N/A</v>
      </c>
      <c r="AI91" s="56" t="str">
        <f>ais_ja</f>
        <v>Ja</v>
      </c>
      <c r="AJ91" s="522" t="s">
        <v>369</v>
      </c>
      <c r="AK91" s="501" t="s">
        <v>273</v>
      </c>
      <c r="AL91" s="501" t="s">
        <v>315</v>
      </c>
      <c r="AM91" s="501" t="s">
        <v>275</v>
      </c>
      <c r="AN91" s="56"/>
      <c r="AO91" s="56"/>
      <c r="AP91" s="56"/>
      <c r="AR91" s="1" t="s">
        <v>127</v>
      </c>
      <c r="AS91" s="17" t="str">
        <f t="shared" si="3"/>
        <v>N/A</v>
      </c>
      <c r="AT91" s="17" t="str">
        <f t="shared" si="1"/>
        <v>N/A</v>
      </c>
      <c r="AU91" s="17" t="str">
        <f t="shared" si="2"/>
        <v>N/A</v>
      </c>
      <c r="AV91" s="17"/>
      <c r="AW91" s="17"/>
      <c r="AX91" s="17"/>
      <c r="AZ91" s="495"/>
    </row>
    <row r="92" spans="1:52">
      <c r="A92" s="830">
        <v>83</v>
      </c>
      <c r="B92" s="831" t="s">
        <v>332</v>
      </c>
      <c r="C92" s="840" t="str">
        <f t="shared" si="7"/>
        <v>Ene 08</v>
      </c>
      <c r="D92" s="653" t="s">
        <v>370</v>
      </c>
      <c r="E92" s="825" t="str">
        <f>VLOOKUP(D92,Poeng!$B$10:$R$252,Poeng!E$1,FALSE)</f>
        <v xml:space="preserve">Reduction of the building's significant unregulated energy consumption </v>
      </c>
      <c r="F92" s="98">
        <f>VLOOKUP(D92,Poeng!$B$10:$AB$252,Poeng!AB$1,FALSE)</f>
        <v>2</v>
      </c>
      <c r="G92" s="29"/>
      <c r="H92" s="99">
        <f>VLOOKUP(D92,Poeng!$B$10:$AE$252,Poeng!AE$1,FALSE)</f>
        <v>0</v>
      </c>
      <c r="I92" s="100" t="str">
        <f>VLOOKUP(D92,Poeng!$B$10:$BE$252,Poeng!BE$1,FALSE)</f>
        <v>N/A</v>
      </c>
      <c r="J92" s="66"/>
      <c r="K92" s="233"/>
      <c r="L92" s="633"/>
      <c r="M92" s="648"/>
      <c r="N92" s="69"/>
      <c r="O92" s="99">
        <f>VLOOKUP(D92,Poeng!$B$10:$BC$252,Poeng!AF$1,FALSE)</f>
        <v>0</v>
      </c>
      <c r="P92" s="99" t="str">
        <f>VLOOKUP(D92,Poeng!$B$10:$BH$252,Poeng!BH$1,FALSE)</f>
        <v>N/A</v>
      </c>
      <c r="Q92" s="583"/>
      <c r="R92" s="584"/>
      <c r="S92" s="577"/>
      <c r="T92" s="268"/>
      <c r="U92" s="69"/>
      <c r="V92" s="99">
        <f>VLOOKUP(D92,Poeng!$B$10:$BC$252,Poeng!AG$1,FALSE)</f>
        <v>0</v>
      </c>
      <c r="W92" s="99" t="str">
        <f>VLOOKUP(D92,Poeng!$B$10:$BK$252,Poeng!BK$1,FALSE)</f>
        <v>N/A</v>
      </c>
      <c r="X92" s="67"/>
      <c r="Y92" s="66"/>
      <c r="Z92" s="577"/>
      <c r="AA92" s="108"/>
      <c r="AB92" s="559"/>
      <c r="AC92" s="17">
        <f t="shared" si="12"/>
        <v>1</v>
      </c>
      <c r="AD92" s="1" t="e">
        <f>VLOOKUP(K92,'Assessment Details'!$O$45:$P$48,2,FALSE)</f>
        <v>#N/A</v>
      </c>
      <c r="AE92" s="1" t="e">
        <f>VLOOKUP(R92,'Assessment Details'!$O$45:$P$48,2,FALSE)</f>
        <v>#N/A</v>
      </c>
      <c r="AF92" s="1" t="e">
        <f>VLOOKUP(Y92,'Assessment Details'!$O$45:$P$48,2,FALSE)</f>
        <v>#N/A</v>
      </c>
      <c r="AI92" s="56"/>
      <c r="AJ92" s="522"/>
      <c r="AK92" s="501"/>
      <c r="AL92" s="501"/>
      <c r="AM92" s="501"/>
      <c r="AN92" s="56"/>
      <c r="AO92" s="56"/>
      <c r="AP92" s="56"/>
      <c r="AS92" s="17"/>
      <c r="AT92" s="17"/>
      <c r="AU92" s="17"/>
      <c r="AV92" s="17"/>
      <c r="AW92" s="17"/>
      <c r="AX92" s="17"/>
      <c r="AZ92" s="559"/>
    </row>
    <row r="93" spans="1:52" ht="15.75" thickBot="1">
      <c r="A93" s="830">
        <v>84</v>
      </c>
      <c r="B93" s="831" t="s">
        <v>332</v>
      </c>
      <c r="C93" s="836"/>
      <c r="D93" s="653" t="s">
        <v>371</v>
      </c>
      <c r="E93" s="269" t="s">
        <v>372</v>
      </c>
      <c r="F93" s="101">
        <f>Ene_Credits</f>
        <v>27</v>
      </c>
      <c r="G93" s="106"/>
      <c r="H93" s="102">
        <f>Ene_cont_tot</f>
        <v>0</v>
      </c>
      <c r="I93" s="693" t="str">
        <f>"Credits achieved: "&amp;Ene_tot_user</f>
        <v>Credits achieved: 0</v>
      </c>
      <c r="J93" s="109"/>
      <c r="K93" s="234"/>
      <c r="L93" s="585"/>
      <c r="M93" s="648"/>
      <c r="N93" s="326"/>
      <c r="O93" s="102">
        <f>VLOOKUP(D93,Poeng!$B$10:$BC$252,Poeng!AF$1,FALSE)</f>
        <v>0</v>
      </c>
      <c r="P93" s="693" t="str">
        <f>"Credits achieved: "&amp;Ene_d_user</f>
        <v>Credits achieved: 0</v>
      </c>
      <c r="Q93" s="586"/>
      <c r="R93" s="587"/>
      <c r="S93" s="585"/>
      <c r="T93" s="268"/>
      <c r="U93" s="326"/>
      <c r="V93" s="102">
        <f>VLOOKUP(D93,Poeng!$B$10:$BC$252,Poeng!AG$1,FALSE)</f>
        <v>0</v>
      </c>
      <c r="W93" s="693" t="str">
        <f>"Credits achieved: "&amp;Ene_c_user</f>
        <v>Credits achieved: 0</v>
      </c>
      <c r="X93" s="325"/>
      <c r="Y93" s="111"/>
      <c r="Z93" s="585"/>
      <c r="AA93" s="108"/>
      <c r="AB93" s="496"/>
      <c r="AC93" s="17">
        <f t="shared" si="12"/>
        <v>1</v>
      </c>
      <c r="AD93" s="230">
        <v>0</v>
      </c>
      <c r="AE93" s="230">
        <v>0</v>
      </c>
      <c r="AF93" s="230">
        <v>0</v>
      </c>
      <c r="AI93" s="56"/>
      <c r="AJ93" s="522" t="s">
        <v>372</v>
      </c>
      <c r="AK93" s="56"/>
      <c r="AL93" s="56"/>
      <c r="AM93" s="56"/>
      <c r="AN93" s="56"/>
      <c r="AO93" s="56"/>
      <c r="AP93" s="56"/>
      <c r="AS93" s="17" t="str">
        <f t="shared" si="3"/>
        <v>N/A</v>
      </c>
      <c r="AT93" s="17" t="str">
        <f t="shared" si="1"/>
        <v>N/A</v>
      </c>
      <c r="AU93" s="17" t="str">
        <f t="shared" si="2"/>
        <v>N/A</v>
      </c>
      <c r="AV93" s="17"/>
      <c r="AW93" s="17"/>
      <c r="AX93" s="17"/>
      <c r="AZ93" s="496"/>
    </row>
    <row r="94" spans="1:52">
      <c r="A94" s="830">
        <v>85</v>
      </c>
      <c r="B94" s="831" t="s">
        <v>332</v>
      </c>
      <c r="C94" s="271"/>
      <c r="D94" s="653"/>
      <c r="E94" s="270"/>
      <c r="F94" s="271"/>
      <c r="G94" s="272"/>
      <c r="H94" s="271"/>
      <c r="I94" s="271"/>
      <c r="J94" s="273"/>
      <c r="K94" s="272"/>
      <c r="L94" s="588"/>
      <c r="M94" s="648"/>
      <c r="N94" s="274"/>
      <c r="O94" s="274"/>
      <c r="P94" s="588"/>
      <c r="Q94" s="588"/>
      <c r="R94" s="589"/>
      <c r="S94" s="588"/>
      <c r="T94" s="268"/>
      <c r="U94" s="274"/>
      <c r="V94" s="274"/>
      <c r="W94" s="588"/>
      <c r="X94" s="273"/>
      <c r="Y94" s="274"/>
      <c r="Z94" s="588"/>
      <c r="AA94" s="108"/>
      <c r="AB94" s="273"/>
      <c r="AC94" s="17">
        <f t="shared" si="12"/>
        <v>1</v>
      </c>
      <c r="AD94" s="231">
        <v>0</v>
      </c>
      <c r="AE94" s="231">
        <v>0</v>
      </c>
      <c r="AF94" s="231">
        <v>0</v>
      </c>
      <c r="AI94" s="56"/>
      <c r="AJ94" s="522"/>
      <c r="AK94" s="56"/>
      <c r="AL94" s="56"/>
      <c r="AM94" s="56"/>
      <c r="AN94" s="56"/>
      <c r="AO94" s="56"/>
      <c r="AP94" s="56"/>
      <c r="AS94" s="17" t="str">
        <f t="shared" ref="AS94:AS162" si="13">IF($AJ$4=ais_nei,AIS_NA,IF(AK94="",AIS_NA,AK94))</f>
        <v>N/A</v>
      </c>
      <c r="AT94" s="17" t="str">
        <f t="shared" ref="AT94:AT162" si="14">IF($AJ$4=ais_nei,AIS_NA,IF(AL94="",AIS_NA,AL94))</f>
        <v>N/A</v>
      </c>
      <c r="AU94" s="17" t="str">
        <f t="shared" ref="AU94:AV162" si="15">IF($AJ$4=ais_nei,AIS_NA,IF(AM94="",AIS_NA,AM94))</f>
        <v>N/A</v>
      </c>
      <c r="AV94" s="17"/>
      <c r="AW94" s="17"/>
      <c r="AX94" s="17"/>
      <c r="AZ94" s="273"/>
    </row>
    <row r="95" spans="1:52" ht="18.75">
      <c r="A95" s="830">
        <v>86</v>
      </c>
      <c r="B95" s="831" t="s">
        <v>373</v>
      </c>
      <c r="C95" s="837"/>
      <c r="D95" s="653"/>
      <c r="E95" s="275" t="s">
        <v>374</v>
      </c>
      <c r="F95" s="264"/>
      <c r="G95" s="265"/>
      <c r="H95" s="284"/>
      <c r="I95" s="264"/>
      <c r="J95" s="276"/>
      <c r="K95" s="277"/>
      <c r="L95" s="591"/>
      <c r="M95" s="648"/>
      <c r="N95" s="287"/>
      <c r="O95" s="280"/>
      <c r="P95" s="581"/>
      <c r="Q95" s="592"/>
      <c r="R95" s="593"/>
      <c r="S95" s="594"/>
      <c r="T95" s="268"/>
      <c r="U95" s="287"/>
      <c r="V95" s="286"/>
      <c r="W95" s="581"/>
      <c r="X95" s="276"/>
      <c r="Y95" s="286"/>
      <c r="Z95" s="591"/>
      <c r="AA95" s="108"/>
      <c r="AB95" s="285"/>
      <c r="AC95" s="17">
        <f t="shared" si="12"/>
        <v>1</v>
      </c>
      <c r="AD95" s="229">
        <v>0</v>
      </c>
      <c r="AE95" s="229">
        <v>0</v>
      </c>
      <c r="AF95" s="229">
        <v>0</v>
      </c>
      <c r="AI95" s="56"/>
      <c r="AJ95" s="522" t="s">
        <v>374</v>
      </c>
      <c r="AK95" s="56"/>
      <c r="AL95" s="56"/>
      <c r="AM95" s="56"/>
      <c r="AN95" s="56"/>
      <c r="AO95" s="56"/>
      <c r="AP95" s="56"/>
      <c r="AS95" s="17" t="str">
        <f t="shared" si="13"/>
        <v>N/A</v>
      </c>
      <c r="AT95" s="17" t="str">
        <f t="shared" si="14"/>
        <v>N/A</v>
      </c>
      <c r="AU95" s="17" t="str">
        <f t="shared" si="15"/>
        <v>N/A</v>
      </c>
      <c r="AV95" s="17"/>
      <c r="AW95" s="17"/>
      <c r="AX95" s="17"/>
      <c r="AZ95" s="285"/>
    </row>
    <row r="96" spans="1:52">
      <c r="A96" s="830">
        <v>87</v>
      </c>
      <c r="B96" s="831" t="s">
        <v>373</v>
      </c>
      <c r="C96" s="739" t="s">
        <v>375</v>
      </c>
      <c r="D96" s="653" t="s">
        <v>375</v>
      </c>
      <c r="E96" s="686" t="str">
        <f>VLOOKUP(D96,Poeng!$B$10:$R$252,Poeng!E$1,FALSE)</f>
        <v>Tra 01 Transport assessment and travel plan</v>
      </c>
      <c r="F96" s="691">
        <f>VLOOKUP(D96,Poeng!$B$10:$AB$252,Poeng!AB$1,FALSE)</f>
        <v>3</v>
      </c>
      <c r="G96" s="783"/>
      <c r="H96" s="692" t="str">
        <f>VLOOKUP(D96,Poeng!$B$10:$AI$252,Poeng!AI$1,FALSE)&amp;" c. "&amp;ROUND(VLOOKUP(D96,Poeng!$B$10:$AE$252,Poeng!AE$1,FALSE)*100,1)&amp;" %"</f>
        <v>0 c. 0 %</v>
      </c>
      <c r="I96" s="738" t="str">
        <f>VLOOKUP(D96,Poeng!$B$10:$BE$252,Poeng!BE$1,FALSE)</f>
        <v>N/A</v>
      </c>
      <c r="J96" s="700"/>
      <c r="K96" s="701"/>
      <c r="L96" s="702"/>
      <c r="M96" s="648"/>
      <c r="N96" s="784"/>
      <c r="O96" s="846" t="str">
        <f>VLOOKUP(D96,Poeng!$B$10:$BC$252,Poeng!AJ$1,FALSE)&amp;" c. "&amp;ROUND(VLOOKUP(D96,Poeng!$B$10:$BC$252,Poeng!AF$1,FALSE)*100,1)&amp;" %"</f>
        <v>0 c. 0 %</v>
      </c>
      <c r="P96" s="99" t="str">
        <f>VLOOKUP(D96,Poeng!$B$10:$BH$252,Poeng!BH$1,FALSE)</f>
        <v>N/A</v>
      </c>
      <c r="Q96" s="583"/>
      <c r="R96" s="584"/>
      <c r="S96" s="577"/>
      <c r="T96" s="268"/>
      <c r="U96" s="784"/>
      <c r="V96" s="703" t="str">
        <f>VLOOKUP(D96,Poeng!$B$10:$BC$252,Poeng!AK$1,FALSE)&amp;" c. "&amp;ROUND(VLOOKUP(D96,Poeng!$B$10:$BC$252,Poeng!AG$1,FALSE)*100,1)&amp;" %"</f>
        <v>0 c. 0 %</v>
      </c>
      <c r="W96" s="99" t="str">
        <f>VLOOKUP(D96,Poeng!$B$10:$BK$252,Poeng!BK$1,FALSE)</f>
        <v>N/A</v>
      </c>
      <c r="X96" s="67"/>
      <c r="Y96" s="66"/>
      <c r="Z96" s="577"/>
      <c r="AA96" s="108"/>
      <c r="AB96" s="495" t="s">
        <v>216</v>
      </c>
      <c r="AC96" s="17">
        <f t="shared" si="12"/>
        <v>1</v>
      </c>
      <c r="AD96" s="1" t="e">
        <f>VLOOKUP(K96,'Assessment Details'!$O$45:$P$48,2,FALSE)</f>
        <v>#N/A</v>
      </c>
      <c r="AE96" s="1" t="e">
        <f>VLOOKUP(R96,'Assessment Details'!$O$45:$P$48,2,FALSE)</f>
        <v>#N/A</v>
      </c>
      <c r="AF96" s="1" t="e">
        <f>VLOOKUP(Y96,'Assessment Details'!$O$45:$P$48,2,FALSE)</f>
        <v>#N/A</v>
      </c>
      <c r="AI96" s="56"/>
      <c r="AJ96" s="522" t="s">
        <v>376</v>
      </c>
      <c r="AK96" s="56"/>
      <c r="AL96" s="56"/>
      <c r="AM96" s="56"/>
      <c r="AN96" s="56"/>
      <c r="AO96" s="56"/>
      <c r="AP96" s="56"/>
      <c r="AS96" s="17" t="str">
        <f t="shared" si="13"/>
        <v>N/A</v>
      </c>
      <c r="AT96" s="17" t="str">
        <f t="shared" si="14"/>
        <v>N/A</v>
      </c>
      <c r="AU96" s="17" t="str">
        <f t="shared" si="15"/>
        <v>N/A</v>
      </c>
      <c r="AV96" s="17"/>
      <c r="AW96" s="17"/>
      <c r="AX96" s="17"/>
      <c r="AZ96" s="495"/>
    </row>
    <row r="97" spans="1:52">
      <c r="A97" s="830">
        <v>88</v>
      </c>
      <c r="B97" s="831" t="s">
        <v>373</v>
      </c>
      <c r="C97" s="100" t="str">
        <f t="shared" si="7"/>
        <v>Tra 01</v>
      </c>
      <c r="D97" s="14" t="s">
        <v>377</v>
      </c>
      <c r="E97" s="687" t="str">
        <f>VLOOKUP(D97,Poeng!$B$10:$R$252,Poeng!E$1,FALSE)</f>
        <v xml:space="preserve">Transport assessment and travel plan </v>
      </c>
      <c r="F97" s="98">
        <f>VLOOKUP(D97,Poeng!$B$10:$AB$252,Poeng!AB$1,FALSE)</f>
        <v>2</v>
      </c>
      <c r="G97" s="29"/>
      <c r="H97" s="99">
        <f>VLOOKUP(D97,Poeng!$B$10:$AE$252,Poeng!AE$1,FALSE)</f>
        <v>0</v>
      </c>
      <c r="I97" s="100" t="str">
        <f>VLOOKUP(D97,Poeng!$B$10:$BE$252,Poeng!BE$1,FALSE)</f>
        <v>N/A</v>
      </c>
      <c r="J97" s="66"/>
      <c r="K97" s="233"/>
      <c r="L97" s="633"/>
      <c r="M97" s="648"/>
      <c r="N97" s="69"/>
      <c r="O97" s="99">
        <f>VLOOKUP(D97,Poeng!$B$10:$BC$252,Poeng!AF$1,FALSE)</f>
        <v>0</v>
      </c>
      <c r="P97" s="99" t="str">
        <f>VLOOKUP(D97,Poeng!$B$10:$BH$252,Poeng!BH$1,FALSE)</f>
        <v>N/A</v>
      </c>
      <c r="Q97" s="583"/>
      <c r="R97" s="584"/>
      <c r="S97" s="577"/>
      <c r="T97" s="268"/>
      <c r="U97" s="69"/>
      <c r="V97" s="99">
        <f>VLOOKUP(D97,Poeng!$B$10:$BC$252,Poeng!AG$1,FALSE)</f>
        <v>0</v>
      </c>
      <c r="W97" s="99" t="str">
        <f>VLOOKUP(D97,Poeng!$B$10:$BK$252,Poeng!BK$1,FALSE)</f>
        <v>N/A</v>
      </c>
      <c r="X97" s="67"/>
      <c r="Y97" s="66"/>
      <c r="Z97" s="577"/>
      <c r="AC97" s="17">
        <f t="shared" si="12"/>
        <v>1</v>
      </c>
      <c r="AD97" s="1" t="e">
        <f>VLOOKUP(K97,'Assessment Details'!$O$45:$P$48,2,FALSE)</f>
        <v>#N/A</v>
      </c>
      <c r="AE97" s="1" t="e">
        <f>VLOOKUP(R97,'Assessment Details'!$O$45:$P$48,2,FALSE)</f>
        <v>#N/A</v>
      </c>
      <c r="AF97" s="1" t="e">
        <f>VLOOKUP(Y97,'Assessment Details'!$O$45:$P$48,2,FALSE)</f>
        <v>#N/A</v>
      </c>
    </row>
    <row r="98" spans="1:52">
      <c r="A98" s="830">
        <v>89</v>
      </c>
      <c r="B98" s="831" t="s">
        <v>373</v>
      </c>
      <c r="C98" s="100" t="str">
        <f t="shared" si="7"/>
        <v>Tra 01</v>
      </c>
      <c r="D98" s="14" t="s">
        <v>378</v>
      </c>
      <c r="E98" s="687" t="str">
        <f>VLOOKUP(D98,Poeng!$B$10:$R$252,Poeng!E$1,FALSE)</f>
        <v xml:space="preserve">Travel plan emissions evaluation </v>
      </c>
      <c r="F98" s="98">
        <f>VLOOKUP(D98,Poeng!$B$10:$AB$252,Poeng!AB$1,FALSE)</f>
        <v>1</v>
      </c>
      <c r="G98" s="29"/>
      <c r="H98" s="99">
        <f>VLOOKUP(D98,Poeng!$B$10:$AE$252,Poeng!AE$1,FALSE)</f>
        <v>0</v>
      </c>
      <c r="I98" s="100" t="str">
        <f>VLOOKUP(D98,Poeng!$B$10:$BE$252,Poeng!BE$1,FALSE)</f>
        <v>Very Good</v>
      </c>
      <c r="J98" s="66"/>
      <c r="K98" s="233"/>
      <c r="L98" s="633"/>
      <c r="M98" s="648"/>
      <c r="N98" s="69"/>
      <c r="O98" s="99">
        <f>VLOOKUP(D98,Poeng!$B$10:$BC$252,Poeng!AF$1,FALSE)</f>
        <v>0</v>
      </c>
      <c r="P98" s="99" t="str">
        <f>VLOOKUP(D98,Poeng!$B$10:$BH$252,Poeng!BH$1,FALSE)</f>
        <v>Very Good</v>
      </c>
      <c r="Q98" s="583"/>
      <c r="R98" s="584"/>
      <c r="S98" s="577"/>
      <c r="T98" s="268"/>
      <c r="U98" s="69"/>
      <c r="V98" s="99">
        <f>VLOOKUP(D98,Poeng!$B$10:$BC$252,Poeng!AG$1,FALSE)</f>
        <v>0</v>
      </c>
      <c r="W98" s="99" t="str">
        <f>VLOOKUP(D98,Poeng!$B$10:$BK$252,Poeng!BK$1,FALSE)</f>
        <v>Very Good</v>
      </c>
      <c r="X98" s="67"/>
      <c r="Y98" s="66"/>
      <c r="Z98" s="577"/>
      <c r="AC98" s="17">
        <f t="shared" si="12"/>
        <v>1</v>
      </c>
      <c r="AD98" s="1" t="e">
        <f>VLOOKUP(K98,'Assessment Details'!$O$45:$P$48,2,FALSE)</f>
        <v>#N/A</v>
      </c>
      <c r="AE98" s="1" t="e">
        <f>VLOOKUP(R98,'Assessment Details'!$O$45:$P$48,2,FALSE)</f>
        <v>#N/A</v>
      </c>
      <c r="AF98" s="1" t="e">
        <f>VLOOKUP(Y98,'Assessment Details'!$O$45:$P$48,2,FALSE)</f>
        <v>#N/A</v>
      </c>
    </row>
    <row r="99" spans="1:52">
      <c r="A99" s="830">
        <v>90</v>
      </c>
      <c r="B99" s="831" t="s">
        <v>373</v>
      </c>
      <c r="C99" s="739" t="s">
        <v>379</v>
      </c>
      <c r="D99" s="653" t="s">
        <v>379</v>
      </c>
      <c r="E99" s="686" t="str">
        <f>VLOOKUP(D99,Poeng!$B$10:$R$252,Poeng!E$1,FALSE)</f>
        <v>Tra 02 Sustainable transport measures</v>
      </c>
      <c r="F99" s="691">
        <f>VLOOKUP(D99,Poeng!$B$10:$AB$252,Poeng!AB$1,FALSE)</f>
        <v>10</v>
      </c>
      <c r="G99" s="784"/>
      <c r="H99" s="692" t="str">
        <f>VLOOKUP(D99,Poeng!$B$10:$AI$252,Poeng!AI$1,FALSE)&amp;" c. "&amp;ROUND(VLOOKUP(D99,Poeng!$B$10:$AE$252,Poeng!AE$1,FALSE)*100,1)&amp;" %"</f>
        <v>0 c. 0 %</v>
      </c>
      <c r="I99" s="739" t="str">
        <f>VLOOKUP(D99,Poeng!$B$10:$BE$252,Poeng!BE$1,FALSE)</f>
        <v>N/A</v>
      </c>
      <c r="J99" s="66"/>
      <c r="K99" s="233"/>
      <c r="L99" s="633"/>
      <c r="M99" s="648"/>
      <c r="N99" s="784"/>
      <c r="O99" s="703" t="str">
        <f>VLOOKUP(D99,Poeng!$B$10:$BC$252,Poeng!AJ$1,FALSE)&amp;" c. "&amp;ROUND(VLOOKUP(D99,Poeng!$B$10:$BC$252,Poeng!AF$1,FALSE)*100,1)&amp;" %"</f>
        <v>0 c. 0 %</v>
      </c>
      <c r="P99" s="99" t="str">
        <f>VLOOKUP(D99,Poeng!$B$10:$BH$252,Poeng!BH$1,FALSE)</f>
        <v>N/A</v>
      </c>
      <c r="Q99" s="583"/>
      <c r="R99" s="584"/>
      <c r="S99" s="577"/>
      <c r="T99" s="268"/>
      <c r="U99" s="784"/>
      <c r="V99" s="703" t="str">
        <f>VLOOKUP(D99,Poeng!$B$10:$BC$252,Poeng!AK$1,FALSE)&amp;" c. "&amp;ROUND(VLOOKUP(D99,Poeng!$B$10:$BC$252,Poeng!AG$1,FALSE)*100,1)&amp;" %"</f>
        <v>0 c. 0 %</v>
      </c>
      <c r="W99" s="99" t="str">
        <f>VLOOKUP(D99,Poeng!$B$10:$BK$252,Poeng!BK$1,FALSE)</f>
        <v>N/A</v>
      </c>
      <c r="X99" s="67"/>
      <c r="Y99" s="66"/>
      <c r="Z99" s="577"/>
      <c r="AA99" s="108"/>
      <c r="AB99" s="495" t="s">
        <v>216</v>
      </c>
      <c r="AC99" s="17">
        <f t="shared" si="12"/>
        <v>1</v>
      </c>
      <c r="AD99" s="1" t="e">
        <f>VLOOKUP(K99,'Assessment Details'!$O$45:$P$48,2,FALSE)</f>
        <v>#N/A</v>
      </c>
      <c r="AE99" s="1" t="e">
        <f>VLOOKUP(R99,'Assessment Details'!$O$45:$P$48,2,FALSE)</f>
        <v>#N/A</v>
      </c>
      <c r="AF99" s="1" t="e">
        <f>VLOOKUP(Y99,'Assessment Details'!$O$45:$P$48,2,FALSE)</f>
        <v>#N/A</v>
      </c>
      <c r="AI99" s="56"/>
      <c r="AJ99" s="522" t="s">
        <v>380</v>
      </c>
      <c r="AK99" s="56"/>
      <c r="AL99" s="56"/>
      <c r="AM99" s="56"/>
      <c r="AN99" s="56"/>
      <c r="AO99" s="56"/>
      <c r="AP99" s="56"/>
      <c r="AS99" s="17" t="str">
        <f t="shared" si="13"/>
        <v>N/A</v>
      </c>
      <c r="AT99" s="17" t="str">
        <f t="shared" si="14"/>
        <v>N/A</v>
      </c>
      <c r="AU99" s="17" t="str">
        <f t="shared" si="15"/>
        <v>N/A</v>
      </c>
      <c r="AV99" s="17"/>
      <c r="AW99" s="17"/>
      <c r="AX99" s="17"/>
      <c r="AZ99" s="495"/>
    </row>
    <row r="100" spans="1:52">
      <c r="A100" s="830">
        <v>91</v>
      </c>
      <c r="B100" s="831" t="s">
        <v>373</v>
      </c>
      <c r="C100" s="100" t="str">
        <f t="shared" si="7"/>
        <v>Tra 02</v>
      </c>
      <c r="D100" s="653" t="s">
        <v>381</v>
      </c>
      <c r="E100" s="687" t="str">
        <f>VLOOKUP(D100,Poeng!$B$10:$R$252,Poeng!E$1,FALSE)</f>
        <v>Pre-requisite: transport assessment and travel plan</v>
      </c>
      <c r="F100" s="98" t="str">
        <f>VLOOKUP(D100,Poeng!$B$10:$AB$252,Poeng!AB$1,FALSE)</f>
        <v>Yes/No</v>
      </c>
      <c r="G100" s="29"/>
      <c r="H100" s="99" t="str">
        <f>VLOOKUP(D100,Poeng!$B$10:$AE$252,Poeng!AE$1,FALSE)</f>
        <v>-</v>
      </c>
      <c r="I100" s="100" t="str">
        <f>VLOOKUP(D100,Poeng!$B$10:$BE$252,Poeng!BE$1,FALSE)</f>
        <v>N/A</v>
      </c>
      <c r="J100" s="66"/>
      <c r="K100" s="233"/>
      <c r="L100" s="633"/>
      <c r="M100" s="648"/>
      <c r="N100" s="69"/>
      <c r="O100" s="99" t="str">
        <f>VLOOKUP(D100,Poeng!$B$10:$BC$252,Poeng!AF$1,FALSE)</f>
        <v>-</v>
      </c>
      <c r="P100" s="99" t="str">
        <f>VLOOKUP(D100,Poeng!$B$10:$BH$252,Poeng!BH$1,FALSE)</f>
        <v>N/A</v>
      </c>
      <c r="Q100" s="583"/>
      <c r="R100" s="584"/>
      <c r="S100" s="577"/>
      <c r="T100" s="268"/>
      <c r="U100" s="69"/>
      <c r="V100" s="99" t="str">
        <f>VLOOKUP(D100,Poeng!$B$10:$BC$252,Poeng!AG$1,FALSE)</f>
        <v>-</v>
      </c>
      <c r="W100" s="99" t="str">
        <f>VLOOKUP(D100,Poeng!$B$10:$BK$252,Poeng!BK$1,FALSE)</f>
        <v>N/A</v>
      </c>
      <c r="X100" s="67"/>
      <c r="Y100" s="66"/>
      <c r="Z100" s="577"/>
      <c r="AA100" s="108"/>
      <c r="AB100" s="690"/>
      <c r="AC100" s="17">
        <f t="shared" si="12"/>
        <v>1</v>
      </c>
      <c r="AD100" s="1" t="e">
        <f>VLOOKUP(K100,'Assessment Details'!$O$45:$P$48,2,FALSE)</f>
        <v>#N/A</v>
      </c>
      <c r="AE100" s="1" t="e">
        <f>VLOOKUP(R100,'Assessment Details'!$O$45:$P$48,2,FALSE)</f>
        <v>#N/A</v>
      </c>
      <c r="AF100" s="1" t="e">
        <f>VLOOKUP(Y100,'Assessment Details'!$O$45:$P$48,2,FALSE)</f>
        <v>#N/A</v>
      </c>
      <c r="AS100" s="17"/>
      <c r="AT100" s="17"/>
      <c r="AU100" s="17"/>
      <c r="AV100" s="17"/>
      <c r="AW100" s="17"/>
      <c r="AX100" s="17"/>
      <c r="AZ100" s="690"/>
    </row>
    <row r="101" spans="1:52">
      <c r="A101" s="830">
        <v>92</v>
      </c>
      <c r="B101" s="831" t="s">
        <v>373</v>
      </c>
      <c r="C101" s="100" t="str">
        <f t="shared" si="7"/>
        <v>Tra 02</v>
      </c>
      <c r="D101" s="653" t="s">
        <v>382</v>
      </c>
      <c r="E101" s="687" t="str">
        <f>VLOOKUP(D101,Poeng!$B$10:$R$252,Poeng!E$1,FALSE)</f>
        <v xml:space="preserve">Transport options implementation </v>
      </c>
      <c r="F101" s="98">
        <f>VLOOKUP(D101,Poeng!$B$10:$AB$252,Poeng!AB$1,FALSE)</f>
        <v>10</v>
      </c>
      <c r="G101" s="29"/>
      <c r="H101" s="99">
        <f>VLOOKUP(D101,Poeng!$B$10:$AE$252,Poeng!AE$1,FALSE)</f>
        <v>0</v>
      </c>
      <c r="I101" s="100" t="str">
        <f>VLOOKUP(D101,Poeng!$B$10:$BE$252,Poeng!BE$1,FALSE)</f>
        <v>N/A</v>
      </c>
      <c r="J101" s="66"/>
      <c r="K101" s="233"/>
      <c r="L101" s="633"/>
      <c r="M101" s="648"/>
      <c r="N101" s="69"/>
      <c r="O101" s="99">
        <f>VLOOKUP(D101,Poeng!$B$10:$BC$252,Poeng!AF$1,FALSE)</f>
        <v>0</v>
      </c>
      <c r="P101" s="99" t="str">
        <f>VLOOKUP(D101,Poeng!$B$10:$BH$252,Poeng!BH$1,FALSE)</f>
        <v>N/A</v>
      </c>
      <c r="Q101" s="583"/>
      <c r="R101" s="584"/>
      <c r="S101" s="633"/>
      <c r="T101" s="268"/>
      <c r="U101" s="69"/>
      <c r="V101" s="99">
        <f>VLOOKUP(D101,Poeng!$B$10:$BC$252,Poeng!AG$1,FALSE)</f>
        <v>0</v>
      </c>
      <c r="W101" s="99" t="str">
        <f>VLOOKUP(D101,Poeng!$B$10:$BK$252,Poeng!BK$1,FALSE)</f>
        <v>N/A</v>
      </c>
      <c r="X101" s="67"/>
      <c r="Y101" s="66"/>
      <c r="Z101" s="633"/>
      <c r="AA101" s="108"/>
      <c r="AB101" s="559"/>
      <c r="AC101" s="17">
        <f t="shared" si="12"/>
        <v>1</v>
      </c>
      <c r="AD101" s="1" t="e">
        <f>VLOOKUP(K101,'Assessment Details'!$O$45:$P$48,2,FALSE)</f>
        <v>#N/A</v>
      </c>
      <c r="AE101" s="1" t="e">
        <f>VLOOKUP(R101,'Assessment Details'!$O$45:$P$48,2,FALSE)</f>
        <v>#N/A</v>
      </c>
      <c r="AF101" s="1" t="e">
        <f>VLOOKUP(Y101,'Assessment Details'!$O$45:$P$48,2,FALSE)</f>
        <v>#N/A</v>
      </c>
      <c r="AI101" s="56"/>
      <c r="AJ101" s="522"/>
      <c r="AK101" s="56"/>
      <c r="AL101" s="56"/>
      <c r="AM101" s="56"/>
      <c r="AN101" s="56"/>
      <c r="AO101" s="56"/>
      <c r="AP101" s="56"/>
      <c r="AS101" s="17"/>
      <c r="AT101" s="17"/>
      <c r="AU101" s="17"/>
      <c r="AV101" s="17"/>
      <c r="AW101" s="17"/>
      <c r="AX101" s="17"/>
      <c r="AZ101" s="559"/>
    </row>
    <row r="102" spans="1:52" ht="15.75" thickBot="1">
      <c r="A102" s="830">
        <v>93</v>
      </c>
      <c r="B102" s="831" t="s">
        <v>373</v>
      </c>
      <c r="C102" s="836"/>
      <c r="D102" s="653" t="s">
        <v>383</v>
      </c>
      <c r="E102" s="269" t="s">
        <v>384</v>
      </c>
      <c r="F102" s="101">
        <f>Tra_Credits</f>
        <v>13</v>
      </c>
      <c r="G102" s="106"/>
      <c r="H102" s="102">
        <f>Tra_cont_tot</f>
        <v>0</v>
      </c>
      <c r="I102" s="693" t="str">
        <f>"Credits achieved: "&amp;Tra_tot_user</f>
        <v>Credits achieved: 0</v>
      </c>
      <c r="J102" s="109"/>
      <c r="K102" s="234"/>
      <c r="L102" s="585"/>
      <c r="M102" s="648"/>
      <c r="N102" s="326"/>
      <c r="O102" s="102">
        <f>VLOOKUP(D102,Poeng!$B$10:$BC$252,Poeng!AF$1,FALSE)</f>
        <v>0</v>
      </c>
      <c r="P102" s="693" t="str">
        <f>"Credits achieved: "&amp;Tra_d_user</f>
        <v>Credits achieved: 0</v>
      </c>
      <c r="Q102" s="586"/>
      <c r="R102" s="587"/>
      <c r="S102" s="585"/>
      <c r="T102" s="268"/>
      <c r="U102" s="326"/>
      <c r="V102" s="102">
        <f>VLOOKUP(D102,Poeng!$B$10:$BC$252,Poeng!AG$1,FALSE)</f>
        <v>0</v>
      </c>
      <c r="W102" s="693" t="str">
        <f>"Credits achieved: "&amp;Tra_c_user</f>
        <v>Credits achieved: 0</v>
      </c>
      <c r="X102" s="325"/>
      <c r="Y102" s="111"/>
      <c r="Z102" s="585"/>
      <c r="AA102" s="108"/>
      <c r="AB102" s="496"/>
      <c r="AC102" s="17">
        <f t="shared" si="12"/>
        <v>1</v>
      </c>
      <c r="AD102" s="230">
        <v>0</v>
      </c>
      <c r="AE102" s="230">
        <v>0</v>
      </c>
      <c r="AF102" s="230">
        <v>0</v>
      </c>
      <c r="AI102" s="56"/>
      <c r="AJ102" s="522" t="s">
        <v>384</v>
      </c>
      <c r="AK102" s="56"/>
      <c r="AL102" s="56"/>
      <c r="AM102" s="56"/>
      <c r="AN102" s="56"/>
      <c r="AO102" s="56"/>
      <c r="AP102" s="56"/>
      <c r="AS102" s="17" t="str">
        <f t="shared" si="13"/>
        <v>N/A</v>
      </c>
      <c r="AT102" s="17" t="str">
        <f t="shared" si="14"/>
        <v>N/A</v>
      </c>
      <c r="AU102" s="17" t="str">
        <f t="shared" si="15"/>
        <v>N/A</v>
      </c>
      <c r="AV102" s="17"/>
      <c r="AW102" s="17"/>
      <c r="AX102" s="17"/>
      <c r="AZ102" s="496"/>
    </row>
    <row r="103" spans="1:52">
      <c r="A103" s="830">
        <v>94</v>
      </c>
      <c r="B103" s="831" t="s">
        <v>373</v>
      </c>
      <c r="C103" s="271"/>
      <c r="D103" s="653"/>
      <c r="E103" s="270"/>
      <c r="F103" s="271"/>
      <c r="G103" s="272"/>
      <c r="H103" s="271"/>
      <c r="I103" s="780"/>
      <c r="J103" s="273"/>
      <c r="K103" s="272"/>
      <c r="L103" s="588"/>
      <c r="M103" s="648"/>
      <c r="N103" s="274"/>
      <c r="O103" s="274"/>
      <c r="P103" s="588"/>
      <c r="Q103" s="588"/>
      <c r="R103" s="589"/>
      <c r="S103" s="588"/>
      <c r="T103" s="268"/>
      <c r="U103" s="274"/>
      <c r="V103" s="274"/>
      <c r="W103" s="588"/>
      <c r="X103" s="273"/>
      <c r="Y103" s="274"/>
      <c r="Z103" s="588"/>
      <c r="AA103" s="108"/>
      <c r="AB103" s="273"/>
      <c r="AC103" s="17">
        <f t="shared" si="12"/>
        <v>1</v>
      </c>
      <c r="AD103" s="231">
        <v>0</v>
      </c>
      <c r="AE103" s="231">
        <v>0</v>
      </c>
      <c r="AF103" s="231">
        <v>0</v>
      </c>
      <c r="AI103" s="56"/>
      <c r="AJ103" s="522"/>
      <c r="AK103" s="56"/>
      <c r="AL103" s="56"/>
      <c r="AM103" s="56"/>
      <c r="AN103" s="56"/>
      <c r="AO103" s="56"/>
      <c r="AP103" s="56"/>
      <c r="AS103" s="17" t="str">
        <f t="shared" si="13"/>
        <v>N/A</v>
      </c>
      <c r="AT103" s="17" t="str">
        <f t="shared" si="14"/>
        <v>N/A</v>
      </c>
      <c r="AU103" s="17" t="str">
        <f t="shared" si="15"/>
        <v>N/A</v>
      </c>
      <c r="AV103" s="17"/>
      <c r="AW103" s="17"/>
      <c r="AX103" s="17"/>
      <c r="AZ103" s="273"/>
    </row>
    <row r="104" spans="1:52" ht="18.75">
      <c r="A104" s="830">
        <v>95</v>
      </c>
      <c r="B104" s="829" t="s">
        <v>385</v>
      </c>
      <c r="C104" s="837"/>
      <c r="D104" s="652"/>
      <c r="E104" s="275" t="s">
        <v>386</v>
      </c>
      <c r="F104" s="264"/>
      <c r="G104" s="265"/>
      <c r="H104" s="284"/>
      <c r="I104" s="264"/>
      <c r="J104" s="276"/>
      <c r="K104" s="277"/>
      <c r="L104" s="591"/>
      <c r="M104" s="648"/>
      <c r="N104" s="287"/>
      <c r="O104" s="280"/>
      <c r="P104" s="581"/>
      <c r="Q104" s="592"/>
      <c r="R104" s="593"/>
      <c r="S104" s="594"/>
      <c r="T104" s="268"/>
      <c r="U104" s="287"/>
      <c r="V104" s="286"/>
      <c r="W104" s="581"/>
      <c r="X104" s="276"/>
      <c r="Y104" s="286"/>
      <c r="Z104" s="591"/>
      <c r="AA104" s="108"/>
      <c r="AB104" s="285"/>
      <c r="AC104" s="17">
        <f t="shared" si="12"/>
        <v>1</v>
      </c>
      <c r="AD104" s="229">
        <v>0</v>
      </c>
      <c r="AE104" s="229">
        <v>0</v>
      </c>
      <c r="AF104" s="229">
        <v>0</v>
      </c>
      <c r="AI104" s="56"/>
      <c r="AJ104" s="522" t="s">
        <v>386</v>
      </c>
      <c r="AK104" s="56"/>
      <c r="AL104" s="56"/>
      <c r="AM104" s="56"/>
      <c r="AN104" s="56"/>
      <c r="AO104" s="56"/>
      <c r="AP104" s="56"/>
      <c r="AS104" s="17" t="str">
        <f t="shared" si="13"/>
        <v>N/A</v>
      </c>
      <c r="AT104" s="17" t="str">
        <f t="shared" si="14"/>
        <v>N/A</v>
      </c>
      <c r="AU104" s="17" t="str">
        <f t="shared" si="15"/>
        <v>N/A</v>
      </c>
      <c r="AV104" s="17"/>
      <c r="AW104" s="17"/>
      <c r="AX104" s="17"/>
      <c r="AZ104" s="285"/>
    </row>
    <row r="105" spans="1:52">
      <c r="A105" s="830">
        <v>96</v>
      </c>
      <c r="B105" s="829" t="s">
        <v>385</v>
      </c>
      <c r="C105" s="739" t="s">
        <v>387</v>
      </c>
      <c r="D105" s="653" t="s">
        <v>387</v>
      </c>
      <c r="E105" s="686" t="str">
        <f>VLOOKUP(D105,Poeng!$B$10:$R$252,Poeng!E$1,FALSE)</f>
        <v>Wat 01 Water consumption</v>
      </c>
      <c r="F105" s="691">
        <f>VLOOKUP(D105,Poeng!$B$10:$AB$252,Poeng!AB$1,FALSE)</f>
        <v>5</v>
      </c>
      <c r="G105" s="783"/>
      <c r="H105" s="692" t="str">
        <f>VLOOKUP(D105,Poeng!$B$10:$AI$252,Poeng!AI$1,FALSE)&amp;" c. "&amp;ROUND(VLOOKUP(D105,Poeng!$B$10:$AE$252,Poeng!AE$1,FALSE)*100,1)&amp;" %"</f>
        <v>0 c. 0 %</v>
      </c>
      <c r="I105" s="738" t="str">
        <f>VLOOKUP(D105,Poeng!$B$10:$BE$252,Poeng!BE$1,FALSE)</f>
        <v>N/A</v>
      </c>
      <c r="J105" s="700"/>
      <c r="K105" s="701"/>
      <c r="L105" s="702"/>
      <c r="M105" s="648"/>
      <c r="N105" s="784"/>
      <c r="O105" s="846" t="str">
        <f>VLOOKUP(D105,Poeng!$B$10:$BC$252,Poeng!AJ$1,FALSE)&amp;" c. "&amp;ROUND(VLOOKUP(D105,Poeng!$B$10:$BC$252,Poeng!AF$1,FALSE)*100,1)&amp;" %"</f>
        <v>0 c. 0 %</v>
      </c>
      <c r="P105" s="99" t="str">
        <f>VLOOKUP(D105,Poeng!$B$10:$BH$252,Poeng!BH$1,FALSE)</f>
        <v>N/A</v>
      </c>
      <c r="Q105" s="583"/>
      <c r="R105" s="584"/>
      <c r="S105" s="577"/>
      <c r="T105" s="268"/>
      <c r="U105" s="784"/>
      <c r="V105" s="703" t="str">
        <f>VLOOKUP(D105,Poeng!$B$10:$BC$252,Poeng!AK$1,FALSE)&amp;" c. "&amp;ROUND(VLOOKUP(D105,Poeng!$B$10:$BC$252,Poeng!AG$1,FALSE)*100,1)&amp;" %"</f>
        <v>0 c. 0 %</v>
      </c>
      <c r="W105" s="99" t="str">
        <f>VLOOKUP(D105,Poeng!$B$10:$BK$252,Poeng!BK$1,FALSE)</f>
        <v>N/A</v>
      </c>
      <c r="X105" s="67"/>
      <c r="Y105" s="66"/>
      <c r="Z105" s="577"/>
      <c r="AA105" s="108"/>
      <c r="AB105" s="495" t="s">
        <v>127</v>
      </c>
      <c r="AC105" s="17">
        <f t="shared" si="12"/>
        <v>1</v>
      </c>
      <c r="AD105" s="1" t="e">
        <f>VLOOKUP(K105,'Assessment Details'!$O$45:$P$48,2,FALSE)</f>
        <v>#N/A</v>
      </c>
      <c r="AE105" s="1" t="e">
        <f>VLOOKUP(R105,'Assessment Details'!$O$45:$P$48,2,FALSE)</f>
        <v>#N/A</v>
      </c>
      <c r="AF105" s="1" t="e">
        <f>VLOOKUP(Y105,'Assessment Details'!$O$45:$P$48,2,FALSE)</f>
        <v>#N/A</v>
      </c>
      <c r="AI105" s="56"/>
      <c r="AJ105" s="522" t="s">
        <v>388</v>
      </c>
      <c r="AK105" s="501" t="s">
        <v>273</v>
      </c>
      <c r="AL105" s="501" t="s">
        <v>275</v>
      </c>
      <c r="AM105" s="56"/>
      <c r="AN105" s="56"/>
      <c r="AO105" s="56"/>
      <c r="AP105" s="56"/>
      <c r="AR105" s="1" t="s">
        <v>127</v>
      </c>
      <c r="AS105" s="17" t="str">
        <f t="shared" si="13"/>
        <v>N/A</v>
      </c>
      <c r="AT105" s="17" t="str">
        <f t="shared" si="14"/>
        <v>N/A</v>
      </c>
      <c r="AU105" s="17" t="str">
        <f t="shared" si="15"/>
        <v>N/A</v>
      </c>
      <c r="AV105" s="17"/>
      <c r="AW105" s="17"/>
      <c r="AX105" s="17"/>
      <c r="AZ105" s="495"/>
    </row>
    <row r="106" spans="1:52">
      <c r="A106" s="830">
        <v>97</v>
      </c>
      <c r="B106" s="829" t="s">
        <v>385</v>
      </c>
      <c r="C106" s="100" t="str">
        <f>C105</f>
        <v>Wat 01</v>
      </c>
      <c r="D106" s="653" t="s">
        <v>389</v>
      </c>
      <c r="E106" s="687" t="str">
        <f>VLOOKUP(D106,Poeng!$B$10:$R$258,Poeng!E$1,FALSE)</f>
        <v>Water efficient components</v>
      </c>
      <c r="F106" s="98">
        <f>VLOOKUP(D106,Poeng!$B$10:$AB$258,Poeng!AB$1,FALSE)</f>
        <v>5</v>
      </c>
      <c r="G106" s="29"/>
      <c r="H106" s="99">
        <f>VLOOKUP(D106,Poeng!$B$10:$AE$258,Poeng!AE$1,FALSE)</f>
        <v>0</v>
      </c>
      <c r="I106" s="100" t="str">
        <f>VLOOKUP(D106,Poeng!$B$10:$BE$258,Poeng!BE$1,FALSE)</f>
        <v>Very Good</v>
      </c>
      <c r="J106" s="867"/>
      <c r="K106" s="868"/>
      <c r="L106" s="869"/>
      <c r="M106" s="648"/>
      <c r="N106" s="69"/>
      <c r="O106" s="99">
        <f>VLOOKUP(D106,Poeng!$B$10:$BC$258,Poeng!AF$1,FALSE)</f>
        <v>0</v>
      </c>
      <c r="P106" s="99" t="str">
        <f>VLOOKUP(D106,Poeng!$B$10:$BH$258,Poeng!BH$1,FALSE)</f>
        <v>Very Good</v>
      </c>
      <c r="Q106" s="583"/>
      <c r="R106" s="584"/>
      <c r="S106" s="577"/>
      <c r="T106" s="268"/>
      <c r="U106" s="69"/>
      <c r="V106" s="99">
        <f>VLOOKUP(D106,Poeng!$B$10:$BC$258,Poeng!AG$1,FALSE)</f>
        <v>0</v>
      </c>
      <c r="W106" s="99" t="str">
        <f>VLOOKUP(D106,Poeng!$B$10:$BK$258,Poeng!BK$1,FALSE)</f>
        <v>Very Good</v>
      </c>
      <c r="X106" s="67"/>
      <c r="Y106" s="66"/>
      <c r="Z106" s="577"/>
      <c r="AA106" s="108"/>
      <c r="AB106" s="495"/>
      <c r="AC106" s="17">
        <f t="shared" ref="AC106" si="16">IF(F106="",1,IF(F106=0,2,1))</f>
        <v>1</v>
      </c>
      <c r="AD106" s="1" t="e">
        <f>VLOOKUP(K106,'Assessment Details'!$O$45:$P$48,2,FALSE)</f>
        <v>#N/A</v>
      </c>
      <c r="AE106" s="1" t="e">
        <f>VLOOKUP(R106,'Assessment Details'!$O$45:$P$48,2,FALSE)</f>
        <v>#N/A</v>
      </c>
      <c r="AF106" s="1" t="e">
        <f>VLOOKUP(Y106,'Assessment Details'!$O$45:$P$48,2,FALSE)</f>
        <v>#N/A</v>
      </c>
      <c r="AI106" s="56"/>
      <c r="AJ106" s="522"/>
      <c r="AK106" s="501"/>
      <c r="AL106" s="501"/>
      <c r="AM106" s="56"/>
      <c r="AN106" s="56"/>
      <c r="AO106" s="56"/>
      <c r="AP106" s="56"/>
      <c r="AS106" s="17"/>
      <c r="AT106" s="17"/>
      <c r="AU106" s="17"/>
      <c r="AV106" s="17"/>
      <c r="AW106" s="17"/>
      <c r="AX106" s="17"/>
      <c r="AZ106" s="495"/>
    </row>
    <row r="107" spans="1:52">
      <c r="A107" s="830">
        <v>98</v>
      </c>
      <c r="B107" s="829" t="s">
        <v>385</v>
      </c>
      <c r="C107" s="100" t="str">
        <f>C105</f>
        <v>Wat 01</v>
      </c>
      <c r="D107" s="653" t="s">
        <v>390</v>
      </c>
      <c r="E107" s="978" t="str">
        <f>VLOOKUP(D107,Poeng!$B$10:$R$258,Poeng!E$1,FALSE)</f>
        <v>EU taxonomy requirements: criterion 1-3</v>
      </c>
      <c r="F107" s="98" t="str">
        <f>VLOOKUP(D107,Poeng!$B$10:$AB$258,Poeng!AB$1,FALSE)</f>
        <v>Yes/No</v>
      </c>
      <c r="G107" s="29"/>
      <c r="H107" s="99" t="str">
        <f>VLOOKUP(D107,Poeng!$B$10:$AE$258,Poeng!AE$1,FALSE)</f>
        <v>-</v>
      </c>
      <c r="I107" s="100" t="str">
        <f>VLOOKUP(D107,Poeng!$B$10:$BE$258,Poeng!BE$1,FALSE)</f>
        <v>N/A</v>
      </c>
      <c r="J107" s="66"/>
      <c r="K107" s="233"/>
      <c r="L107" s="633"/>
      <c r="M107" s="648"/>
      <c r="N107" s="69"/>
      <c r="O107" s="99" t="str">
        <f>VLOOKUP(D107,Poeng!$B$10:$BC$258,Poeng!AF$1,FALSE)</f>
        <v>-</v>
      </c>
      <c r="P107" s="99" t="str">
        <f>VLOOKUP(D107,Poeng!$B$10:$BH$258,Poeng!BH$1,FALSE)</f>
        <v>N/A</v>
      </c>
      <c r="Q107" s="583"/>
      <c r="R107" s="584"/>
      <c r="S107" s="577"/>
      <c r="T107" s="268"/>
      <c r="U107" s="69"/>
      <c r="V107" s="99" t="str">
        <f>VLOOKUP(D107,Poeng!$B$10:$BC$258,Poeng!AG$1,FALSE)</f>
        <v>-</v>
      </c>
      <c r="W107" s="99" t="str">
        <f>VLOOKUP(D107,Poeng!$B$10:$BK$258,Poeng!BK$1,FALSE)</f>
        <v>N/A</v>
      </c>
      <c r="X107" s="67"/>
      <c r="Y107" s="66"/>
      <c r="Z107" s="633"/>
      <c r="AA107" s="108"/>
      <c r="AB107" s="495"/>
      <c r="AC107" s="17">
        <f t="shared" si="12"/>
        <v>1</v>
      </c>
      <c r="AD107" s="1" t="e">
        <f>VLOOKUP(K107,'Assessment Details'!$O$45:$P$48,2,FALSE)</f>
        <v>#N/A</v>
      </c>
      <c r="AE107" s="1" t="e">
        <f>VLOOKUP(R107,'Assessment Details'!$O$45:$P$48,2,FALSE)</f>
        <v>#N/A</v>
      </c>
      <c r="AF107" s="1" t="e">
        <f>VLOOKUP(Y107,'Assessment Details'!$O$45:$P$48,2,FALSE)</f>
        <v>#N/A</v>
      </c>
      <c r="AI107" s="56"/>
      <c r="AJ107" s="522"/>
      <c r="AK107" s="501"/>
      <c r="AL107" s="501"/>
      <c r="AM107" s="56"/>
      <c r="AN107" s="56"/>
      <c r="AO107" s="56"/>
      <c r="AP107" s="56"/>
      <c r="AS107" s="17"/>
      <c r="AT107" s="17"/>
      <c r="AU107" s="17"/>
      <c r="AV107" s="17"/>
      <c r="AW107" s="17"/>
      <c r="AX107" s="17"/>
      <c r="AZ107" s="495"/>
    </row>
    <row r="108" spans="1:52">
      <c r="A108" s="830">
        <v>99</v>
      </c>
      <c r="B108" s="829" t="s">
        <v>385</v>
      </c>
      <c r="C108" s="739" t="s">
        <v>391</v>
      </c>
      <c r="D108" s="653" t="s">
        <v>391</v>
      </c>
      <c r="E108" s="686" t="str">
        <f>VLOOKUP(D108,Poeng!$B$10:$R$252,Poeng!E$1,FALSE)</f>
        <v>Wat 02 Water monitoring</v>
      </c>
      <c r="F108" s="691">
        <f>VLOOKUP(D108,Poeng!$B$10:$AB$252,Poeng!AB$1,FALSE)</f>
        <v>1</v>
      </c>
      <c r="G108" s="784"/>
      <c r="H108" s="692" t="str">
        <f>VLOOKUP(D108,Poeng!$B$10:$AI$252,Poeng!AI$1,FALSE)&amp;" c. "&amp;ROUND(VLOOKUP(D108,Poeng!$B$10:$AE$252,Poeng!AE$1,FALSE)*100,1)&amp;" %"</f>
        <v>0 c. 0 %</v>
      </c>
      <c r="I108" s="739" t="str">
        <f>VLOOKUP(D108,Poeng!$B$10:$BE$252,Poeng!BE$1,FALSE)</f>
        <v>N/A</v>
      </c>
      <c r="J108" s="66"/>
      <c r="K108" s="233"/>
      <c r="L108" s="633"/>
      <c r="M108" s="648"/>
      <c r="N108" s="784"/>
      <c r="O108" s="703" t="str">
        <f>VLOOKUP(D108,Poeng!$B$10:$BC$252,Poeng!AJ$1,FALSE)&amp;" c. "&amp;ROUND(VLOOKUP(D108,Poeng!$B$10:$BC$252,Poeng!AF$1,FALSE)*100,1)&amp;" %"</f>
        <v>0 c. 0 %</v>
      </c>
      <c r="P108" s="99" t="str">
        <f>VLOOKUP(D108,Poeng!$B$10:$BH$252,Poeng!BH$1,FALSE)</f>
        <v>N/A</v>
      </c>
      <c r="Q108" s="583"/>
      <c r="R108" s="584"/>
      <c r="S108" s="577"/>
      <c r="T108" s="268"/>
      <c r="U108" s="784"/>
      <c r="V108" s="703" t="str">
        <f>VLOOKUP(D108,Poeng!$B$10:$BC$252,Poeng!AK$1,FALSE)&amp;" c. "&amp;ROUND(VLOOKUP(D108,Poeng!$B$10:$BC$252,Poeng!AG$1,FALSE)*100,1)&amp;" %"</f>
        <v>0 c. 0 %</v>
      </c>
      <c r="W108" s="99" t="str">
        <f>VLOOKUP(D108,Poeng!$B$10:$BK$252,Poeng!BK$1,FALSE)</f>
        <v>N/A</v>
      </c>
      <c r="X108" s="67"/>
      <c r="Y108" s="66"/>
      <c r="Z108" s="577"/>
      <c r="AA108" s="108"/>
      <c r="AB108" s="495" t="s">
        <v>127</v>
      </c>
      <c r="AC108" s="17">
        <f t="shared" si="12"/>
        <v>1</v>
      </c>
      <c r="AD108" s="1" t="e">
        <f>VLOOKUP(K108,'Assessment Details'!$O$45:$P$48,2,FALSE)</f>
        <v>#N/A</v>
      </c>
      <c r="AE108" s="1" t="e">
        <f>VLOOKUP(R108,'Assessment Details'!$O$45:$P$48,2,FALSE)</f>
        <v>#N/A</v>
      </c>
      <c r="AF108" s="1" t="e">
        <f>VLOOKUP(Y108,'Assessment Details'!$O$45:$P$48,2,FALSE)</f>
        <v>#N/A</v>
      </c>
      <c r="AI108" s="56" t="str">
        <f>ais_ja</f>
        <v>Ja</v>
      </c>
      <c r="AJ108" s="522" t="s">
        <v>392</v>
      </c>
      <c r="AK108" s="501" t="s">
        <v>273</v>
      </c>
      <c r="AL108" s="501" t="s">
        <v>315</v>
      </c>
      <c r="AM108" s="501" t="s">
        <v>275</v>
      </c>
      <c r="AN108" s="56"/>
      <c r="AO108" s="56"/>
      <c r="AP108" s="56"/>
      <c r="AR108" s="1" t="s">
        <v>127</v>
      </c>
      <c r="AS108" s="17" t="str">
        <f t="shared" si="13"/>
        <v>N/A</v>
      </c>
      <c r="AT108" s="17" t="str">
        <f t="shared" si="14"/>
        <v>N/A</v>
      </c>
      <c r="AU108" s="17" t="str">
        <f t="shared" si="15"/>
        <v>N/A</v>
      </c>
      <c r="AV108" s="17"/>
      <c r="AW108" s="17"/>
      <c r="AX108" s="17"/>
      <c r="AZ108" s="495"/>
    </row>
    <row r="109" spans="1:52">
      <c r="A109" s="830">
        <v>100</v>
      </c>
      <c r="B109" s="829" t="s">
        <v>385</v>
      </c>
      <c r="C109" s="100" t="str">
        <f t="shared" ref="C109" si="17">C108</f>
        <v>Wat 02</v>
      </c>
      <c r="D109" s="653" t="s">
        <v>393</v>
      </c>
      <c r="E109" s="687" t="str">
        <f>VLOOKUP(D109,Poeng!$B$10:$R$252,Poeng!E$1,FALSE)</f>
        <v>Water meter</v>
      </c>
      <c r="F109" s="98">
        <f>VLOOKUP(D109,Poeng!$B$10:$AB$252,Poeng!AB$1,FALSE)</f>
        <v>1</v>
      </c>
      <c r="G109" s="29"/>
      <c r="H109" s="99">
        <f>VLOOKUP(D109,Poeng!$B$10:$AE$252,Poeng!AE$1,FALSE)</f>
        <v>0</v>
      </c>
      <c r="I109" s="100" t="str">
        <f>VLOOKUP(D109,Poeng!$B$10:$BE$252,Poeng!BE$1,FALSE)</f>
        <v>N/A</v>
      </c>
      <c r="J109" s="66"/>
      <c r="K109" s="233"/>
      <c r="L109" s="633"/>
      <c r="M109" s="648"/>
      <c r="N109" s="69"/>
      <c r="O109" s="99">
        <f>VLOOKUP(D109,Poeng!$B$10:$BC$252,Poeng!AF$1,FALSE)</f>
        <v>0</v>
      </c>
      <c r="P109" s="99" t="str">
        <f>VLOOKUP(D109,Poeng!$B$10:$BH$252,Poeng!BH$1,FALSE)</f>
        <v>N/A</v>
      </c>
      <c r="Q109" s="583"/>
      <c r="R109" s="584"/>
      <c r="S109" s="577"/>
      <c r="T109" s="268"/>
      <c r="U109" s="69"/>
      <c r="V109" s="99">
        <f>VLOOKUP(D109,Poeng!$B$10:$BC$252,Poeng!AG$1,FALSE)</f>
        <v>0</v>
      </c>
      <c r="W109" s="99" t="str">
        <f>VLOOKUP(D109,Poeng!$B$10:$BK$252,Poeng!BK$1,FALSE)</f>
        <v>N/A</v>
      </c>
      <c r="X109" s="67"/>
      <c r="Y109" s="66"/>
      <c r="Z109" s="577"/>
      <c r="AA109" s="108"/>
      <c r="AB109" s="495"/>
      <c r="AC109" s="17">
        <f t="shared" si="12"/>
        <v>1</v>
      </c>
      <c r="AD109" s="1" t="e">
        <f>VLOOKUP(K109,'Assessment Details'!$O$45:$P$48,2,FALSE)</f>
        <v>#N/A</v>
      </c>
      <c r="AE109" s="1" t="e">
        <f>VLOOKUP(R109,'Assessment Details'!$O$45:$P$48,2,FALSE)</f>
        <v>#N/A</v>
      </c>
      <c r="AF109" s="1" t="e">
        <f>VLOOKUP(Y109,'Assessment Details'!$O$45:$P$48,2,FALSE)</f>
        <v>#N/A</v>
      </c>
      <c r="AI109" s="56"/>
      <c r="AJ109" s="522"/>
      <c r="AK109" s="569"/>
      <c r="AL109" s="569"/>
      <c r="AM109" s="569"/>
      <c r="AO109" s="56"/>
      <c r="AP109" s="56"/>
      <c r="AS109" s="17"/>
      <c r="AT109" s="17"/>
      <c r="AU109" s="17"/>
      <c r="AV109" s="17"/>
      <c r="AW109" s="17"/>
      <c r="AX109" s="17"/>
      <c r="AZ109" s="495"/>
    </row>
    <row r="110" spans="1:52">
      <c r="A110" s="830">
        <v>101</v>
      </c>
      <c r="B110" s="829" t="s">
        <v>385</v>
      </c>
      <c r="C110" s="739" t="s">
        <v>394</v>
      </c>
      <c r="D110" s="653" t="s">
        <v>394</v>
      </c>
      <c r="E110" s="686" t="str">
        <f>VLOOKUP(D110,Poeng!$B$10:$R$252,Poeng!E$1,FALSE)</f>
        <v>Wat 03 Water leak detection and prevention</v>
      </c>
      <c r="F110" s="691">
        <f>VLOOKUP(D110,Poeng!$B$10:$AB$252,Poeng!AB$1,FALSE)</f>
        <v>2</v>
      </c>
      <c r="G110" s="784"/>
      <c r="H110" s="692" t="str">
        <f>VLOOKUP(D110,Poeng!$B$10:$AI$252,Poeng!AI$1,FALSE)&amp;" c. "&amp;ROUND(VLOOKUP(D110,Poeng!$B$10:$AE$252,Poeng!AE$1,FALSE)*100,1)&amp;" %"</f>
        <v>0 c. 0 %</v>
      </c>
      <c r="I110" s="739" t="str">
        <f>VLOOKUP(D110,Poeng!$B$10:$BE$252,Poeng!BE$1,FALSE)</f>
        <v>N/A</v>
      </c>
      <c r="J110" s="66"/>
      <c r="K110" s="233"/>
      <c r="L110" s="633"/>
      <c r="M110" s="648"/>
      <c r="N110" s="784"/>
      <c r="O110" s="703" t="str">
        <f>VLOOKUP(D110,Poeng!$B$10:$BC$252,Poeng!AJ$1,FALSE)&amp;" c. "&amp;ROUND(VLOOKUP(D110,Poeng!$B$10:$BC$252,Poeng!AF$1,FALSE)*100,1)&amp;" %"</f>
        <v>0 c. 0 %</v>
      </c>
      <c r="P110" s="99" t="str">
        <f>VLOOKUP(D110,Poeng!$B$10:$BH$252,Poeng!BH$1,FALSE)</f>
        <v>N/A</v>
      </c>
      <c r="Q110" s="583"/>
      <c r="R110" s="584"/>
      <c r="S110" s="577"/>
      <c r="T110" s="268"/>
      <c r="U110" s="784"/>
      <c r="V110" s="703" t="str">
        <f>VLOOKUP(D110,Poeng!$B$10:$BC$252,Poeng!AK$1,FALSE)&amp;" c. "&amp;ROUND(VLOOKUP(D110,Poeng!$B$10:$BC$252,Poeng!AG$1,FALSE)*100,1)&amp;" %"</f>
        <v>0 c. 0 %</v>
      </c>
      <c r="W110" s="99" t="str">
        <f>VLOOKUP(D110,Poeng!$B$10:$BK$252,Poeng!BK$1,FALSE)</f>
        <v>N/A</v>
      </c>
      <c r="X110" s="67"/>
      <c r="Y110" s="66"/>
      <c r="Z110" s="577"/>
      <c r="AA110" s="108"/>
      <c r="AB110" s="495" t="s">
        <v>127</v>
      </c>
      <c r="AC110" s="17">
        <f t="shared" si="12"/>
        <v>1</v>
      </c>
      <c r="AD110" s="1" t="e">
        <f>VLOOKUP(K110,'Assessment Details'!$O$45:$P$48,2,FALSE)</f>
        <v>#N/A</v>
      </c>
      <c r="AE110" s="1" t="e">
        <f>VLOOKUP(R110,'Assessment Details'!$O$45:$P$48,2,FALSE)</f>
        <v>#N/A</v>
      </c>
      <c r="AF110" s="1" t="e">
        <f>VLOOKUP(Y110,'Assessment Details'!$O$45:$P$48,2,FALSE)</f>
        <v>#N/A</v>
      </c>
      <c r="AI110" s="56" t="str">
        <f>ais_ja</f>
        <v>Ja</v>
      </c>
      <c r="AJ110" s="522" t="s">
        <v>395</v>
      </c>
      <c r="AK110" s="504" t="s">
        <v>396</v>
      </c>
      <c r="AL110" s="504" t="s">
        <v>397</v>
      </c>
      <c r="AM110" s="504" t="s">
        <v>398</v>
      </c>
      <c r="AN110" s="504" t="s">
        <v>399</v>
      </c>
      <c r="AO110" s="56"/>
      <c r="AP110" s="56"/>
      <c r="AR110" s="1" t="s">
        <v>127</v>
      </c>
      <c r="AS110" s="17" t="str">
        <f t="shared" si="13"/>
        <v>N/A</v>
      </c>
      <c r="AT110" s="17" t="str">
        <f t="shared" si="14"/>
        <v>N/A</v>
      </c>
      <c r="AU110" s="17" t="str">
        <f t="shared" si="15"/>
        <v>N/A</v>
      </c>
      <c r="AV110" s="17" t="str">
        <f t="shared" si="15"/>
        <v>N/A</v>
      </c>
      <c r="AW110" s="17"/>
      <c r="AX110" s="17"/>
      <c r="AZ110" s="495"/>
    </row>
    <row r="111" spans="1:52">
      <c r="A111" s="830">
        <v>102</v>
      </c>
      <c r="B111" s="829" t="s">
        <v>385</v>
      </c>
      <c r="C111" s="100" t="str">
        <f t="shared" ref="C111:C113" si="18">C110</f>
        <v>Wat 03</v>
      </c>
      <c r="D111" s="653" t="s">
        <v>400</v>
      </c>
      <c r="E111" s="687" t="str">
        <f>VLOOKUP(D111,Poeng!$B$10:$R$252,Poeng!E$1,FALSE)</f>
        <v>Leak detection system</v>
      </c>
      <c r="F111" s="98">
        <f>VLOOKUP(D111,Poeng!$B$10:$AB$252,Poeng!AB$1,FALSE)</f>
        <v>1</v>
      </c>
      <c r="G111" s="29"/>
      <c r="H111" s="99">
        <f>VLOOKUP(D111,Poeng!$B$10:$AE$252,Poeng!AE$1,FALSE)</f>
        <v>0</v>
      </c>
      <c r="I111" s="100" t="str">
        <f>VLOOKUP(D111,Poeng!$B$10:$BE$252,Poeng!BE$1,FALSE)</f>
        <v>N/A</v>
      </c>
      <c r="J111" s="66"/>
      <c r="K111" s="233"/>
      <c r="L111" s="633"/>
      <c r="M111" s="648"/>
      <c r="N111" s="69"/>
      <c r="O111" s="99">
        <f>VLOOKUP(D111,Poeng!$B$10:$BC$252,Poeng!AF$1,FALSE)</f>
        <v>0</v>
      </c>
      <c r="P111" s="99" t="str">
        <f>VLOOKUP(D111,Poeng!$B$10:$BH$252,Poeng!BH$1,FALSE)</f>
        <v>N/A</v>
      </c>
      <c r="Q111" s="583"/>
      <c r="R111" s="584"/>
      <c r="S111" s="577"/>
      <c r="T111" s="268"/>
      <c r="U111" s="69"/>
      <c r="V111" s="99">
        <f>VLOOKUP(D111,Poeng!$B$10:$BC$252,Poeng!AG$1,FALSE)</f>
        <v>0</v>
      </c>
      <c r="W111" s="99" t="str">
        <f>VLOOKUP(D111,Poeng!$B$10:$BK$252,Poeng!BK$1,FALSE)</f>
        <v>N/A</v>
      </c>
      <c r="X111" s="67"/>
      <c r="Y111" s="66"/>
      <c r="Z111" s="577"/>
      <c r="AA111" s="108"/>
      <c r="AB111" s="495"/>
      <c r="AC111" s="17">
        <f t="shared" si="12"/>
        <v>1</v>
      </c>
      <c r="AD111" s="1" t="e">
        <f>VLOOKUP(K111,'Assessment Details'!$O$45:$P$48,2,FALSE)</f>
        <v>#N/A</v>
      </c>
      <c r="AE111" s="1" t="e">
        <f>VLOOKUP(R111,'Assessment Details'!$O$45:$P$48,2,FALSE)</f>
        <v>#N/A</v>
      </c>
      <c r="AF111" s="1" t="e">
        <f>VLOOKUP(Y111,'Assessment Details'!$O$45:$P$48,2,FALSE)</f>
        <v>#N/A</v>
      </c>
      <c r="AI111" s="56"/>
      <c r="AJ111" s="522"/>
      <c r="AK111" s="504"/>
      <c r="AL111" s="504"/>
      <c r="AM111" s="504"/>
      <c r="AN111" s="504"/>
      <c r="AO111" s="56"/>
      <c r="AP111" s="56"/>
      <c r="AS111" s="17"/>
      <c r="AT111" s="17"/>
      <c r="AU111" s="17"/>
      <c r="AV111" s="17"/>
      <c r="AW111" s="17"/>
      <c r="AX111" s="17"/>
      <c r="AZ111" s="495"/>
    </row>
    <row r="112" spans="1:52">
      <c r="A112" s="830">
        <v>103</v>
      </c>
      <c r="B112" s="829" t="s">
        <v>385</v>
      </c>
      <c r="C112" s="100" t="str">
        <f t="shared" si="18"/>
        <v>Wat 03</v>
      </c>
      <c r="D112" s="653" t="s">
        <v>401</v>
      </c>
      <c r="E112" s="687" t="str">
        <f>VLOOKUP(D112,Poeng!$B$10:$R$252,Poeng!E$1,FALSE)</f>
        <v>Flow control devices</v>
      </c>
      <c r="F112" s="98">
        <f>VLOOKUP(D112,Poeng!$B$10:$AB$252,Poeng!AB$1,FALSE)</f>
        <v>1</v>
      </c>
      <c r="G112" s="29"/>
      <c r="H112" s="99">
        <f>VLOOKUP(D112,Poeng!$B$10:$AE$252,Poeng!AE$1,FALSE)</f>
        <v>0</v>
      </c>
      <c r="I112" s="100" t="str">
        <f>VLOOKUP(D112,Poeng!$B$10:$BE$252,Poeng!BE$1,FALSE)</f>
        <v>N/A</v>
      </c>
      <c r="J112" s="66"/>
      <c r="K112" s="233"/>
      <c r="L112" s="633"/>
      <c r="M112" s="648"/>
      <c r="N112" s="69"/>
      <c r="O112" s="99">
        <f>VLOOKUP(D112,Poeng!$B$10:$BC$252,Poeng!AF$1,FALSE)</f>
        <v>0</v>
      </c>
      <c r="P112" s="99" t="str">
        <f>VLOOKUP(D112,Poeng!$B$10:$BH$252,Poeng!BH$1,FALSE)</f>
        <v>N/A</v>
      </c>
      <c r="Q112" s="583"/>
      <c r="R112" s="584"/>
      <c r="S112" s="577"/>
      <c r="T112" s="268"/>
      <c r="U112" s="69"/>
      <c r="V112" s="99">
        <f>VLOOKUP(D112,Poeng!$B$10:$BC$252,Poeng!AG$1,FALSE)</f>
        <v>0</v>
      </c>
      <c r="W112" s="99" t="str">
        <f>VLOOKUP(D112,Poeng!$B$10:$BK$252,Poeng!BK$1,FALSE)</f>
        <v>N/A</v>
      </c>
      <c r="X112" s="67"/>
      <c r="Y112" s="66"/>
      <c r="Z112" s="577"/>
      <c r="AA112" s="108"/>
      <c r="AB112" s="495"/>
      <c r="AC112" s="17">
        <f t="shared" si="12"/>
        <v>1</v>
      </c>
      <c r="AD112" s="1" t="e">
        <f>VLOOKUP(K112,'Assessment Details'!$O$45:$P$48,2,FALSE)</f>
        <v>#N/A</v>
      </c>
      <c r="AE112" s="1" t="e">
        <f>VLOOKUP(R112,'Assessment Details'!$O$45:$P$48,2,FALSE)</f>
        <v>#N/A</v>
      </c>
      <c r="AF112" s="1" t="e">
        <f>VLOOKUP(Y112,'Assessment Details'!$O$45:$P$48,2,FALSE)</f>
        <v>#N/A</v>
      </c>
      <c r="AI112" s="56"/>
      <c r="AJ112" s="522"/>
      <c r="AK112" s="504"/>
      <c r="AL112" s="504"/>
      <c r="AM112" s="504"/>
      <c r="AN112" s="504"/>
      <c r="AO112" s="56"/>
      <c r="AP112" s="56"/>
      <c r="AS112" s="17"/>
      <c r="AT112" s="17"/>
      <c r="AU112" s="17"/>
      <c r="AV112" s="17"/>
      <c r="AW112" s="17"/>
      <c r="AX112" s="17"/>
      <c r="AZ112" s="495"/>
    </row>
    <row r="113" spans="1:52">
      <c r="A113" s="830">
        <v>104</v>
      </c>
      <c r="B113" s="829" t="s">
        <v>385</v>
      </c>
      <c r="C113" s="100" t="str">
        <f t="shared" si="18"/>
        <v>Wat 03</v>
      </c>
      <c r="D113" s="653" t="s">
        <v>402</v>
      </c>
      <c r="E113" s="687" t="str">
        <f>VLOOKUP(D113,Poeng!$B$10:$R$252,Poeng!E$1,FALSE)</f>
        <v>Leak isolation</v>
      </c>
      <c r="F113" s="98">
        <f>VLOOKUP(D113,Poeng!$B$10:$AB$252,Poeng!AB$1,FALSE)</f>
        <v>0</v>
      </c>
      <c r="G113" s="29"/>
      <c r="H113" s="99">
        <f>VLOOKUP(D113,Poeng!$B$10:$AE$252,Poeng!AE$1,FALSE)</f>
        <v>0</v>
      </c>
      <c r="I113" s="100" t="str">
        <f>VLOOKUP(D113,Poeng!$B$10:$BE$252,Poeng!BE$1,FALSE)</f>
        <v>N/A</v>
      </c>
      <c r="J113" s="66"/>
      <c r="K113" s="233"/>
      <c r="L113" s="633"/>
      <c r="M113" s="648"/>
      <c r="N113" s="69"/>
      <c r="O113" s="99">
        <f>VLOOKUP(D113,Poeng!$B$10:$BC$252,Poeng!AF$1,FALSE)</f>
        <v>0</v>
      </c>
      <c r="P113" s="99" t="str">
        <f>VLOOKUP(D113,Poeng!$B$10:$BH$252,Poeng!BH$1,FALSE)</f>
        <v>N/A</v>
      </c>
      <c r="Q113" s="583"/>
      <c r="R113" s="584"/>
      <c r="S113" s="577"/>
      <c r="T113" s="268"/>
      <c r="U113" s="69"/>
      <c r="V113" s="99">
        <f>VLOOKUP(D113,Poeng!$B$10:$BC$252,Poeng!AG$1,FALSE)</f>
        <v>0</v>
      </c>
      <c r="W113" s="99" t="str">
        <f>VLOOKUP(D113,Poeng!$B$10:$BK$252,Poeng!BK$1,FALSE)</f>
        <v>N/A</v>
      </c>
      <c r="X113" s="67"/>
      <c r="Y113" s="66"/>
      <c r="Z113" s="633"/>
      <c r="AA113" s="108"/>
      <c r="AB113" s="495"/>
      <c r="AC113" s="17">
        <f t="shared" si="12"/>
        <v>2</v>
      </c>
      <c r="AD113" s="1" t="e">
        <f>VLOOKUP(K113,'Assessment Details'!$O$45:$P$48,2,FALSE)</f>
        <v>#N/A</v>
      </c>
      <c r="AE113" s="1" t="e">
        <f>VLOOKUP(R113,'Assessment Details'!$O$45:$P$48,2,FALSE)</f>
        <v>#N/A</v>
      </c>
      <c r="AF113" s="1" t="e">
        <f>VLOOKUP(Y113,'Assessment Details'!$O$45:$P$48,2,FALSE)</f>
        <v>#N/A</v>
      </c>
      <c r="AI113" s="56"/>
      <c r="AJ113" s="522"/>
      <c r="AK113" s="504"/>
      <c r="AL113" s="504"/>
      <c r="AM113" s="504"/>
      <c r="AN113" s="504"/>
      <c r="AO113" s="56"/>
      <c r="AP113" s="56"/>
      <c r="AS113" s="17"/>
      <c r="AT113" s="17"/>
      <c r="AU113" s="17"/>
      <c r="AV113" s="17"/>
      <c r="AW113" s="17"/>
      <c r="AX113" s="17"/>
      <c r="AZ113" s="495"/>
    </row>
    <row r="114" spans="1:52">
      <c r="A114" s="830">
        <v>105</v>
      </c>
      <c r="B114" s="829" t="s">
        <v>385</v>
      </c>
      <c r="C114" s="739" t="s">
        <v>403</v>
      </c>
      <c r="D114" s="653" t="s">
        <v>403</v>
      </c>
      <c r="E114" s="686" t="str">
        <f>VLOOKUP(D114,Poeng!$B$10:$R$252,Poeng!E$1,FALSE)</f>
        <v>Wat 04 Water efficient equipment</v>
      </c>
      <c r="F114" s="691">
        <f>VLOOKUP(D114,Poeng!$B$10:$AB$252,Poeng!AB$1,FALSE)</f>
        <v>1</v>
      </c>
      <c r="G114" s="784"/>
      <c r="H114" s="692" t="str">
        <f>VLOOKUP(D114,Poeng!$B$10:$AI$252,Poeng!AI$1,FALSE)&amp;" c. "&amp;ROUND(VLOOKUP(D114,Poeng!$B$10:$AE$252,Poeng!AE$1,FALSE)*100,1)&amp;" %"</f>
        <v>0 c. 0 %</v>
      </c>
      <c r="I114" s="739" t="str">
        <f>VLOOKUP(D114,Poeng!$B$10:$BE$252,Poeng!BE$1,FALSE)</f>
        <v>N/A</v>
      </c>
      <c r="J114" s="66"/>
      <c r="K114" s="233"/>
      <c r="L114" s="633"/>
      <c r="M114" s="648"/>
      <c r="N114" s="784"/>
      <c r="O114" s="703" t="str">
        <f>VLOOKUP(D114,Poeng!$B$10:$BC$252,Poeng!AJ$1,FALSE)&amp;" c. "&amp;ROUND(VLOOKUP(D114,Poeng!$B$10:$BC$252,Poeng!AF$1,FALSE)*100,1)&amp;" %"</f>
        <v>0 c. 0 %</v>
      </c>
      <c r="P114" s="99" t="str">
        <f>VLOOKUP(D114,Poeng!$B$10:$BH$252,Poeng!BH$1,FALSE)</f>
        <v>N/A</v>
      </c>
      <c r="Q114" s="583"/>
      <c r="R114" s="584"/>
      <c r="S114" s="577"/>
      <c r="T114" s="268"/>
      <c r="U114" s="784"/>
      <c r="V114" s="703" t="str">
        <f>VLOOKUP(D114,Poeng!$B$10:$BC$252,Poeng!AK$1,FALSE)&amp;" c. "&amp;ROUND(VLOOKUP(D114,Poeng!$B$10:$BC$252,Poeng!AG$1,FALSE)*100,1)&amp;" %"</f>
        <v>0 c. 0 %</v>
      </c>
      <c r="W114" s="99" t="str">
        <f>VLOOKUP(D114,Poeng!$B$10:$BK$252,Poeng!BK$1,FALSE)</f>
        <v>N/A</v>
      </c>
      <c r="X114" s="67"/>
      <c r="Y114" s="66"/>
      <c r="Z114" s="577"/>
      <c r="AA114" s="108"/>
      <c r="AB114" s="495" t="s">
        <v>216</v>
      </c>
      <c r="AC114" s="17">
        <f t="shared" si="12"/>
        <v>1</v>
      </c>
      <c r="AD114" s="1" t="e">
        <f>VLOOKUP(K114,'Assessment Details'!$O$45:$P$48,2,FALSE)</f>
        <v>#N/A</v>
      </c>
      <c r="AE114" s="1" t="e">
        <f>VLOOKUP(R114,'Assessment Details'!$O$45:$P$48,2,FALSE)</f>
        <v>#N/A</v>
      </c>
      <c r="AF114" s="1" t="e">
        <f>VLOOKUP(Y114,'Assessment Details'!$O$45:$P$48,2,FALSE)</f>
        <v>#N/A</v>
      </c>
      <c r="AI114" s="56"/>
      <c r="AJ114" s="522" t="s">
        <v>404</v>
      </c>
      <c r="AK114" s="56"/>
      <c r="AL114" s="56"/>
      <c r="AM114" s="56"/>
      <c r="AN114" s="56"/>
      <c r="AO114" s="56"/>
      <c r="AP114" s="56"/>
      <c r="AS114" s="17" t="str">
        <f t="shared" si="13"/>
        <v>N/A</v>
      </c>
      <c r="AT114" s="17" t="str">
        <f t="shared" si="14"/>
        <v>N/A</v>
      </c>
      <c r="AU114" s="17" t="str">
        <f t="shared" si="15"/>
        <v>N/A</v>
      </c>
      <c r="AV114" s="17"/>
      <c r="AW114" s="17"/>
      <c r="AX114" s="17"/>
      <c r="AZ114" s="495"/>
    </row>
    <row r="115" spans="1:52">
      <c r="A115" s="830">
        <v>106</v>
      </c>
      <c r="B115" s="829" t="s">
        <v>385</v>
      </c>
      <c r="C115" s="100" t="str">
        <f t="shared" ref="C115:C209" si="19">C114</f>
        <v>Wat 04</v>
      </c>
      <c r="D115" s="653" t="s">
        <v>405</v>
      </c>
      <c r="E115" s="687" t="str">
        <f>VLOOKUP(D115,Poeng!$B$10:$R$252,Poeng!E$1,FALSE)</f>
        <v>Water efficient equipment</v>
      </c>
      <c r="F115" s="98">
        <f>VLOOKUP(D115,Poeng!$B$10:$AB$252,Poeng!AB$1,FALSE)</f>
        <v>1</v>
      </c>
      <c r="G115" s="29"/>
      <c r="H115" s="99">
        <f>VLOOKUP(D115,Poeng!$B$10:$AE$252,Poeng!AE$1,FALSE)</f>
        <v>0</v>
      </c>
      <c r="I115" s="100" t="str">
        <f>VLOOKUP(D115,Poeng!$B$10:$BE$252,Poeng!BE$1,FALSE)</f>
        <v>N/A</v>
      </c>
      <c r="J115" s="66"/>
      <c r="K115" s="233"/>
      <c r="L115" s="633"/>
      <c r="M115" s="648"/>
      <c r="N115" s="69"/>
      <c r="O115" s="99">
        <f>VLOOKUP(D115,Poeng!$B$10:$BC$252,Poeng!AF$1,FALSE)</f>
        <v>0</v>
      </c>
      <c r="P115" s="99" t="str">
        <f>VLOOKUP(D115,Poeng!$B$10:$BH$252,Poeng!BH$1,FALSE)</f>
        <v>N/A</v>
      </c>
      <c r="Q115" s="583"/>
      <c r="R115" s="584"/>
      <c r="S115" s="577"/>
      <c r="T115" s="268"/>
      <c r="U115" s="69"/>
      <c r="V115" s="99">
        <f>VLOOKUP(D115,Poeng!$B$10:$BC$252,Poeng!AG$1,FALSE)</f>
        <v>0</v>
      </c>
      <c r="W115" s="99" t="str">
        <f>VLOOKUP(D115,Poeng!$B$10:$BK$252,Poeng!BK$1,FALSE)</f>
        <v>N/A</v>
      </c>
      <c r="X115" s="67"/>
      <c r="Y115" s="66"/>
      <c r="Z115" s="577"/>
      <c r="AA115" s="108"/>
      <c r="AB115" s="559"/>
      <c r="AC115" s="17">
        <f t="shared" si="12"/>
        <v>1</v>
      </c>
      <c r="AD115" s="1" t="e">
        <f>VLOOKUP(K115,'Assessment Details'!$O$45:$P$48,2,FALSE)</f>
        <v>#N/A</v>
      </c>
      <c r="AE115" s="1" t="e">
        <f>VLOOKUP(R115,'Assessment Details'!$O$45:$P$48,2,FALSE)</f>
        <v>#N/A</v>
      </c>
      <c r="AF115" s="1" t="e">
        <f>VLOOKUP(Y115,'Assessment Details'!$O$45:$P$48,2,FALSE)</f>
        <v>#N/A</v>
      </c>
      <c r="AI115" s="56"/>
      <c r="AJ115" s="522"/>
      <c r="AK115" s="56"/>
      <c r="AL115" s="56"/>
      <c r="AM115" s="56"/>
      <c r="AN115" s="56"/>
      <c r="AO115" s="56"/>
      <c r="AP115" s="56"/>
      <c r="AS115" s="17"/>
      <c r="AT115" s="17"/>
      <c r="AU115" s="17"/>
      <c r="AV115" s="17"/>
      <c r="AW115" s="17"/>
      <c r="AX115" s="17"/>
      <c r="AZ115" s="559"/>
    </row>
    <row r="116" spans="1:52" ht="15.75" thickBot="1">
      <c r="A116" s="830">
        <v>107</v>
      </c>
      <c r="B116" s="829" t="s">
        <v>385</v>
      </c>
      <c r="C116" s="836"/>
      <c r="D116" s="653" t="s">
        <v>406</v>
      </c>
      <c r="E116" s="269" t="s">
        <v>407</v>
      </c>
      <c r="F116" s="101">
        <f>Wat_Credits</f>
        <v>9</v>
      </c>
      <c r="G116" s="106"/>
      <c r="H116" s="102">
        <f>Wat_cont_tot</f>
        <v>0</v>
      </c>
      <c r="I116" s="693" t="str">
        <f>"Credits achieved: "&amp;Wat_tot_user</f>
        <v>Credits achieved: 0</v>
      </c>
      <c r="J116" s="109"/>
      <c r="K116" s="234"/>
      <c r="L116" s="585"/>
      <c r="M116" s="648"/>
      <c r="N116" s="326"/>
      <c r="O116" s="102">
        <f>VLOOKUP(D116,Poeng!$B$10:$BC$252,Poeng!AF$1,FALSE)</f>
        <v>0</v>
      </c>
      <c r="P116" s="693" t="str">
        <f>"Credits achieved: "&amp;Wat_d_user</f>
        <v>Credits achieved: 0</v>
      </c>
      <c r="Q116" s="586"/>
      <c r="R116" s="587"/>
      <c r="S116" s="585"/>
      <c r="T116" s="268"/>
      <c r="U116" s="326"/>
      <c r="V116" s="102">
        <f>VLOOKUP(D116,Poeng!$B$10:$BC$252,Poeng!AG$1,FALSE)</f>
        <v>0</v>
      </c>
      <c r="W116" s="693" t="str">
        <f>"Credits achieved: "&amp;Wat_c_user</f>
        <v>Credits achieved: 0</v>
      </c>
      <c r="X116" s="325"/>
      <c r="Y116" s="111"/>
      <c r="Z116" s="585"/>
      <c r="AA116" s="108"/>
      <c r="AB116" s="496"/>
      <c r="AC116" s="17">
        <f t="shared" si="12"/>
        <v>1</v>
      </c>
      <c r="AD116" s="230">
        <v>0</v>
      </c>
      <c r="AE116" s="230">
        <v>0</v>
      </c>
      <c r="AF116" s="230">
        <v>0</v>
      </c>
      <c r="AI116" s="56"/>
      <c r="AJ116" s="522" t="s">
        <v>407</v>
      </c>
      <c r="AK116" s="56"/>
      <c r="AL116" s="56"/>
      <c r="AM116" s="56"/>
      <c r="AN116" s="56"/>
      <c r="AO116" s="56"/>
      <c r="AP116" s="56"/>
      <c r="AS116" s="17" t="str">
        <f t="shared" si="13"/>
        <v>N/A</v>
      </c>
      <c r="AT116" s="17" t="str">
        <f t="shared" si="14"/>
        <v>N/A</v>
      </c>
      <c r="AU116" s="17" t="str">
        <f t="shared" si="15"/>
        <v>N/A</v>
      </c>
      <c r="AV116" s="17"/>
      <c r="AW116" s="17"/>
      <c r="AX116" s="17"/>
      <c r="AZ116" s="496"/>
    </row>
    <row r="117" spans="1:52">
      <c r="A117" s="830">
        <v>108</v>
      </c>
      <c r="B117" s="829" t="s">
        <v>385</v>
      </c>
      <c r="C117" s="271"/>
      <c r="D117" s="653"/>
      <c r="E117" s="270"/>
      <c r="F117" s="271"/>
      <c r="G117" s="272"/>
      <c r="H117" s="271"/>
      <c r="I117" s="271"/>
      <c r="J117" s="273"/>
      <c r="K117" s="272"/>
      <c r="L117" s="588"/>
      <c r="M117" s="648"/>
      <c r="N117" s="274"/>
      <c r="O117" s="274"/>
      <c r="P117" s="588"/>
      <c r="Q117" s="588"/>
      <c r="R117" s="589"/>
      <c r="S117" s="588"/>
      <c r="T117" s="268"/>
      <c r="U117" s="274"/>
      <c r="V117" s="274"/>
      <c r="W117" s="588"/>
      <c r="X117" s="273"/>
      <c r="Y117" s="274"/>
      <c r="Z117" s="588"/>
      <c r="AA117" s="108"/>
      <c r="AB117" s="273"/>
      <c r="AC117" s="17">
        <f t="shared" si="12"/>
        <v>1</v>
      </c>
      <c r="AD117" s="231">
        <v>0</v>
      </c>
      <c r="AE117" s="231">
        <v>0</v>
      </c>
      <c r="AF117" s="231">
        <v>0</v>
      </c>
      <c r="AI117" s="56"/>
      <c r="AJ117" s="522"/>
      <c r="AK117" s="56"/>
      <c r="AL117" s="56"/>
      <c r="AM117" s="56"/>
      <c r="AN117" s="56"/>
      <c r="AO117" s="56"/>
      <c r="AP117" s="56"/>
      <c r="AS117" s="17" t="str">
        <f t="shared" si="13"/>
        <v>N/A</v>
      </c>
      <c r="AT117" s="17" t="str">
        <f t="shared" si="14"/>
        <v>N/A</v>
      </c>
      <c r="AU117" s="17" t="str">
        <f t="shared" si="15"/>
        <v>N/A</v>
      </c>
      <c r="AV117" s="17"/>
      <c r="AW117" s="17"/>
      <c r="AX117" s="17"/>
      <c r="AZ117" s="273"/>
    </row>
    <row r="118" spans="1:52" ht="18.75">
      <c r="A118" s="830">
        <v>109</v>
      </c>
      <c r="B118" s="831" t="s">
        <v>408</v>
      </c>
      <c r="C118" s="837"/>
      <c r="D118" s="653"/>
      <c r="E118" s="275" t="s">
        <v>409</v>
      </c>
      <c r="F118" s="264"/>
      <c r="G118" s="265"/>
      <c r="H118" s="284"/>
      <c r="I118" s="264"/>
      <c r="J118" s="276"/>
      <c r="K118" s="277"/>
      <c r="L118" s="591"/>
      <c r="M118" s="648"/>
      <c r="N118" s="287"/>
      <c r="O118" s="280"/>
      <c r="P118" s="581"/>
      <c r="Q118" s="592"/>
      <c r="R118" s="593"/>
      <c r="S118" s="594"/>
      <c r="T118" s="268"/>
      <c r="U118" s="287"/>
      <c r="V118" s="286"/>
      <c r="W118" s="581"/>
      <c r="X118" s="276"/>
      <c r="Y118" s="286"/>
      <c r="Z118" s="591"/>
      <c r="AA118" s="108"/>
      <c r="AB118" s="285"/>
      <c r="AC118" s="17">
        <f t="shared" si="12"/>
        <v>1</v>
      </c>
      <c r="AD118" s="229">
        <v>0</v>
      </c>
      <c r="AE118" s="229">
        <v>0</v>
      </c>
      <c r="AF118" s="229">
        <v>0</v>
      </c>
      <c r="AI118" s="56"/>
      <c r="AJ118" s="522" t="s">
        <v>409</v>
      </c>
      <c r="AK118" s="56"/>
      <c r="AL118" s="56"/>
      <c r="AM118" s="56"/>
      <c r="AN118" s="56"/>
      <c r="AO118" s="56"/>
      <c r="AP118" s="56"/>
      <c r="AS118" s="17" t="str">
        <f t="shared" si="13"/>
        <v>N/A</v>
      </c>
      <c r="AT118" s="17" t="str">
        <f t="shared" si="14"/>
        <v>N/A</v>
      </c>
      <c r="AU118" s="17" t="str">
        <f t="shared" si="15"/>
        <v>N/A</v>
      </c>
      <c r="AV118" s="17"/>
      <c r="AW118" s="17"/>
      <c r="AX118" s="17"/>
      <c r="AZ118" s="285"/>
    </row>
    <row r="119" spans="1:52" ht="30">
      <c r="A119" s="830">
        <v>110</v>
      </c>
      <c r="B119" s="831" t="s">
        <v>408</v>
      </c>
      <c r="C119" s="841" t="s">
        <v>410</v>
      </c>
      <c r="D119" s="653" t="s">
        <v>410</v>
      </c>
      <c r="E119" s="781" t="str">
        <f>VLOOKUP(D119,Poeng!$B$10:$R$252,Poeng!E$1,FALSE)</f>
        <v>Mat 01 Environmental impacts from construction products - Building life cycle assessment (LCA)</v>
      </c>
      <c r="F119" s="691">
        <f>VLOOKUP(D119,Poeng!$B$10:$AB$252,Poeng!AB$1,FALSE)</f>
        <v>5</v>
      </c>
      <c r="G119" s="783"/>
      <c r="H119" s="692" t="str">
        <f>VLOOKUP(D119,Poeng!$B$10:$AI$252,Poeng!AI$1,FALSE)&amp;" c. "&amp;ROUND(VLOOKUP(D119,Poeng!$B$10:$AE$252,Poeng!AE$1,FALSE)*100,1)&amp;" %"</f>
        <v>0 c. 0 %</v>
      </c>
      <c r="I119" s="738" t="str">
        <f>VLOOKUP(D119,Poeng!$B$10:$BE$252,Poeng!BE$1,FALSE)</f>
        <v>N/A</v>
      </c>
      <c r="J119" s="700"/>
      <c r="K119" s="701"/>
      <c r="L119" s="702"/>
      <c r="M119" s="648"/>
      <c r="N119" s="784"/>
      <c r="O119" s="846" t="str">
        <f>VLOOKUP(D119,Poeng!$B$10:$BC$252,Poeng!AJ$1,FALSE)&amp;" c. "&amp;ROUND(VLOOKUP(D119,Poeng!$B$10:$BC$252,Poeng!AF$1,FALSE)*100,1)&amp;" %"</f>
        <v>0 c. 0 %</v>
      </c>
      <c r="P119" s="99" t="str">
        <f>VLOOKUP(D119,Poeng!$B$10:$BH$252,Poeng!BH$1,FALSE)</f>
        <v>N/A</v>
      </c>
      <c r="Q119" s="583"/>
      <c r="R119" s="584"/>
      <c r="S119" s="577"/>
      <c r="T119" s="268"/>
      <c r="U119" s="784"/>
      <c r="V119" s="703" t="str">
        <f>VLOOKUP(D119,Poeng!$B$10:$BC$252,Poeng!AK$1,FALSE)&amp;" c. "&amp;ROUND(VLOOKUP(D119,Poeng!$B$10:$BC$252,Poeng!AG$1,FALSE)*100,1)&amp;" %"</f>
        <v>0 c. 0 %</v>
      </c>
      <c r="W119" s="99" t="str">
        <f>VLOOKUP(D119,Poeng!$B$10:$BK$252,Poeng!BK$1,FALSE)</f>
        <v>N/A</v>
      </c>
      <c r="X119" s="67"/>
      <c r="Y119" s="66"/>
      <c r="Z119" s="577"/>
      <c r="AA119" s="108"/>
      <c r="AB119" s="495" t="s">
        <v>216</v>
      </c>
      <c r="AC119" s="17">
        <f t="shared" si="12"/>
        <v>1</v>
      </c>
      <c r="AD119" s="1" t="e">
        <f>VLOOKUP(K119,'Assessment Details'!$O$45:$P$48,2,FALSE)</f>
        <v>#N/A</v>
      </c>
      <c r="AE119" s="1" t="e">
        <f>VLOOKUP(R119,'Assessment Details'!$O$45:$P$48,2,FALSE)</f>
        <v>#N/A</v>
      </c>
      <c r="AF119" s="1" t="e">
        <f>VLOOKUP(Y119,'Assessment Details'!$O$45:$P$48,2,FALSE)</f>
        <v>#N/A</v>
      </c>
      <c r="AI119" s="56"/>
      <c r="AJ119" s="522" t="s">
        <v>411</v>
      </c>
      <c r="AK119" s="56"/>
      <c r="AL119" s="56"/>
      <c r="AM119" s="56"/>
      <c r="AN119" s="56"/>
      <c r="AO119" s="56"/>
      <c r="AP119" s="56"/>
      <c r="AS119" s="17" t="str">
        <f t="shared" si="13"/>
        <v>N/A</v>
      </c>
      <c r="AT119" s="17" t="str">
        <f t="shared" si="14"/>
        <v>N/A</v>
      </c>
      <c r="AU119" s="17" t="str">
        <f t="shared" si="15"/>
        <v>N/A</v>
      </c>
      <c r="AV119" s="17"/>
      <c r="AW119" s="17"/>
      <c r="AX119" s="17"/>
      <c r="AZ119" s="495"/>
    </row>
    <row r="120" spans="1:52">
      <c r="A120" s="830">
        <v>111</v>
      </c>
      <c r="B120" s="831" t="s">
        <v>408</v>
      </c>
      <c r="C120" s="100" t="str">
        <f t="shared" si="19"/>
        <v>Mat 01</v>
      </c>
      <c r="D120" s="653" t="s">
        <v>412</v>
      </c>
      <c r="E120" s="687" t="str">
        <f>VLOOKUP(D120,Poeng!$B$10:$R$252,Poeng!E$1,FALSE)</f>
        <v>Pre-requisite: early stage greenhouse gas calculation</v>
      </c>
      <c r="F120" s="98" t="str">
        <f>VLOOKUP(D120,Poeng!$B$10:$AB$252,Poeng!AB$1,FALSE)</f>
        <v>Yes/No</v>
      </c>
      <c r="G120" s="29"/>
      <c r="H120" s="99" t="str">
        <f>VLOOKUP(D120,Poeng!$B$10:$AE$252,Poeng!AE$1,FALSE)</f>
        <v>-</v>
      </c>
      <c r="I120" s="100" t="str">
        <f>VLOOKUP(D120,Poeng!$B$10:$BE$252,Poeng!BE$1,FALSE)</f>
        <v>Unclassified</v>
      </c>
      <c r="J120" s="66"/>
      <c r="K120" s="233"/>
      <c r="L120" s="633"/>
      <c r="M120" s="648"/>
      <c r="N120" s="69"/>
      <c r="O120" s="99" t="str">
        <f>VLOOKUP(D120,Poeng!$B$10:$BC$252,Poeng!AF$1,FALSE)</f>
        <v>-</v>
      </c>
      <c r="P120" s="99" t="str">
        <f>VLOOKUP(D120,Poeng!$B$10:$BH$252,Poeng!BH$1,FALSE)</f>
        <v>Unclassified</v>
      </c>
      <c r="Q120" s="583"/>
      <c r="R120" s="584"/>
      <c r="S120" s="577"/>
      <c r="T120" s="268"/>
      <c r="U120" s="69"/>
      <c r="V120" s="99" t="str">
        <f>VLOOKUP(D120,Poeng!$B$10:$BC$252,Poeng!AG$1,FALSE)</f>
        <v>-</v>
      </c>
      <c r="W120" s="99" t="str">
        <f>VLOOKUP(D120,Poeng!$B$10:$BK$252,Poeng!BK$1,FALSE)</f>
        <v>Unclassified</v>
      </c>
      <c r="X120" s="67"/>
      <c r="Y120" s="66"/>
      <c r="Z120" s="577"/>
      <c r="AA120" s="108"/>
      <c r="AB120" s="690"/>
      <c r="AC120" s="17">
        <f t="shared" si="12"/>
        <v>1</v>
      </c>
      <c r="AD120" s="1" t="e">
        <f>VLOOKUP(K120,'Assessment Details'!$O$45:$P$48,2,FALSE)</f>
        <v>#N/A</v>
      </c>
      <c r="AE120" s="1" t="e">
        <f>VLOOKUP(R120,'Assessment Details'!$O$45:$P$48,2,FALSE)</f>
        <v>#N/A</v>
      </c>
      <c r="AF120" s="1" t="e">
        <f>VLOOKUP(Y120,'Assessment Details'!$O$45:$P$48,2,FALSE)</f>
        <v>#N/A</v>
      </c>
      <c r="AS120" s="17"/>
      <c r="AT120" s="17"/>
      <c r="AU120" s="17"/>
      <c r="AV120" s="17"/>
      <c r="AW120" s="17"/>
      <c r="AX120" s="17"/>
      <c r="AZ120" s="690"/>
    </row>
    <row r="121" spans="1:52">
      <c r="A121" s="830">
        <v>112</v>
      </c>
      <c r="B121" s="831" t="s">
        <v>408</v>
      </c>
      <c r="C121" s="100" t="str">
        <f t="shared" si="19"/>
        <v>Mat 01</v>
      </c>
      <c r="D121" s="653" t="s">
        <v>413</v>
      </c>
      <c r="E121" s="687" t="str">
        <f>VLOOKUP(D121,Poeng!$B$10:$R$252,Poeng!E$1,FALSE)</f>
        <v>Reduction of greenhouse gas emissions</v>
      </c>
      <c r="F121" s="98">
        <f>VLOOKUP(D121,Poeng!$B$10:$AB$252,Poeng!AB$1,FALSE)</f>
        <v>3</v>
      </c>
      <c r="G121" s="29"/>
      <c r="H121" s="99">
        <f>VLOOKUP(D121,Poeng!$B$10:$AE$252,Poeng!AE$1,FALSE)</f>
        <v>0</v>
      </c>
      <c r="I121" s="100" t="str">
        <f>VLOOKUP(D121,Poeng!$B$10:$BE$252,Poeng!BE$1,FALSE)</f>
        <v>Good</v>
      </c>
      <c r="J121" s="66"/>
      <c r="K121" s="233"/>
      <c r="L121" s="633"/>
      <c r="M121" s="648"/>
      <c r="N121" s="69"/>
      <c r="O121" s="99">
        <f>VLOOKUP(D121,Poeng!$B$10:$BC$252,Poeng!AF$1,FALSE)</f>
        <v>0</v>
      </c>
      <c r="P121" s="99" t="str">
        <f>VLOOKUP(D121,Poeng!$B$10:$BH$252,Poeng!BH$1,FALSE)</f>
        <v>Good</v>
      </c>
      <c r="Q121" s="583"/>
      <c r="R121" s="584"/>
      <c r="S121" s="577"/>
      <c r="T121" s="268"/>
      <c r="U121" s="69"/>
      <c r="V121" s="99">
        <f>VLOOKUP(D121,Poeng!$B$10:$BC$252,Poeng!AG$1,FALSE)</f>
        <v>0</v>
      </c>
      <c r="W121" s="99" t="str">
        <f>VLOOKUP(D121,Poeng!$B$10:$BK$252,Poeng!BK$1,FALSE)</f>
        <v>Good</v>
      </c>
      <c r="X121" s="67"/>
      <c r="Y121" s="66"/>
      <c r="Z121" s="577"/>
      <c r="AA121" s="108"/>
      <c r="AB121" s="690"/>
      <c r="AC121" s="17">
        <f t="shared" si="12"/>
        <v>1</v>
      </c>
      <c r="AD121" s="1" t="e">
        <f>VLOOKUP(K121,'Assessment Details'!$O$45:$P$48,2,FALSE)</f>
        <v>#N/A</v>
      </c>
      <c r="AE121" s="1" t="e">
        <f>VLOOKUP(R121,'Assessment Details'!$O$45:$P$48,2,FALSE)</f>
        <v>#N/A</v>
      </c>
      <c r="AF121" s="1" t="e">
        <f>VLOOKUP(Y121,'Assessment Details'!$O$45:$P$48,2,FALSE)</f>
        <v>#N/A</v>
      </c>
      <c r="AS121" s="17"/>
      <c r="AT121" s="17"/>
      <c r="AU121" s="17"/>
      <c r="AV121" s="17"/>
      <c r="AW121" s="17"/>
      <c r="AX121" s="17"/>
      <c r="AZ121" s="690"/>
    </row>
    <row r="122" spans="1:52">
      <c r="A122" s="830">
        <v>113</v>
      </c>
      <c r="B122" s="831" t="s">
        <v>408</v>
      </c>
      <c r="C122" s="100" t="str">
        <f t="shared" si="19"/>
        <v>Mat 01</v>
      </c>
      <c r="D122" s="14" t="s">
        <v>414</v>
      </c>
      <c r="E122" s="687" t="str">
        <f>VLOOKUP(D122,Poeng!$B$10:$R$252,Poeng!E$1,FALSE)</f>
        <v>Life cycle assessment of the building</v>
      </c>
      <c r="F122" s="98">
        <f>VLOOKUP(D122,Poeng!$B$10:$AB$252,Poeng!AB$1,FALSE)</f>
        <v>2</v>
      </c>
      <c r="G122" s="29"/>
      <c r="H122" s="99">
        <f>VLOOKUP(D122,Poeng!$B$10:$AE$252,Poeng!AE$1,FALSE)</f>
        <v>0</v>
      </c>
      <c r="I122" s="100" t="str">
        <f>VLOOKUP(D122,Poeng!$B$10:$BE$252,Poeng!BE$1,FALSE)</f>
        <v>N/A</v>
      </c>
      <c r="J122" s="66"/>
      <c r="K122" s="233"/>
      <c r="L122" s="633"/>
      <c r="M122" s="648"/>
      <c r="N122" s="69"/>
      <c r="O122" s="99">
        <f>VLOOKUP(D122,Poeng!$B$10:$BC$252,Poeng!AF$1,FALSE)</f>
        <v>0</v>
      </c>
      <c r="P122" s="99" t="str">
        <f>VLOOKUP(D122,Poeng!$B$10:$BH$252,Poeng!BH$1,FALSE)</f>
        <v>N/A</v>
      </c>
      <c r="Q122" s="583"/>
      <c r="R122" s="584"/>
      <c r="S122" s="577"/>
      <c r="T122" s="268"/>
      <c r="U122" s="69"/>
      <c r="V122" s="99">
        <f>VLOOKUP(D122,Poeng!$B$10:$BC$252,Poeng!AG$1,FALSE)</f>
        <v>0</v>
      </c>
      <c r="W122" s="99" t="str">
        <f>VLOOKUP(D122,Poeng!$B$10:$BK$252,Poeng!BK$1,FALSE)</f>
        <v>N/A</v>
      </c>
      <c r="X122" s="67"/>
      <c r="Y122" s="66"/>
      <c r="Z122" s="577"/>
      <c r="AC122" s="17">
        <f t="shared" si="12"/>
        <v>1</v>
      </c>
      <c r="AD122" s="1" t="e">
        <f>VLOOKUP(K122,'Assessment Details'!$O$45:$P$48,2,FALSE)</f>
        <v>#N/A</v>
      </c>
      <c r="AE122" s="1" t="e">
        <f>VLOOKUP(R122,'Assessment Details'!$O$45:$P$48,2,FALSE)</f>
        <v>#N/A</v>
      </c>
      <c r="AF122" s="1" t="e">
        <f>VLOOKUP(Y122,'Assessment Details'!$O$45:$P$48,2,FALSE)</f>
        <v>#N/A</v>
      </c>
    </row>
    <row r="123" spans="1:52" ht="15" customHeight="1">
      <c r="A123" s="830">
        <v>114</v>
      </c>
      <c r="B123" s="831" t="s">
        <v>408</v>
      </c>
      <c r="C123" s="841" t="s">
        <v>415</v>
      </c>
      <c r="D123" s="653" t="s">
        <v>415</v>
      </c>
      <c r="E123" s="781" t="str">
        <f>VLOOKUP(D123,Poeng!$B$10:$R$258,Poeng!E$1,FALSE)</f>
        <v>Mat 02 Environmental impacts from construction products - product requirements</v>
      </c>
      <c r="F123" s="691">
        <f>VLOOKUP(D123,Poeng!$B$10:$AB$258,Poeng!AB$1,FALSE)</f>
        <v>3</v>
      </c>
      <c r="G123" s="784"/>
      <c r="H123" s="692" t="str">
        <f>VLOOKUP(D123,Poeng!$B$10:$AI$258,Poeng!AI$1,FALSE)&amp;" c. "&amp;ROUND(VLOOKUP(D123,Poeng!$B$10:$AE$258,Poeng!AE$1,FALSE)*100,1)&amp;" %"</f>
        <v>0 c. 0 %</v>
      </c>
      <c r="I123" s="739" t="str">
        <f>VLOOKUP(D123,Poeng!$B$10:$BE$258,Poeng!BE$1,FALSE)</f>
        <v>N/A</v>
      </c>
      <c r="J123" s="66"/>
      <c r="K123" s="233"/>
      <c r="L123" s="633"/>
      <c r="M123" s="648"/>
      <c r="N123" s="784"/>
      <c r="O123" s="703" t="str">
        <f>VLOOKUP(D123,Poeng!$B$10:$BC$258,Poeng!AJ$1,FALSE)&amp;" c. "&amp;ROUND(VLOOKUP(D123,Poeng!$B$10:$BC$258,Poeng!AF$1,FALSE)*100,1)&amp;" %"</f>
        <v>0 c. 0 %</v>
      </c>
      <c r="P123" s="99" t="str">
        <f>VLOOKUP(D123,Poeng!$B$10:$BH$258,Poeng!BH$1,FALSE)</f>
        <v>N/A</v>
      </c>
      <c r="Q123" s="583"/>
      <c r="R123" s="584"/>
      <c r="S123" s="577"/>
      <c r="T123" s="268"/>
      <c r="U123" s="784"/>
      <c r="V123" s="703" t="str">
        <f>VLOOKUP(D123,Poeng!$B$10:$BC$258,Poeng!AK$1,FALSE)&amp;" c. "&amp;ROUND(VLOOKUP(D123,Poeng!$B$10:$BC$258,Poeng!AG$1,FALSE)*100,1)&amp;" %"</f>
        <v>0 c. 0 %</v>
      </c>
      <c r="W123" s="99" t="str">
        <f>VLOOKUP(D123,Poeng!$B$10:$BK$258,Poeng!BK$1,FALSE)</f>
        <v>N/A</v>
      </c>
      <c r="X123" s="67"/>
      <c r="Y123" s="66"/>
      <c r="Z123" s="577"/>
      <c r="AA123" s="108"/>
      <c r="AB123" s="495"/>
      <c r="AC123" s="17">
        <f t="shared" si="12"/>
        <v>1</v>
      </c>
      <c r="AD123" s="1" t="e">
        <f>VLOOKUP(K123,'Assessment Details'!$O$45:$P$48,2,FALSE)</f>
        <v>#N/A</v>
      </c>
      <c r="AE123" s="1" t="e">
        <f>VLOOKUP(R123,'Assessment Details'!$O$45:$P$48,2,FALSE)</f>
        <v>#N/A</v>
      </c>
      <c r="AF123" s="1" t="e">
        <f>VLOOKUP(Y123,'Assessment Details'!$O$45:$P$48,2,FALSE)</f>
        <v>#N/A</v>
      </c>
      <c r="AI123" s="56"/>
      <c r="AJ123" s="522"/>
      <c r="AK123" s="56"/>
      <c r="AL123" s="56"/>
      <c r="AM123" s="56"/>
      <c r="AN123" s="56"/>
      <c r="AO123" s="56"/>
      <c r="AP123" s="56"/>
      <c r="AS123" s="17"/>
      <c r="AT123" s="17"/>
      <c r="AU123" s="17"/>
      <c r="AV123" s="17"/>
      <c r="AW123" s="17"/>
      <c r="AX123" s="17"/>
      <c r="AZ123" s="495"/>
    </row>
    <row r="124" spans="1:52" ht="30">
      <c r="A124" s="830">
        <v>115</v>
      </c>
      <c r="B124" s="831" t="s">
        <v>408</v>
      </c>
      <c r="C124" s="100" t="str">
        <f t="shared" si="19"/>
        <v>Mat 02</v>
      </c>
      <c r="D124" s="14" t="s">
        <v>416</v>
      </c>
      <c r="E124" s="825" t="str">
        <f>VLOOKUP(D124,Poeng!$B$10:$R$252,Poeng!E$1,FALSE)</f>
        <v>Minimum req: absence of environmental toxins (EU taxonomy requirement: criterion 1)</v>
      </c>
      <c r="F124" s="98" t="str">
        <f>VLOOKUP(D124,Poeng!$B$10:$AB$252,Poeng!AB$1,FALSE)</f>
        <v>Yes/No</v>
      </c>
      <c r="G124" s="29"/>
      <c r="H124" s="99" t="str">
        <f>VLOOKUP(D124,Poeng!$B$10:$AE$252,Poeng!AE$1,FALSE)</f>
        <v>-</v>
      </c>
      <c r="I124" s="100" t="str">
        <f>VLOOKUP(D124,Poeng!$B$10:$BE$252,Poeng!BE$1,FALSE)</f>
        <v>Unclassified</v>
      </c>
      <c r="J124" s="66"/>
      <c r="K124" s="233"/>
      <c r="L124" s="633"/>
      <c r="M124" s="648"/>
      <c r="N124" s="69"/>
      <c r="O124" s="99" t="str">
        <f>VLOOKUP(D124,Poeng!$B$10:$BC$252,Poeng!AF$1,FALSE)</f>
        <v>-</v>
      </c>
      <c r="P124" s="99" t="str">
        <f>VLOOKUP(D124,Poeng!$B$10:$BH$252,Poeng!BH$1,FALSE)</f>
        <v>Unclassified</v>
      </c>
      <c r="Q124" s="583"/>
      <c r="R124" s="584"/>
      <c r="S124" s="577"/>
      <c r="T124" s="268"/>
      <c r="U124" s="69"/>
      <c r="V124" s="99" t="str">
        <f>VLOOKUP(D124,Poeng!$B$10:$BC$252,Poeng!AG$1,FALSE)</f>
        <v>-</v>
      </c>
      <c r="W124" s="99" t="str">
        <f>VLOOKUP(D124,Poeng!$B$10:$BK$252,Poeng!BK$1,FALSE)</f>
        <v>Unclassified</v>
      </c>
      <c r="X124" s="67"/>
      <c r="Y124" s="66"/>
      <c r="Z124" s="577"/>
      <c r="AC124" s="17">
        <f t="shared" si="12"/>
        <v>1</v>
      </c>
      <c r="AD124" s="1" t="e">
        <f>VLOOKUP(K124,'Assessment Details'!$O$45:$P$48,2,FALSE)</f>
        <v>#N/A</v>
      </c>
      <c r="AE124" s="1" t="e">
        <f>VLOOKUP(R124,'Assessment Details'!$O$45:$P$48,2,FALSE)</f>
        <v>#N/A</v>
      </c>
      <c r="AF124" s="1" t="e">
        <f>VLOOKUP(Y124,'Assessment Details'!$O$45:$P$48,2,FALSE)</f>
        <v>#N/A</v>
      </c>
    </row>
    <row r="125" spans="1:52">
      <c r="A125" s="830">
        <v>116</v>
      </c>
      <c r="B125" s="831" t="s">
        <v>408</v>
      </c>
      <c r="C125" s="100" t="str">
        <f t="shared" si="19"/>
        <v>Mat 02</v>
      </c>
      <c r="D125" s="14" t="s">
        <v>417</v>
      </c>
      <c r="E125" s="687" t="str">
        <f>VLOOKUP(D125,Poeng!$B$10:$R$252,Poeng!E$1,FALSE)</f>
        <v xml:space="preserve">EPD for construction products </v>
      </c>
      <c r="F125" s="98">
        <f>VLOOKUP(D125,Poeng!$B$10:$AB$252,Poeng!AB$1,FALSE)</f>
        <v>1</v>
      </c>
      <c r="G125" s="29"/>
      <c r="H125" s="99">
        <f>VLOOKUP(D125,Poeng!$B$10:$AE$252,Poeng!AE$1,FALSE)</f>
        <v>0</v>
      </c>
      <c r="I125" s="100" t="str">
        <f>VLOOKUP(D125,Poeng!$B$10:$BE$252,Poeng!BE$1,FALSE)</f>
        <v>N/A</v>
      </c>
      <c r="J125" s="66"/>
      <c r="K125" s="233"/>
      <c r="L125" s="633"/>
      <c r="M125" s="648"/>
      <c r="N125" s="69"/>
      <c r="O125" s="99">
        <f>VLOOKUP(D125,Poeng!$B$10:$BC$252,Poeng!AF$1,FALSE)</f>
        <v>0</v>
      </c>
      <c r="P125" s="99" t="str">
        <f>VLOOKUP(D125,Poeng!$B$10:$BH$252,Poeng!BH$1,FALSE)</f>
        <v>N/A</v>
      </c>
      <c r="Q125" s="583"/>
      <c r="R125" s="584"/>
      <c r="S125" s="577"/>
      <c r="T125" s="268"/>
      <c r="U125" s="69"/>
      <c r="V125" s="99">
        <f>VLOOKUP(D125,Poeng!$B$10:$BC$252,Poeng!AG$1,FALSE)</f>
        <v>0</v>
      </c>
      <c r="W125" s="99" t="str">
        <f>VLOOKUP(D125,Poeng!$B$10:$BK$252,Poeng!BK$1,FALSE)</f>
        <v>N/A</v>
      </c>
      <c r="X125" s="67"/>
      <c r="Y125" s="66"/>
      <c r="Z125" s="577"/>
      <c r="AC125" s="17">
        <f t="shared" si="12"/>
        <v>1</v>
      </c>
      <c r="AD125" s="1" t="e">
        <f>VLOOKUP(K125,'Assessment Details'!$O$45:$P$48,2,FALSE)</f>
        <v>#N/A</v>
      </c>
      <c r="AE125" s="1" t="e">
        <f>VLOOKUP(R125,'Assessment Details'!$O$45:$P$48,2,FALSE)</f>
        <v>#N/A</v>
      </c>
      <c r="AF125" s="1" t="e">
        <f>VLOOKUP(Y125,'Assessment Details'!$O$45:$P$48,2,FALSE)</f>
        <v>#N/A</v>
      </c>
    </row>
    <row r="126" spans="1:52">
      <c r="A126" s="830">
        <v>117</v>
      </c>
      <c r="B126" s="831" t="s">
        <v>408</v>
      </c>
      <c r="C126" s="100" t="str">
        <f t="shared" si="19"/>
        <v>Mat 02</v>
      </c>
      <c r="D126" s="14" t="s">
        <v>418</v>
      </c>
      <c r="E126" s="687" t="str">
        <f>VLOOKUP(D126,Poeng!$B$10:$R$252,Poeng!E$1,FALSE)</f>
        <v xml:space="preserve">Performance requirements for construction products </v>
      </c>
      <c r="F126" s="98">
        <f>VLOOKUP(D126,Poeng!$B$10:$AB$252,Poeng!AB$1,FALSE)</f>
        <v>2</v>
      </c>
      <c r="G126" s="29"/>
      <c r="H126" s="99">
        <f>VLOOKUP(D126,Poeng!$B$10:$AE$252,Poeng!AE$1,FALSE)</f>
        <v>0</v>
      </c>
      <c r="I126" s="100" t="str">
        <f>VLOOKUP(D126,Poeng!$B$10:$BE$252,Poeng!BE$1,FALSE)</f>
        <v>N/A</v>
      </c>
      <c r="J126" s="66"/>
      <c r="K126" s="233"/>
      <c r="L126" s="633"/>
      <c r="M126" s="648"/>
      <c r="N126" s="69"/>
      <c r="O126" s="99">
        <f>VLOOKUP(D126,Poeng!$B$10:$BC$252,Poeng!AF$1,FALSE)</f>
        <v>0</v>
      </c>
      <c r="P126" s="99" t="str">
        <f>VLOOKUP(D126,Poeng!$B$10:$BH$252,Poeng!BH$1,FALSE)</f>
        <v>N/A</v>
      </c>
      <c r="Q126" s="583"/>
      <c r="R126" s="584"/>
      <c r="S126" s="633"/>
      <c r="T126" s="268"/>
      <c r="U126" s="69"/>
      <c r="V126" s="99">
        <f>VLOOKUP(D126,Poeng!$B$10:$BC$252,Poeng!AG$1,FALSE)</f>
        <v>0</v>
      </c>
      <c r="W126" s="99" t="str">
        <f>VLOOKUP(D126,Poeng!$B$10:$BK$252,Poeng!BK$1,FALSE)</f>
        <v>N/A</v>
      </c>
      <c r="X126" s="67"/>
      <c r="Y126" s="66"/>
      <c r="Z126" s="633"/>
      <c r="AC126" s="17">
        <f t="shared" si="12"/>
        <v>1</v>
      </c>
      <c r="AD126" s="1" t="e">
        <f>VLOOKUP(K126,'Assessment Details'!$O$45:$P$48,2,FALSE)</f>
        <v>#N/A</v>
      </c>
      <c r="AE126" s="1" t="e">
        <f>VLOOKUP(R126,'Assessment Details'!$O$45:$P$48,2,FALSE)</f>
        <v>#N/A</v>
      </c>
      <c r="AF126" s="1" t="e">
        <f>VLOOKUP(Y126,'Assessment Details'!$O$45:$P$48,2,FALSE)</f>
        <v>#N/A</v>
      </c>
    </row>
    <row r="127" spans="1:52">
      <c r="A127" s="830">
        <v>118</v>
      </c>
      <c r="B127" s="831" t="s">
        <v>408</v>
      </c>
      <c r="C127" s="739" t="s">
        <v>419</v>
      </c>
      <c r="D127" s="653" t="s">
        <v>419</v>
      </c>
      <c r="E127" s="686" t="str">
        <f>VLOOKUP(D127,Poeng!$B$10:$R$252,Poeng!E$1,FALSE)</f>
        <v>Mat 03 Responsible sourcing of construction products</v>
      </c>
      <c r="F127" s="691">
        <f>VLOOKUP(D127,Poeng!$B$10:$AB$252,Poeng!AB$1,FALSE)</f>
        <v>3</v>
      </c>
      <c r="G127" s="784"/>
      <c r="H127" s="692" t="str">
        <f>VLOOKUP(D127,Poeng!$B$10:$AI$252,Poeng!AI$1,FALSE)&amp;" c. "&amp;ROUND(VLOOKUP(D127,Poeng!$B$10:$AE$252,Poeng!AE$1,FALSE)*100,1)&amp;" %"</f>
        <v>0 c. 0 %</v>
      </c>
      <c r="I127" s="739" t="str">
        <f>VLOOKUP(D127,Poeng!$B$10:$BE$252,Poeng!BE$1,FALSE)</f>
        <v>N/A</v>
      </c>
      <c r="J127" s="66"/>
      <c r="K127" s="233"/>
      <c r="L127" s="633"/>
      <c r="M127" s="648"/>
      <c r="N127" s="784"/>
      <c r="O127" s="703" t="str">
        <f>VLOOKUP(D127,Poeng!$B$10:$BC$252,Poeng!AJ$1,FALSE)&amp;" c. "&amp;ROUND(VLOOKUP(D127,Poeng!$B$10:$BC$252,Poeng!AF$1,FALSE)*100,1)&amp;" %"</f>
        <v>0 c. 0 %</v>
      </c>
      <c r="P127" s="99" t="str">
        <f>VLOOKUP(D127,Poeng!$B$10:$BH$252,Poeng!BH$1,FALSE)</f>
        <v>N/A</v>
      </c>
      <c r="Q127" s="583"/>
      <c r="R127" s="584"/>
      <c r="S127" s="577"/>
      <c r="T127" s="268"/>
      <c r="U127" s="784"/>
      <c r="V127" s="703" t="str">
        <f>VLOOKUP(D127,Poeng!$B$10:$BC$252,Poeng!AK$1,FALSE)&amp;" c. "&amp;ROUND(VLOOKUP(D127,Poeng!$B$10:$BC$252,Poeng!AG$1,FALSE)*100,1)&amp;" %"</f>
        <v>0 c. 0 %</v>
      </c>
      <c r="W127" s="99" t="str">
        <f>VLOOKUP(D127,Poeng!$B$10:$BK$252,Poeng!BK$1,FALSE)</f>
        <v>N/A</v>
      </c>
      <c r="X127" s="67"/>
      <c r="Y127" s="66"/>
      <c r="Z127" s="577"/>
      <c r="AA127" s="108"/>
      <c r="AB127" s="495" t="s">
        <v>216</v>
      </c>
      <c r="AC127" s="17">
        <f t="shared" si="12"/>
        <v>1</v>
      </c>
      <c r="AD127" s="1" t="e">
        <f>VLOOKUP(K127,'Assessment Details'!$O$45:$P$48,2,FALSE)</f>
        <v>#N/A</v>
      </c>
      <c r="AE127" s="1" t="e">
        <f>VLOOKUP(R127,'Assessment Details'!$O$45:$P$48,2,FALSE)</f>
        <v>#N/A</v>
      </c>
      <c r="AF127" s="1" t="e">
        <f>VLOOKUP(Y127,'Assessment Details'!$O$45:$P$48,2,FALSE)</f>
        <v>#N/A</v>
      </c>
      <c r="AI127" s="56"/>
      <c r="AJ127" s="522" t="s">
        <v>420</v>
      </c>
      <c r="AK127" s="56"/>
      <c r="AL127" s="56"/>
      <c r="AM127" s="56"/>
      <c r="AN127" s="56"/>
      <c r="AO127" s="56"/>
      <c r="AP127" s="56"/>
      <c r="AS127" s="17" t="str">
        <f t="shared" si="13"/>
        <v>N/A</v>
      </c>
      <c r="AT127" s="17" t="str">
        <f t="shared" si="14"/>
        <v>N/A</v>
      </c>
      <c r="AU127" s="17" t="str">
        <f t="shared" si="15"/>
        <v>N/A</v>
      </c>
      <c r="AV127" s="17"/>
      <c r="AW127" s="17"/>
      <c r="AX127" s="17"/>
      <c r="AZ127" s="495"/>
    </row>
    <row r="128" spans="1:52">
      <c r="A128" s="830">
        <v>119</v>
      </c>
      <c r="B128" s="831" t="s">
        <v>408</v>
      </c>
      <c r="C128" s="100" t="str">
        <f t="shared" si="19"/>
        <v>Mat 03</v>
      </c>
      <c r="D128" s="14" t="s">
        <v>421</v>
      </c>
      <c r="E128" s="687" t="str">
        <f>VLOOKUP(D128,Poeng!$B$10:$R$252,Poeng!E$1,FALSE)</f>
        <v>Minimum req: legal and sustainable timber</v>
      </c>
      <c r="F128" s="98" t="str">
        <f>VLOOKUP(D128,Poeng!$B$10:$AB$252,Poeng!AB$1,FALSE)</f>
        <v>Yes/No</v>
      </c>
      <c r="G128" s="29"/>
      <c r="H128" s="99" t="str">
        <f>VLOOKUP(D128,Poeng!$B$10:$AE$252,Poeng!AE$1,FALSE)</f>
        <v>-</v>
      </c>
      <c r="I128" s="100" t="str">
        <f>VLOOKUP(D128,Poeng!$B$10:$BE$252,Poeng!BE$1,FALSE)</f>
        <v>Unclassified</v>
      </c>
      <c r="J128" s="66"/>
      <c r="K128" s="233"/>
      <c r="L128" s="633"/>
      <c r="M128" s="648"/>
      <c r="N128" s="69"/>
      <c r="O128" s="99" t="str">
        <f>VLOOKUP(D128,Poeng!$B$10:$BC$252,Poeng!AF$1,FALSE)</f>
        <v>-</v>
      </c>
      <c r="P128" s="99" t="str">
        <f>VLOOKUP(D128,Poeng!$B$10:$BH$252,Poeng!BH$1,FALSE)</f>
        <v>Unclassified</v>
      </c>
      <c r="Q128" s="583"/>
      <c r="R128" s="584"/>
      <c r="S128" s="577"/>
      <c r="T128" s="268"/>
      <c r="U128" s="69"/>
      <c r="V128" s="99" t="str">
        <f>VLOOKUP(D128,Poeng!$B$10:$BC$252,Poeng!AG$1,FALSE)</f>
        <v>-</v>
      </c>
      <c r="W128" s="99" t="str">
        <f>VLOOKUP(D128,Poeng!$B$10:$BK$252,Poeng!BK$1,FALSE)</f>
        <v>Unclassified</v>
      </c>
      <c r="X128" s="67"/>
      <c r="Y128" s="66"/>
      <c r="Z128" s="577"/>
      <c r="AC128" s="17">
        <f t="shared" si="12"/>
        <v>1</v>
      </c>
      <c r="AD128" s="1" t="e">
        <f>VLOOKUP(K128,'Assessment Details'!$O$45:$P$48,2,FALSE)</f>
        <v>#N/A</v>
      </c>
      <c r="AE128" s="1" t="e">
        <f>VLOOKUP(R128,'Assessment Details'!$O$45:$P$48,2,FALSE)</f>
        <v>#N/A</v>
      </c>
      <c r="AF128" s="1" t="e">
        <f>VLOOKUP(Y128,'Assessment Details'!$O$45:$P$48,2,FALSE)</f>
        <v>#N/A</v>
      </c>
    </row>
    <row r="129" spans="1:52">
      <c r="A129" s="830">
        <v>120</v>
      </c>
      <c r="B129" s="831" t="s">
        <v>408</v>
      </c>
      <c r="C129" s="100" t="str">
        <f t="shared" si="19"/>
        <v>Mat 03</v>
      </c>
      <c r="D129" s="14" t="s">
        <v>422</v>
      </c>
      <c r="E129" s="687" t="str">
        <f>VLOOKUP(D129,Poeng!$B$10:$R$252,Poeng!E$1,FALSE)</f>
        <v>Enabling sustainable procurement</v>
      </c>
      <c r="F129" s="98">
        <f>VLOOKUP(D129,Poeng!$B$10:$AB$252,Poeng!AB$1,FALSE)</f>
        <v>1</v>
      </c>
      <c r="G129" s="29"/>
      <c r="H129" s="99">
        <f>VLOOKUP(D129,Poeng!$B$10:$AE$252,Poeng!AE$1,FALSE)</f>
        <v>0</v>
      </c>
      <c r="I129" s="100" t="str">
        <f>VLOOKUP(D129,Poeng!$B$10:$BE$252,Poeng!BE$1,FALSE)</f>
        <v>N/A</v>
      </c>
      <c r="J129" s="66"/>
      <c r="K129" s="233"/>
      <c r="L129" s="633"/>
      <c r="M129" s="648"/>
      <c r="N129" s="69"/>
      <c r="O129" s="99">
        <f>VLOOKUP(D129,Poeng!$B$10:$BC$252,Poeng!AF$1,FALSE)</f>
        <v>0</v>
      </c>
      <c r="P129" s="99" t="str">
        <f>VLOOKUP(D129,Poeng!$B$10:$BH$252,Poeng!BH$1,FALSE)</f>
        <v>N/A</v>
      </c>
      <c r="Q129" s="583"/>
      <c r="R129" s="584"/>
      <c r="S129" s="577"/>
      <c r="T129" s="268"/>
      <c r="U129" s="69"/>
      <c r="V129" s="99">
        <f>VLOOKUP(D129,Poeng!$B$10:$BC$252,Poeng!AG$1,FALSE)</f>
        <v>0</v>
      </c>
      <c r="W129" s="99" t="str">
        <f>VLOOKUP(D129,Poeng!$B$10:$BK$252,Poeng!BK$1,FALSE)</f>
        <v>N/A</v>
      </c>
      <c r="X129" s="67"/>
      <c r="Y129" s="66"/>
      <c r="Z129" s="577"/>
      <c r="AC129" s="17">
        <f t="shared" si="12"/>
        <v>1</v>
      </c>
      <c r="AD129" s="1" t="e">
        <f>VLOOKUP(K129,'Assessment Details'!$O$45:$P$48,2,FALSE)</f>
        <v>#N/A</v>
      </c>
      <c r="AE129" s="1" t="e">
        <f>VLOOKUP(R129,'Assessment Details'!$O$45:$P$48,2,FALSE)</f>
        <v>#N/A</v>
      </c>
      <c r="AF129" s="1" t="e">
        <f>VLOOKUP(Y129,'Assessment Details'!$O$45:$P$48,2,FALSE)</f>
        <v>#N/A</v>
      </c>
    </row>
    <row r="130" spans="1:52">
      <c r="A130" s="830">
        <v>121</v>
      </c>
      <c r="B130" s="831" t="s">
        <v>408</v>
      </c>
      <c r="C130" s="100" t="str">
        <f t="shared" si="19"/>
        <v>Mat 03</v>
      </c>
      <c r="D130" s="14" t="s">
        <v>423</v>
      </c>
      <c r="E130" s="687" t="str">
        <f>VLOOKUP(D130,Poeng!$B$10:$R$252,Poeng!E$1,FALSE)</f>
        <v>Responsible sourcing of relevant materials</v>
      </c>
      <c r="F130" s="98">
        <f>VLOOKUP(D130,Poeng!$B$10:$AB$252,Poeng!AB$1,FALSE)</f>
        <v>2</v>
      </c>
      <c r="G130" s="29"/>
      <c r="H130" s="99">
        <f>VLOOKUP(D130,Poeng!$B$10:$AE$252,Poeng!AE$1,FALSE)</f>
        <v>0</v>
      </c>
      <c r="I130" s="100" t="str">
        <f>VLOOKUP(D130,Poeng!$B$10:$BE$252,Poeng!BE$1,FALSE)</f>
        <v>N/A</v>
      </c>
      <c r="J130" s="847"/>
      <c r="K130" s="233"/>
      <c r="L130" s="633"/>
      <c r="M130" s="648"/>
      <c r="N130" s="69"/>
      <c r="O130" s="99">
        <f>VLOOKUP(D130,Poeng!$B$10:$BC$252,Poeng!AF$1,FALSE)</f>
        <v>0</v>
      </c>
      <c r="P130" s="99" t="str">
        <f>VLOOKUP(D130,Poeng!$B$10:$BH$252,Poeng!BH$1,FALSE)</f>
        <v>N/A</v>
      </c>
      <c r="Q130" s="583"/>
      <c r="R130" s="584"/>
      <c r="S130" s="577"/>
      <c r="T130" s="268"/>
      <c r="U130" s="69"/>
      <c r="V130" s="99">
        <f>VLOOKUP(D130,Poeng!$B$10:$BC$252,Poeng!AG$1,FALSE)</f>
        <v>0</v>
      </c>
      <c r="W130" s="99" t="str">
        <f>VLOOKUP(D130,Poeng!$B$10:$BK$252,Poeng!BK$1,FALSE)</f>
        <v>N/A</v>
      </c>
      <c r="X130" s="67"/>
      <c r="Y130" s="66"/>
      <c r="Z130" s="577"/>
      <c r="AC130" s="17">
        <f t="shared" si="12"/>
        <v>1</v>
      </c>
      <c r="AD130" s="1" t="e">
        <f>VLOOKUP(K130,'Assessment Details'!$O$45:$P$48,2,FALSE)</f>
        <v>#N/A</v>
      </c>
      <c r="AE130" s="1" t="e">
        <f>VLOOKUP(R130,'Assessment Details'!$O$45:$P$48,2,FALSE)</f>
        <v>#N/A</v>
      </c>
      <c r="AF130" s="1" t="e">
        <f>VLOOKUP(Y130,'Assessment Details'!$O$45:$P$48,2,FALSE)</f>
        <v>#N/A</v>
      </c>
    </row>
    <row r="131" spans="1:52">
      <c r="A131" s="830">
        <v>122</v>
      </c>
      <c r="B131" s="831" t="s">
        <v>408</v>
      </c>
      <c r="C131" s="739" t="s">
        <v>424</v>
      </c>
      <c r="D131" s="653" t="s">
        <v>424</v>
      </c>
      <c r="E131" s="686" t="str">
        <f>VLOOKUP(D131,Poeng!$B$10:$R$252,Poeng!E$1,FALSE)</f>
        <v>Mat 05 Designing for durability and climate adaption</v>
      </c>
      <c r="F131" s="691">
        <f>VLOOKUP(D131,Poeng!$B$10:$AB$252,Poeng!AB$1,FALSE)</f>
        <v>4</v>
      </c>
      <c r="G131" s="784"/>
      <c r="H131" s="692" t="str">
        <f>VLOOKUP(D131,Poeng!$B$10:$AI$252,Poeng!AI$1,FALSE)&amp;" c. "&amp;ROUND(VLOOKUP(D131,Poeng!$B$10:$AE$252,Poeng!AE$1,FALSE)*100,1)&amp;" %"</f>
        <v>0 c. 0 %</v>
      </c>
      <c r="I131" s="739" t="str">
        <f>VLOOKUP(D131,Poeng!$B$10:$BE$252,Poeng!BE$1,FALSE)</f>
        <v>N/A</v>
      </c>
      <c r="J131" s="66"/>
      <c r="K131" s="233"/>
      <c r="L131" s="633"/>
      <c r="M131" s="648"/>
      <c r="N131" s="784"/>
      <c r="O131" s="703" t="str">
        <f>VLOOKUP(D131,Poeng!$B$10:$BC$252,Poeng!AJ$1,FALSE)&amp;" c. "&amp;ROUND(VLOOKUP(D131,Poeng!$B$10:$BC$252,Poeng!AF$1,FALSE)*100,1)&amp;" %"</f>
        <v>0 c. 0 %</v>
      </c>
      <c r="P131" s="99" t="str">
        <f>VLOOKUP(D131,Poeng!$B$10:$BH$252,Poeng!BH$1,FALSE)</f>
        <v>N/A</v>
      </c>
      <c r="Q131" s="583"/>
      <c r="R131" s="584"/>
      <c r="S131" s="577"/>
      <c r="T131" s="268"/>
      <c r="U131" s="784"/>
      <c r="V131" s="703" t="str">
        <f>VLOOKUP(D131,Poeng!$B$10:$BC$252,Poeng!AK$1,FALSE)&amp;" c. "&amp;ROUND(VLOOKUP(D131,Poeng!$B$10:$BC$252,Poeng!AG$1,FALSE)*100,1)&amp;" %"</f>
        <v>0 c. 0 %</v>
      </c>
      <c r="W131" s="99" t="str">
        <f>VLOOKUP(D131,Poeng!$B$10:$BK$252,Poeng!BK$1,FALSE)</f>
        <v>N/A</v>
      </c>
      <c r="X131" s="67"/>
      <c r="Y131" s="66"/>
      <c r="Z131" s="577"/>
      <c r="AA131" s="108"/>
      <c r="AB131" s="495" t="s">
        <v>127</v>
      </c>
      <c r="AC131" s="17">
        <f t="shared" si="12"/>
        <v>1</v>
      </c>
      <c r="AD131" s="1" t="e">
        <f>VLOOKUP(K131,'Assessment Details'!$O$45:$P$48,2,FALSE)</f>
        <v>#N/A</v>
      </c>
      <c r="AE131" s="1" t="e">
        <f>VLOOKUP(R131,'Assessment Details'!$O$45:$P$48,2,FALSE)</f>
        <v>#N/A</v>
      </c>
      <c r="AF131" s="1" t="e">
        <f>VLOOKUP(Y131,'Assessment Details'!$O$45:$P$48,2,FALSE)</f>
        <v>#N/A</v>
      </c>
      <c r="AI131" s="56" t="str">
        <f>ais_ja</f>
        <v>Ja</v>
      </c>
      <c r="AJ131" s="522" t="s">
        <v>425</v>
      </c>
      <c r="AK131" s="501" t="s">
        <v>273</v>
      </c>
      <c r="AL131" s="501" t="s">
        <v>315</v>
      </c>
      <c r="AM131" s="501" t="s">
        <v>275</v>
      </c>
      <c r="AN131" s="56"/>
      <c r="AO131" s="56"/>
      <c r="AP131" s="56"/>
      <c r="AR131" s="1" t="s">
        <v>127</v>
      </c>
      <c r="AS131" s="17" t="str">
        <f t="shared" si="13"/>
        <v>N/A</v>
      </c>
      <c r="AT131" s="17" t="str">
        <f t="shared" si="14"/>
        <v>N/A</v>
      </c>
      <c r="AU131" s="17" t="str">
        <f t="shared" si="15"/>
        <v>N/A</v>
      </c>
      <c r="AV131" s="17"/>
      <c r="AW131" s="17"/>
      <c r="AX131" s="17"/>
      <c r="AZ131" s="497"/>
    </row>
    <row r="132" spans="1:52">
      <c r="A132" s="830">
        <v>123</v>
      </c>
      <c r="B132" s="831" t="s">
        <v>408</v>
      </c>
      <c r="C132" s="100" t="str">
        <f t="shared" si="19"/>
        <v>Mat 05</v>
      </c>
      <c r="D132" s="653" t="s">
        <v>426</v>
      </c>
      <c r="E132" s="687" t="str">
        <f>VLOOKUP(D132,Poeng!$B$10:$R$252,Poeng!E$1,FALSE)</f>
        <v>Pre-requisite: risk analysis</v>
      </c>
      <c r="F132" s="98" t="str">
        <f>VLOOKUP(D132,Poeng!$B$10:$AB$252,Poeng!AB$1,FALSE)</f>
        <v>Yes/No</v>
      </c>
      <c r="G132" s="29"/>
      <c r="H132" s="99" t="str">
        <f>VLOOKUP(D132,Poeng!$B$10:$AE$252,Poeng!AE$1,FALSE)</f>
        <v>-</v>
      </c>
      <c r="I132" s="100" t="str">
        <f>VLOOKUP(D132,Poeng!$B$10:$BE$252,Poeng!BE$1,FALSE)</f>
        <v>N/A</v>
      </c>
      <c r="J132" s="66"/>
      <c r="K132" s="233"/>
      <c r="L132" s="633"/>
      <c r="M132" s="648"/>
      <c r="N132" s="69"/>
      <c r="O132" s="99" t="str">
        <f>VLOOKUP(D132,Poeng!$B$10:$BC$252,Poeng!AF$1,FALSE)</f>
        <v>-</v>
      </c>
      <c r="P132" s="99" t="str">
        <f>VLOOKUP(D132,Poeng!$B$10:$BH$252,Poeng!BH$1,FALSE)</f>
        <v>N/A</v>
      </c>
      <c r="Q132" s="583"/>
      <c r="R132" s="584"/>
      <c r="S132" s="577"/>
      <c r="T132" s="268"/>
      <c r="U132" s="69"/>
      <c r="V132" s="99" t="str">
        <f>VLOOKUP(D132,Poeng!$B$10:$BC$252,Poeng!AG$1,FALSE)</f>
        <v>-</v>
      </c>
      <c r="W132" s="99" t="str">
        <f>VLOOKUP(D132,Poeng!$B$10:$BK$252,Poeng!BK$1,FALSE)</f>
        <v>N/A</v>
      </c>
      <c r="X132" s="67"/>
      <c r="Y132" s="66"/>
      <c r="Z132" s="577"/>
      <c r="AA132" s="108"/>
      <c r="AB132" s="559"/>
      <c r="AC132" s="17">
        <f t="shared" si="12"/>
        <v>1</v>
      </c>
      <c r="AD132" s="1" t="e">
        <f>VLOOKUP(K132,'Assessment Details'!$O$45:$P$48,2,FALSE)</f>
        <v>#N/A</v>
      </c>
      <c r="AE132" s="1" t="e">
        <f>VLOOKUP(R132,'Assessment Details'!$O$45:$P$48,2,FALSE)</f>
        <v>#N/A</v>
      </c>
      <c r="AF132" s="1" t="e">
        <f>VLOOKUP(Y132,'Assessment Details'!$O$45:$P$48,2,FALSE)</f>
        <v>#N/A</v>
      </c>
      <c r="AI132" s="56"/>
      <c r="AJ132" s="522"/>
      <c r="AK132" s="501"/>
      <c r="AL132" s="501"/>
      <c r="AM132" s="501"/>
      <c r="AN132" s="56"/>
      <c r="AO132" s="56"/>
      <c r="AP132" s="56"/>
      <c r="AS132" s="17"/>
      <c r="AT132" s="17"/>
      <c r="AU132" s="17"/>
      <c r="AV132" s="17"/>
      <c r="AW132" s="17"/>
      <c r="AX132" s="17"/>
      <c r="AZ132" s="560"/>
    </row>
    <row r="133" spans="1:52">
      <c r="A133" s="830">
        <v>124</v>
      </c>
      <c r="B133" s="831" t="s">
        <v>408</v>
      </c>
      <c r="C133" s="100" t="str">
        <f t="shared" si="19"/>
        <v>Mat 05</v>
      </c>
      <c r="D133" s="653" t="s">
        <v>427</v>
      </c>
      <c r="E133" s="687" t="str">
        <f>VLOOKUP(D133,Poeng!$B$10:$R$252,Poeng!E$1,FALSE)</f>
        <v>Protect vulnerable parts of the building from damage</v>
      </c>
      <c r="F133" s="98">
        <f>VLOOKUP(D133,Poeng!$B$10:$AB$252,Poeng!AB$1,FALSE)</f>
        <v>1</v>
      </c>
      <c r="G133" s="827"/>
      <c r="H133" s="99">
        <f>VLOOKUP(D133,Poeng!$B$10:$AE$252,Poeng!AE$1,FALSE)</f>
        <v>0</v>
      </c>
      <c r="I133" s="100" t="str">
        <f>VLOOKUP(D133,Poeng!$B$10:$BE$252,Poeng!BE$1,FALSE)</f>
        <v>N/A</v>
      </c>
      <c r="J133" s="66"/>
      <c r="K133" s="233"/>
      <c r="L133" s="633"/>
      <c r="M133" s="648"/>
      <c r="N133" s="69"/>
      <c r="O133" s="99">
        <f>VLOOKUP(D133,Poeng!$B$10:$BC$252,Poeng!AF$1,FALSE)</f>
        <v>0</v>
      </c>
      <c r="P133" s="99" t="str">
        <f>VLOOKUP(D133,Poeng!$B$10:$BH$252,Poeng!BH$1,FALSE)</f>
        <v>N/A</v>
      </c>
      <c r="Q133" s="583"/>
      <c r="R133" s="584"/>
      <c r="S133" s="577"/>
      <c r="T133" s="268"/>
      <c r="U133" s="69"/>
      <c r="V133" s="99">
        <f>VLOOKUP(D133,Poeng!$B$10:$BC$252,Poeng!AG$1,FALSE)</f>
        <v>0</v>
      </c>
      <c r="W133" s="99" t="str">
        <f>VLOOKUP(D133,Poeng!$B$10:$BK$252,Poeng!BK$1,FALSE)</f>
        <v>N/A</v>
      </c>
      <c r="X133" s="67"/>
      <c r="Y133" s="66"/>
      <c r="Z133" s="577"/>
      <c r="AA133" s="108"/>
      <c r="AB133" s="559"/>
      <c r="AC133" s="17">
        <f t="shared" si="12"/>
        <v>1</v>
      </c>
      <c r="AD133" s="1" t="e">
        <f>VLOOKUP(K133,'Assessment Details'!$O$45:$P$48,2,FALSE)</f>
        <v>#N/A</v>
      </c>
      <c r="AE133" s="1" t="e">
        <f>VLOOKUP(R133,'Assessment Details'!$O$45:$P$48,2,FALSE)</f>
        <v>#N/A</v>
      </c>
      <c r="AF133" s="1" t="e">
        <f>VLOOKUP(Y133,'Assessment Details'!$O$45:$P$48,2,FALSE)</f>
        <v>#N/A</v>
      </c>
      <c r="AI133" s="56"/>
      <c r="AJ133" s="522"/>
      <c r="AK133" s="501"/>
      <c r="AL133" s="501"/>
      <c r="AM133" s="501"/>
      <c r="AN133" s="56"/>
      <c r="AO133" s="56"/>
      <c r="AP133" s="56"/>
      <c r="AS133" s="17"/>
      <c r="AT133" s="17"/>
      <c r="AU133" s="17"/>
      <c r="AV133" s="17"/>
      <c r="AW133" s="17"/>
      <c r="AX133" s="17"/>
      <c r="AZ133" s="560"/>
    </row>
    <row r="134" spans="1:52">
      <c r="A134" s="830">
        <v>125</v>
      </c>
      <c r="B134" s="831" t="s">
        <v>408</v>
      </c>
      <c r="C134" s="100" t="str">
        <f t="shared" si="19"/>
        <v>Mat 05</v>
      </c>
      <c r="D134" s="653" t="s">
        <v>428</v>
      </c>
      <c r="E134" s="825" t="str">
        <f>VLOOKUP(D134,Poeng!$B$10:$R$252,Poeng!E$1,FALSE)</f>
        <v xml:space="preserve">Protecting exposed parts of the building from material degradation </v>
      </c>
      <c r="F134" s="98">
        <f>VLOOKUP(D134,Poeng!$B$10:$AB$252,Poeng!AB$1,FALSE)</f>
        <v>1</v>
      </c>
      <c r="G134" s="827"/>
      <c r="H134" s="99">
        <f>VLOOKUP(D134,Poeng!$B$10:$AE$252,Poeng!AE$1,FALSE)</f>
        <v>0</v>
      </c>
      <c r="I134" s="100" t="str">
        <f>VLOOKUP(D134,Poeng!$B$10:$BE$252,Poeng!BE$1,FALSE)</f>
        <v>N/A</v>
      </c>
      <c r="J134" s="66"/>
      <c r="K134" s="233"/>
      <c r="L134" s="633"/>
      <c r="M134" s="648"/>
      <c r="N134" s="69"/>
      <c r="O134" s="99">
        <f>VLOOKUP(D134,Poeng!$B$10:$BC$252,Poeng!AF$1,FALSE)</f>
        <v>0</v>
      </c>
      <c r="P134" s="99" t="str">
        <f>VLOOKUP(D134,Poeng!$B$10:$BH$252,Poeng!BH$1,FALSE)</f>
        <v>N/A</v>
      </c>
      <c r="Q134" s="583"/>
      <c r="R134" s="584"/>
      <c r="S134" s="577"/>
      <c r="T134" s="268"/>
      <c r="U134" s="69"/>
      <c r="V134" s="99">
        <f>VLOOKUP(D134,Poeng!$B$10:$BC$252,Poeng!AG$1,FALSE)</f>
        <v>0</v>
      </c>
      <c r="W134" s="99" t="str">
        <f>VLOOKUP(D134,Poeng!$B$10:$BK$252,Poeng!BK$1,FALSE)</f>
        <v>N/A</v>
      </c>
      <c r="X134" s="67"/>
      <c r="Y134" s="66"/>
      <c r="Z134" s="577"/>
      <c r="AA134" s="108"/>
      <c r="AB134" s="559"/>
      <c r="AC134" s="17">
        <f t="shared" si="12"/>
        <v>1</v>
      </c>
      <c r="AD134" s="1" t="e">
        <f>VLOOKUP(K134,'Assessment Details'!$O$45:$P$48,2,FALSE)</f>
        <v>#N/A</v>
      </c>
      <c r="AE134" s="1" t="e">
        <f>VLOOKUP(R134,'Assessment Details'!$O$45:$P$48,2,FALSE)</f>
        <v>#N/A</v>
      </c>
      <c r="AF134" s="1" t="e">
        <f>VLOOKUP(Y134,'Assessment Details'!$O$45:$P$48,2,FALSE)</f>
        <v>#N/A</v>
      </c>
      <c r="AI134" s="56"/>
      <c r="AJ134" s="522"/>
      <c r="AK134" s="501"/>
      <c r="AL134" s="501"/>
      <c r="AM134" s="501"/>
      <c r="AN134" s="56"/>
      <c r="AO134" s="56"/>
      <c r="AP134" s="56"/>
      <c r="AS134" s="17"/>
      <c r="AT134" s="17"/>
      <c r="AU134" s="17"/>
      <c r="AV134" s="17"/>
      <c r="AW134" s="17"/>
      <c r="AX134" s="17"/>
      <c r="AZ134" s="560"/>
    </row>
    <row r="135" spans="1:52">
      <c r="A135" s="830">
        <v>126</v>
      </c>
      <c r="B135" s="831" t="s">
        <v>408</v>
      </c>
      <c r="C135" s="100" t="str">
        <f t="shared" si="19"/>
        <v>Mat 05</v>
      </c>
      <c r="D135" s="653" t="s">
        <v>429</v>
      </c>
      <c r="E135" s="825" t="str">
        <f>VLOOKUP(D135,Poeng!$B$10:$R$252,Poeng!E$1,FALSE)</f>
        <v>Control plan and moisture measurements</v>
      </c>
      <c r="F135" s="98">
        <f>VLOOKUP(D135,Poeng!$B$10:$AB$252,Poeng!AB$1,FALSE)</f>
        <v>1</v>
      </c>
      <c r="G135" s="827"/>
      <c r="H135" s="99">
        <f>VLOOKUP(D135,Poeng!$B$10:$AE$252,Poeng!AE$1,FALSE)</f>
        <v>0</v>
      </c>
      <c r="I135" s="100" t="str">
        <f>VLOOKUP(D135,Poeng!$B$10:$BE$252,Poeng!BE$1,FALSE)</f>
        <v>Very Good</v>
      </c>
      <c r="J135" s="66"/>
      <c r="K135" s="233"/>
      <c r="L135" s="633"/>
      <c r="M135" s="648"/>
      <c r="N135" s="69"/>
      <c r="O135" s="99">
        <f>VLOOKUP(D135,Poeng!$B$10:$BC$252,Poeng!AF$1,FALSE)</f>
        <v>0</v>
      </c>
      <c r="P135" s="99" t="str">
        <f>VLOOKUP(D135,Poeng!$B$10:$BH$252,Poeng!BH$1,FALSE)</f>
        <v>Very Good</v>
      </c>
      <c r="Q135" s="583"/>
      <c r="R135" s="584"/>
      <c r="S135" s="577"/>
      <c r="T135" s="268"/>
      <c r="U135" s="69"/>
      <c r="V135" s="99">
        <f>VLOOKUP(D135,Poeng!$B$10:$BC$252,Poeng!AG$1,FALSE)</f>
        <v>0</v>
      </c>
      <c r="W135" s="99" t="str">
        <f>VLOOKUP(D135,Poeng!$B$10:$BK$252,Poeng!BK$1,FALSE)</f>
        <v>Very Good</v>
      </c>
      <c r="X135" s="67"/>
      <c r="Y135" s="66"/>
      <c r="Z135" s="577"/>
      <c r="AA135" s="108"/>
      <c r="AB135" s="559"/>
      <c r="AC135" s="17">
        <f t="shared" si="12"/>
        <v>1</v>
      </c>
      <c r="AD135" s="1" t="e">
        <f>VLOOKUP(K135,'Assessment Details'!$O$45:$P$48,2,FALSE)</f>
        <v>#N/A</v>
      </c>
      <c r="AE135" s="1" t="e">
        <f>VLOOKUP(R135,'Assessment Details'!$O$45:$P$48,2,FALSE)</f>
        <v>#N/A</v>
      </c>
      <c r="AF135" s="1" t="e">
        <f>VLOOKUP(Y135,'Assessment Details'!$O$45:$P$48,2,FALSE)</f>
        <v>#N/A</v>
      </c>
      <c r="AI135" s="56"/>
      <c r="AJ135" s="522"/>
      <c r="AK135" s="501"/>
      <c r="AL135" s="501"/>
      <c r="AM135" s="501"/>
      <c r="AN135" s="56"/>
      <c r="AO135" s="56"/>
      <c r="AP135" s="56"/>
      <c r="AS135" s="17"/>
      <c r="AT135" s="17"/>
      <c r="AU135" s="17"/>
      <c r="AV135" s="17"/>
      <c r="AW135" s="17"/>
      <c r="AX135" s="17"/>
      <c r="AZ135" s="560"/>
    </row>
    <row r="136" spans="1:52">
      <c r="A136" s="830">
        <v>127</v>
      </c>
      <c r="B136" s="831" t="s">
        <v>408</v>
      </c>
      <c r="C136" s="100" t="str">
        <f t="shared" si="19"/>
        <v>Mat 05</v>
      </c>
      <c r="D136" s="653" t="s">
        <v>430</v>
      </c>
      <c r="E136" s="687" t="str">
        <f>VLOOKUP(D136,Poeng!$B$10:$R$252,Poeng!E$1,FALSE)</f>
        <v>Construction under cover</v>
      </c>
      <c r="F136" s="98">
        <f>VLOOKUP(D136,Poeng!$B$10:$AB$252,Poeng!AB$1,FALSE)</f>
        <v>1</v>
      </c>
      <c r="G136" s="827"/>
      <c r="H136" s="99">
        <f>VLOOKUP(D136,Poeng!$B$10:$AE$252,Poeng!AE$1,FALSE)</f>
        <v>0</v>
      </c>
      <c r="I136" s="100" t="str">
        <f>VLOOKUP(D136,Poeng!$B$10:$BE$252,Poeng!BE$1,FALSE)</f>
        <v>N/A</v>
      </c>
      <c r="J136" s="66"/>
      <c r="K136" s="233"/>
      <c r="L136" s="633"/>
      <c r="M136" s="648"/>
      <c r="N136" s="69"/>
      <c r="O136" s="99">
        <f>VLOOKUP(D136,Poeng!$B$10:$BC$252,Poeng!AF$1,FALSE)</f>
        <v>0</v>
      </c>
      <c r="P136" s="99" t="str">
        <f>VLOOKUP(D136,Poeng!$B$10:$BH$252,Poeng!BH$1,FALSE)</f>
        <v>N/A</v>
      </c>
      <c r="Q136" s="583"/>
      <c r="R136" s="584"/>
      <c r="S136" s="577"/>
      <c r="T136" s="268"/>
      <c r="U136" s="69"/>
      <c r="V136" s="99">
        <f>VLOOKUP(D136,Poeng!$B$10:$BC$252,Poeng!AG$1,FALSE)</f>
        <v>0</v>
      </c>
      <c r="W136" s="99" t="str">
        <f>VLOOKUP(D136,Poeng!$B$10:$BK$252,Poeng!BK$1,FALSE)</f>
        <v>N/A</v>
      </c>
      <c r="X136" s="67"/>
      <c r="Y136" s="66"/>
      <c r="Z136" s="577"/>
      <c r="AA136" s="108"/>
      <c r="AB136" s="559"/>
      <c r="AC136" s="17">
        <f t="shared" si="12"/>
        <v>1</v>
      </c>
      <c r="AD136" s="1" t="e">
        <f>VLOOKUP(K136,'Assessment Details'!$O$45:$P$48,2,FALSE)</f>
        <v>#N/A</v>
      </c>
      <c r="AE136" s="1" t="e">
        <f>VLOOKUP(R136,'Assessment Details'!$O$45:$P$48,2,FALSE)</f>
        <v>#N/A</v>
      </c>
      <c r="AF136" s="1" t="e">
        <f>VLOOKUP(Y136,'Assessment Details'!$O$45:$P$48,2,FALSE)</f>
        <v>#N/A</v>
      </c>
      <c r="AI136" s="56"/>
      <c r="AJ136" s="522"/>
      <c r="AK136" s="501"/>
      <c r="AL136" s="501"/>
      <c r="AM136" s="501"/>
      <c r="AN136" s="56"/>
      <c r="AO136" s="56"/>
      <c r="AP136" s="56"/>
      <c r="AS136" s="17"/>
      <c r="AT136" s="17"/>
      <c r="AU136" s="17"/>
      <c r="AV136" s="17"/>
      <c r="AW136" s="17"/>
      <c r="AX136" s="17"/>
      <c r="AZ136" s="560"/>
    </row>
    <row r="137" spans="1:52">
      <c r="A137" s="830">
        <v>128</v>
      </c>
      <c r="B137" s="831" t="s">
        <v>408</v>
      </c>
      <c r="C137" s="739" t="s">
        <v>431</v>
      </c>
      <c r="D137" s="653" t="s">
        <v>431</v>
      </c>
      <c r="E137" s="686" t="str">
        <f>VLOOKUP(D137,Poeng!$B$10:$R$252,Poeng!E$1,FALSE)</f>
        <v>Mat 06 Material efficiency</v>
      </c>
      <c r="F137" s="691">
        <f>VLOOKUP(D137,Poeng!$B$10:$AB$252,Poeng!AB$1,FALSE)</f>
        <v>3</v>
      </c>
      <c r="G137" s="784"/>
      <c r="H137" s="692" t="str">
        <f>VLOOKUP(D137,Poeng!$B$10:$AI$252,Poeng!AI$1,FALSE)&amp;" c. "&amp;ROUND(VLOOKUP(D137,Poeng!$B$10:$AE$252,Poeng!AE$1,FALSE)*100,1)&amp;" %"</f>
        <v>0 c. 0 %</v>
      </c>
      <c r="I137" s="739" t="str">
        <f>VLOOKUP(D137,Poeng!$B$10:$BE$252,Poeng!BE$1,FALSE)</f>
        <v>N/A</v>
      </c>
      <c r="J137" s="66"/>
      <c r="K137" s="233"/>
      <c r="L137" s="633"/>
      <c r="M137" s="648"/>
      <c r="N137" s="784"/>
      <c r="O137" s="703" t="str">
        <f>VLOOKUP(D137,Poeng!$B$10:$BC$252,Poeng!AJ$1,FALSE)&amp;" c. "&amp;ROUND(VLOOKUP(D137,Poeng!$B$10:$BC$252,Poeng!AF$1,FALSE)*100,1)&amp;" %"</f>
        <v>0 c. 0 %</v>
      </c>
      <c r="P137" s="99" t="str">
        <f>VLOOKUP(D137,Poeng!$B$10:$BH$252,Poeng!BH$1,FALSE)</f>
        <v>N/A</v>
      </c>
      <c r="Q137" s="583"/>
      <c r="R137" s="584"/>
      <c r="S137" s="577"/>
      <c r="T137" s="268"/>
      <c r="U137" s="784"/>
      <c r="V137" s="703" t="str">
        <f>VLOOKUP(D137,Poeng!$B$10:$BC$252,Poeng!AK$1,FALSE)&amp;" c. "&amp;ROUND(VLOOKUP(D137,Poeng!$B$10:$BC$252,Poeng!AG$1,FALSE)*100,1)&amp;" %"</f>
        <v>0 c. 0 %</v>
      </c>
      <c r="W137" s="99" t="str">
        <f>VLOOKUP(D137,Poeng!$B$10:$BK$252,Poeng!BK$1,FALSE)</f>
        <v>N/A</v>
      </c>
      <c r="X137" s="67"/>
      <c r="Y137" s="66"/>
      <c r="Z137" s="577"/>
      <c r="AA137" s="108"/>
      <c r="AB137" s="559"/>
      <c r="AC137" s="17">
        <f t="shared" si="12"/>
        <v>1</v>
      </c>
      <c r="AD137" s="1" t="e">
        <f>VLOOKUP(K137,'Assessment Details'!$O$45:$P$48,2,FALSE)</f>
        <v>#N/A</v>
      </c>
      <c r="AE137" s="1" t="e">
        <f>VLOOKUP(R137,'Assessment Details'!$O$45:$P$48,2,FALSE)</f>
        <v>#N/A</v>
      </c>
      <c r="AF137" s="1" t="e">
        <f>VLOOKUP(Y137,'Assessment Details'!$O$45:$P$48,2,FALSE)</f>
        <v>#N/A</v>
      </c>
      <c r="AI137" s="56"/>
      <c r="AJ137" s="522"/>
      <c r="AK137" s="501"/>
      <c r="AL137" s="501"/>
      <c r="AM137" s="501"/>
      <c r="AN137" s="56"/>
      <c r="AO137" s="56"/>
      <c r="AP137" s="56"/>
      <c r="AS137" s="17"/>
      <c r="AT137" s="17"/>
      <c r="AU137" s="17"/>
      <c r="AV137" s="17"/>
      <c r="AW137" s="17"/>
      <c r="AX137" s="17"/>
      <c r="AZ137" s="560"/>
    </row>
    <row r="138" spans="1:52">
      <c r="A138" s="830">
        <v>129</v>
      </c>
      <c r="B138" s="831" t="s">
        <v>408</v>
      </c>
      <c r="C138" s="100" t="str">
        <f>C137</f>
        <v>Mat 06</v>
      </c>
      <c r="D138" s="653" t="s">
        <v>432</v>
      </c>
      <c r="E138" s="687" t="str">
        <f>VLOOKUP(D138,Poeng!$B$10:$R$252,Poeng!E$1,FALSE)</f>
        <v>Minimum req: mapping for component reuse - criterion 1</v>
      </c>
      <c r="F138" s="98" t="str">
        <f>VLOOKUP(D138,Poeng!$B$10:$AB$252,Poeng!AB$1,FALSE)</f>
        <v>Yes/No</v>
      </c>
      <c r="G138" s="29"/>
      <c r="H138" s="99" t="str">
        <f>VLOOKUP(D138,Poeng!$B$10:$AE$252,Poeng!AE$1,FALSE)</f>
        <v>-</v>
      </c>
      <c r="I138" s="100" t="str">
        <f>VLOOKUP(D138,Poeng!$B$10:$BE$252,Poeng!BE$1,FALSE)</f>
        <v>Unclassified</v>
      </c>
      <c r="J138" s="66"/>
      <c r="K138" s="233"/>
      <c r="L138" s="633"/>
      <c r="M138" s="648"/>
      <c r="N138" s="69"/>
      <c r="O138" s="99" t="str">
        <f>VLOOKUP(D138,Poeng!$B$10:$BC$252,Poeng!AF$1,FALSE)</f>
        <v>-</v>
      </c>
      <c r="P138" s="99" t="str">
        <f>VLOOKUP(D138,Poeng!$B$10:$BH$252,Poeng!BH$1,FALSE)</f>
        <v>Unclassified</v>
      </c>
      <c r="Q138" s="583"/>
      <c r="R138" s="584"/>
      <c r="S138" s="577"/>
      <c r="T138" s="268"/>
      <c r="U138" s="69"/>
      <c r="V138" s="99" t="str">
        <f>VLOOKUP(D138,Poeng!$B$10:$BC$252,Poeng!AG$1,FALSE)</f>
        <v>-</v>
      </c>
      <c r="W138" s="99" t="str">
        <f>VLOOKUP(D138,Poeng!$B$10:$BK$252,Poeng!BK$1,FALSE)</f>
        <v>Unclassified</v>
      </c>
      <c r="X138" s="67"/>
      <c r="Y138" s="66"/>
      <c r="Z138" s="577"/>
      <c r="AA138" s="108"/>
      <c r="AB138" s="690"/>
      <c r="AC138" s="17">
        <f t="shared" ref="AC138" si="20">IF(F138="",1,IF(F138=0,2,1))</f>
        <v>1</v>
      </c>
      <c r="AD138" s="1" t="e">
        <f>VLOOKUP(K138,'Assessment Details'!$O$45:$P$48,2,FALSE)</f>
        <v>#N/A</v>
      </c>
      <c r="AE138" s="1" t="e">
        <f>VLOOKUP(R138,'Assessment Details'!$O$45:$P$48,2,FALSE)</f>
        <v>#N/A</v>
      </c>
      <c r="AF138" s="1" t="e">
        <f>VLOOKUP(Y138,'Assessment Details'!$O$45:$P$48,2,FALSE)</f>
        <v>#N/A</v>
      </c>
      <c r="AK138" s="569"/>
      <c r="AL138" s="569"/>
      <c r="AM138" s="569"/>
      <c r="AS138" s="17"/>
      <c r="AT138" s="17"/>
      <c r="AU138" s="17"/>
      <c r="AV138" s="17"/>
      <c r="AW138" s="17"/>
      <c r="AX138" s="17"/>
      <c r="AZ138" s="690"/>
    </row>
    <row r="139" spans="1:52" ht="30">
      <c r="A139" s="830">
        <v>130</v>
      </c>
      <c r="B139" s="831" t="s">
        <v>408</v>
      </c>
      <c r="C139" s="100" t="str">
        <f>C137</f>
        <v>Mat 06</v>
      </c>
      <c r="D139" s="14" t="s">
        <v>433</v>
      </c>
      <c r="E139" s="825" t="str">
        <f>VLOOKUP(D139,Poeng!$B$10:$R$252,Poeng!E$1,FALSE)</f>
        <v>Mapping for component reuse and implementation (EU taxonomy requirement: criterion 1-3)</v>
      </c>
      <c r="F139" s="98">
        <f>VLOOKUP(D139,Poeng!$B$10:$AB$252,Poeng!AB$1,FALSE)</f>
        <v>1</v>
      </c>
      <c r="G139" s="29"/>
      <c r="H139" s="99">
        <f>VLOOKUP(D139,Poeng!$B$10:$AE$252,Poeng!AE$1,FALSE)</f>
        <v>0</v>
      </c>
      <c r="I139" s="100" t="str">
        <f>VLOOKUP(D139,Poeng!$B$10:$BE$252,Poeng!BE$1,FALSE)</f>
        <v>Unclassified</v>
      </c>
      <c r="J139" s="66"/>
      <c r="K139" s="233"/>
      <c r="L139" s="633"/>
      <c r="M139" s="648"/>
      <c r="N139" s="69"/>
      <c r="O139" s="99">
        <f>VLOOKUP(D139,Poeng!$B$10:$BC$252,Poeng!AF$1,FALSE)</f>
        <v>0</v>
      </c>
      <c r="P139" s="99" t="str">
        <f>VLOOKUP(D139,Poeng!$B$10:$BH$252,Poeng!BH$1,FALSE)</f>
        <v>Unclassified</v>
      </c>
      <c r="Q139" s="583"/>
      <c r="R139" s="584"/>
      <c r="S139" s="577"/>
      <c r="T139" s="268"/>
      <c r="U139" s="69"/>
      <c r="V139" s="99">
        <f>VLOOKUP(D139,Poeng!$B$10:$BC$252,Poeng!AG$1,FALSE)</f>
        <v>0</v>
      </c>
      <c r="W139" s="99" t="str">
        <f>VLOOKUP(D139,Poeng!$B$10:$BK$252,Poeng!BK$1,FALSE)</f>
        <v>Unclassified</v>
      </c>
      <c r="X139" s="67"/>
      <c r="Y139" s="66"/>
      <c r="Z139" s="577"/>
      <c r="AC139" s="17">
        <f t="shared" si="12"/>
        <v>1</v>
      </c>
      <c r="AD139" s="1" t="e">
        <f>VLOOKUP(K139,'Assessment Details'!$O$45:$P$48,2,FALSE)</f>
        <v>#N/A</v>
      </c>
      <c r="AE139" s="1" t="e">
        <f>VLOOKUP(R139,'Assessment Details'!$O$45:$P$48,2,FALSE)</f>
        <v>#N/A</v>
      </c>
      <c r="AF139" s="1" t="e">
        <f>VLOOKUP(Y139,'Assessment Details'!$O$45:$P$48,2,FALSE)</f>
        <v>#N/A</v>
      </c>
    </row>
    <row r="140" spans="1:52">
      <c r="A140" s="830">
        <v>131</v>
      </c>
      <c r="B140" s="831" t="s">
        <v>408</v>
      </c>
      <c r="C140" s="100" t="str">
        <f t="shared" si="19"/>
        <v>Mat 06</v>
      </c>
      <c r="D140" s="14" t="s">
        <v>434</v>
      </c>
      <c r="E140" s="687" t="str">
        <f>VLOOKUP(D140,Poeng!$B$10:$R$252,Poeng!E$1,FALSE)</f>
        <v>Material efficency</v>
      </c>
      <c r="F140" s="98">
        <f>VLOOKUP(D140,Poeng!$B$10:$AB$252,Poeng!AB$1,FALSE)</f>
        <v>1</v>
      </c>
      <c r="G140" s="29"/>
      <c r="H140" s="99">
        <f>VLOOKUP(D140,Poeng!$B$10:$AE$252,Poeng!AE$1,FALSE)</f>
        <v>0</v>
      </c>
      <c r="I140" s="100" t="str">
        <f>VLOOKUP(D140,Poeng!$B$10:$BE$252,Poeng!BE$1,FALSE)</f>
        <v>N/A</v>
      </c>
      <c r="J140" s="66"/>
      <c r="K140" s="233"/>
      <c r="L140" s="633"/>
      <c r="M140" s="648"/>
      <c r="N140" s="69"/>
      <c r="O140" s="99">
        <f>VLOOKUP(D140,Poeng!$B$10:$BC$252,Poeng!AF$1,FALSE)</f>
        <v>0</v>
      </c>
      <c r="P140" s="99" t="str">
        <f>VLOOKUP(D140,Poeng!$B$10:$BH$252,Poeng!BH$1,FALSE)</f>
        <v>N/A</v>
      </c>
      <c r="Q140" s="583"/>
      <c r="R140" s="584"/>
      <c r="S140" s="577"/>
      <c r="T140" s="268"/>
      <c r="U140" s="69"/>
      <c r="V140" s="99">
        <f>VLOOKUP(D140,Poeng!$B$10:$BC$252,Poeng!AG$1,FALSE)</f>
        <v>0</v>
      </c>
      <c r="W140" s="99" t="str">
        <f>VLOOKUP(D140,Poeng!$B$10:$BK$252,Poeng!BK$1,FALSE)</f>
        <v>N/A</v>
      </c>
      <c r="X140" s="67"/>
      <c r="Y140" s="66"/>
      <c r="Z140" s="577"/>
      <c r="AC140" s="17">
        <f t="shared" si="12"/>
        <v>1</v>
      </c>
      <c r="AD140" s="1" t="e">
        <f>VLOOKUP(K140,'Assessment Details'!$O$45:$P$48,2,FALSE)</f>
        <v>#N/A</v>
      </c>
      <c r="AE140" s="1" t="e">
        <f>VLOOKUP(R140,'Assessment Details'!$O$45:$P$48,2,FALSE)</f>
        <v>#N/A</v>
      </c>
      <c r="AF140" s="1" t="e">
        <f>VLOOKUP(Y140,'Assessment Details'!$O$45:$P$48,2,FALSE)</f>
        <v>#N/A</v>
      </c>
    </row>
    <row r="141" spans="1:52">
      <c r="A141" s="830">
        <v>132</v>
      </c>
      <c r="B141" s="831" t="s">
        <v>408</v>
      </c>
      <c r="C141" s="100" t="str">
        <f t="shared" si="19"/>
        <v>Mat 06</v>
      </c>
      <c r="D141" s="14" t="s">
        <v>435</v>
      </c>
      <c r="E141" s="687" t="str">
        <f>VLOOKUP(D141,Poeng!$B$10:$R$252,Poeng!E$1,FALSE)</f>
        <v>Reuse of extern building components</v>
      </c>
      <c r="F141" s="98">
        <f>VLOOKUP(D141,Poeng!$B$10:$AB$252,Poeng!AB$1,FALSE)</f>
        <v>1</v>
      </c>
      <c r="G141" s="29"/>
      <c r="H141" s="99">
        <f>VLOOKUP(D141,Poeng!$B$10:$AE$252,Poeng!AE$1,FALSE)</f>
        <v>0</v>
      </c>
      <c r="I141" s="100" t="str">
        <f>VLOOKUP(D141,Poeng!$B$10:$BE$252,Poeng!BE$1,FALSE)</f>
        <v>N/A</v>
      </c>
      <c r="J141" s="66"/>
      <c r="K141" s="233"/>
      <c r="L141" s="633"/>
      <c r="M141" s="648"/>
      <c r="N141" s="69"/>
      <c r="O141" s="99">
        <f>VLOOKUP(D141,Poeng!$B$10:$BC$252,Poeng!AF$1,FALSE)</f>
        <v>0</v>
      </c>
      <c r="P141" s="99" t="str">
        <f>VLOOKUP(D141,Poeng!$B$10:$BH$252,Poeng!BH$1,FALSE)</f>
        <v>N/A</v>
      </c>
      <c r="Q141" s="583"/>
      <c r="R141" s="584"/>
      <c r="S141" s="577"/>
      <c r="T141" s="268"/>
      <c r="U141" s="69"/>
      <c r="V141" s="99">
        <f>VLOOKUP(D141,Poeng!$B$10:$BC$252,Poeng!AG$1,FALSE)</f>
        <v>0</v>
      </c>
      <c r="W141" s="99" t="str">
        <f>VLOOKUP(D141,Poeng!$B$10:$BK$252,Poeng!BK$1,FALSE)</f>
        <v>N/A</v>
      </c>
      <c r="X141" s="67"/>
      <c r="Y141" s="66"/>
      <c r="Z141" s="577"/>
      <c r="AC141" s="17">
        <f t="shared" si="12"/>
        <v>1</v>
      </c>
      <c r="AD141" s="1" t="e">
        <f>VLOOKUP(K141,'Assessment Details'!$O$45:$P$48,2,FALSE)</f>
        <v>#N/A</v>
      </c>
      <c r="AE141" s="1" t="e">
        <f>VLOOKUP(R141,'Assessment Details'!$O$45:$P$48,2,FALSE)</f>
        <v>#N/A</v>
      </c>
      <c r="AF141" s="1" t="e">
        <f>VLOOKUP(Y141,'Assessment Details'!$O$45:$P$48,2,FALSE)</f>
        <v>#N/A</v>
      </c>
    </row>
    <row r="142" spans="1:52">
      <c r="A142" s="830">
        <v>133</v>
      </c>
      <c r="B142" s="831" t="s">
        <v>408</v>
      </c>
      <c r="C142" s="739" t="s">
        <v>436</v>
      </c>
      <c r="D142" s="653" t="s">
        <v>436</v>
      </c>
      <c r="E142" s="686" t="str">
        <f>VLOOKUP(D142,Poeng!$B$10:$R$252,Poeng!E$1,FALSE)</f>
        <v>Mat 07 Design for disassembly and adaptability</v>
      </c>
      <c r="F142" s="691">
        <f>VLOOKUP(D142,Poeng!$B$10:$AB$252,Poeng!AB$1,FALSE)</f>
        <v>3</v>
      </c>
      <c r="G142" s="784"/>
      <c r="H142" s="692" t="str">
        <f>VLOOKUP(D142,Poeng!$B$10:$AI$252,Poeng!AI$1,FALSE)&amp;" c. "&amp;ROUND(VLOOKUP(D142,Poeng!$B$10:$AE$252,Poeng!AE$1,FALSE)*100,1)&amp;" %"</f>
        <v>0 c. 0 %</v>
      </c>
      <c r="I142" s="739" t="str">
        <f>VLOOKUP(D142,Poeng!$B$10:$BE$252,Poeng!BE$1,FALSE)</f>
        <v>N/A</v>
      </c>
      <c r="J142" s="66"/>
      <c r="K142" s="233"/>
      <c r="L142" s="633"/>
      <c r="M142" s="648"/>
      <c r="N142" s="784"/>
      <c r="O142" s="703" t="str">
        <f>VLOOKUP(D142,Poeng!$B$10:$BC$252,Poeng!AJ$1,FALSE)&amp;" c. "&amp;ROUND(VLOOKUP(D142,Poeng!$B$10:$BC$252,Poeng!AF$1,FALSE)*100,1)&amp;" %"</f>
        <v>0 c. 0 %</v>
      </c>
      <c r="P142" s="99" t="str">
        <f>VLOOKUP(D142,Poeng!$B$10:$BH$252,Poeng!BH$1,FALSE)</f>
        <v>N/A</v>
      </c>
      <c r="Q142" s="583"/>
      <c r="R142" s="584"/>
      <c r="S142" s="577"/>
      <c r="T142" s="268"/>
      <c r="U142" s="784"/>
      <c r="V142" s="703" t="str">
        <f>VLOOKUP(D142,Poeng!$B$10:$BC$252,Poeng!AK$1,FALSE)&amp;" c. "&amp;ROUND(VLOOKUP(D142,Poeng!$B$10:$BC$252,Poeng!AG$1,FALSE)*100,1)&amp;" %"</f>
        <v>0 c. 0 %</v>
      </c>
      <c r="W142" s="99" t="str">
        <f>VLOOKUP(D142,Poeng!$B$10:$BK$252,Poeng!BK$1,FALSE)</f>
        <v>N/A</v>
      </c>
      <c r="X142" s="67"/>
      <c r="Y142" s="66"/>
      <c r="Z142" s="577"/>
      <c r="AA142" s="108"/>
      <c r="AB142" s="559"/>
      <c r="AC142" s="17">
        <f t="shared" si="12"/>
        <v>1</v>
      </c>
      <c r="AD142" s="1" t="e">
        <f>VLOOKUP(K142,'Assessment Details'!$O$45:$P$48,2,FALSE)</f>
        <v>#N/A</v>
      </c>
      <c r="AE142" s="1" t="e">
        <f>VLOOKUP(R142,'Assessment Details'!$O$45:$P$48,2,FALSE)</f>
        <v>#N/A</v>
      </c>
      <c r="AF142" s="1" t="e">
        <f>VLOOKUP(Y142,'Assessment Details'!$O$45:$P$48,2,FALSE)</f>
        <v>#N/A</v>
      </c>
      <c r="AI142" s="56"/>
      <c r="AJ142" s="522"/>
      <c r="AK142" s="501"/>
      <c r="AL142" s="501"/>
      <c r="AM142" s="501"/>
      <c r="AN142" s="56"/>
      <c r="AO142" s="56"/>
      <c r="AP142" s="56"/>
      <c r="AS142" s="17"/>
      <c r="AT142" s="17"/>
      <c r="AU142" s="17"/>
      <c r="AV142" s="17"/>
      <c r="AW142" s="17"/>
      <c r="AX142" s="17"/>
      <c r="AZ142" s="560"/>
    </row>
    <row r="143" spans="1:52">
      <c r="A143" s="830">
        <v>134</v>
      </c>
      <c r="B143" s="831" t="s">
        <v>408</v>
      </c>
      <c r="C143" s="100" t="str">
        <f t="shared" si="19"/>
        <v>Mat 07</v>
      </c>
      <c r="D143" s="14" t="s">
        <v>437</v>
      </c>
      <c r="E143" s="687" t="str">
        <f>VLOOKUP(D143,Poeng!$B$10:$R$252,Poeng!E$1,FALSE)</f>
        <v>Resource inventory</v>
      </c>
      <c r="F143" s="98">
        <f>VLOOKUP(D143,Poeng!$B$10:$AB$252,Poeng!AB$1,FALSE)</f>
        <v>1</v>
      </c>
      <c r="G143" s="29"/>
      <c r="H143" s="99">
        <f>VLOOKUP(D143,Poeng!$B$10:$AE$252,Poeng!AE$1,FALSE)</f>
        <v>0</v>
      </c>
      <c r="I143" s="100" t="str">
        <f>VLOOKUP(D143,Poeng!$B$10:$BE$252,Poeng!BE$1,FALSE)</f>
        <v>N/A</v>
      </c>
      <c r="J143" s="66"/>
      <c r="K143" s="233"/>
      <c r="L143" s="633"/>
      <c r="M143" s="648"/>
      <c r="N143" s="69"/>
      <c r="O143" s="99">
        <f>VLOOKUP(D143,Poeng!$B$10:$BC$252,Poeng!AF$1,FALSE)</f>
        <v>0</v>
      </c>
      <c r="P143" s="99" t="str">
        <f>VLOOKUP(D143,Poeng!$B$10:$BH$252,Poeng!BH$1,FALSE)</f>
        <v>N/A</v>
      </c>
      <c r="Q143" s="583"/>
      <c r="R143" s="584"/>
      <c r="S143" s="577"/>
      <c r="T143" s="268"/>
      <c r="U143" s="69"/>
      <c r="V143" s="99">
        <f>VLOOKUP(D143,Poeng!$B$10:$BC$252,Poeng!AG$1,FALSE)</f>
        <v>0</v>
      </c>
      <c r="W143" s="99" t="str">
        <f>VLOOKUP(D143,Poeng!$B$10:$BK$252,Poeng!BK$1,FALSE)</f>
        <v>N/A</v>
      </c>
      <c r="X143" s="67"/>
      <c r="Y143" s="66"/>
      <c r="Z143" s="577"/>
      <c r="AC143" s="17">
        <f t="shared" si="12"/>
        <v>1</v>
      </c>
      <c r="AD143" s="1" t="e">
        <f>VLOOKUP(K143,'Assessment Details'!$O$45:$P$48,2,FALSE)</f>
        <v>#N/A</v>
      </c>
      <c r="AE143" s="1" t="e">
        <f>VLOOKUP(R143,'Assessment Details'!$O$45:$P$48,2,FALSE)</f>
        <v>#N/A</v>
      </c>
      <c r="AF143" s="1" t="e">
        <f>VLOOKUP(Y143,'Assessment Details'!$O$45:$P$48,2,FALSE)</f>
        <v>#N/A</v>
      </c>
    </row>
    <row r="144" spans="1:52" ht="30">
      <c r="A144" s="830">
        <v>135</v>
      </c>
      <c r="B144" s="831" t="s">
        <v>408</v>
      </c>
      <c r="C144" s="840" t="str">
        <f t="shared" si="19"/>
        <v>Mat 07</v>
      </c>
      <c r="D144" s="14" t="s">
        <v>438</v>
      </c>
      <c r="E144" s="825" t="str">
        <f>VLOOKUP(D144,Poeng!$B$10:$R$252,Poeng!E$1,FALSE)</f>
        <v>Design for disassembly and functional adaptability - recommendations (EU taxonomy requirement: criterion 2-3)</v>
      </c>
      <c r="F144" s="98">
        <f>VLOOKUP(D144,Poeng!$B$10:$AB$252,Poeng!AB$1,FALSE)</f>
        <v>1</v>
      </c>
      <c r="G144" s="29"/>
      <c r="H144" s="99">
        <f>VLOOKUP(D144,Poeng!$B$10:$AE$252,Poeng!AE$1,FALSE)</f>
        <v>0</v>
      </c>
      <c r="I144" s="100" t="str">
        <f>VLOOKUP(D144,Poeng!$B$10:$BE$252,Poeng!BE$1,FALSE)</f>
        <v>Very Good</v>
      </c>
      <c r="J144" s="66"/>
      <c r="K144" s="233"/>
      <c r="L144" s="633"/>
      <c r="M144" s="648"/>
      <c r="N144" s="69"/>
      <c r="O144" s="99">
        <f>VLOOKUP(D144,Poeng!$B$10:$BC$252,Poeng!AF$1,FALSE)</f>
        <v>0</v>
      </c>
      <c r="P144" s="99" t="str">
        <f>VLOOKUP(D144,Poeng!$B$10:$BH$252,Poeng!BH$1,FALSE)</f>
        <v>Very Good</v>
      </c>
      <c r="Q144" s="583"/>
      <c r="R144" s="584"/>
      <c r="S144" s="577"/>
      <c r="T144" s="268"/>
      <c r="U144" s="69"/>
      <c r="V144" s="99">
        <f>VLOOKUP(D144,Poeng!$B$10:$BC$252,Poeng!AG$1,FALSE)</f>
        <v>0</v>
      </c>
      <c r="W144" s="99" t="str">
        <f>VLOOKUP(D144,Poeng!$B$10:$BK$252,Poeng!BK$1,FALSE)</f>
        <v>Very Good</v>
      </c>
      <c r="X144" s="67"/>
      <c r="Y144" s="66"/>
      <c r="Z144" s="577"/>
      <c r="AC144" s="17">
        <f t="shared" ref="AC144:AC212" si="21">IF(F144="",1,IF(F144=0,2,1))</f>
        <v>1</v>
      </c>
      <c r="AD144" s="1" t="e">
        <f>VLOOKUP(K144,'Assessment Details'!$O$45:$P$48,2,FALSE)</f>
        <v>#N/A</v>
      </c>
      <c r="AE144" s="1" t="e">
        <f>VLOOKUP(R144,'Assessment Details'!$O$45:$P$48,2,FALSE)</f>
        <v>#N/A</v>
      </c>
      <c r="AF144" s="1" t="e">
        <f>VLOOKUP(Y144,'Assessment Details'!$O$45:$P$48,2,FALSE)</f>
        <v>#N/A</v>
      </c>
    </row>
    <row r="145" spans="1:52" ht="30">
      <c r="A145" s="830">
        <v>136</v>
      </c>
      <c r="B145" s="831" t="s">
        <v>408</v>
      </c>
      <c r="C145" s="100" t="str">
        <f t="shared" si="19"/>
        <v>Mat 07</v>
      </c>
      <c r="D145" s="14" t="s">
        <v>439</v>
      </c>
      <c r="E145" s="825" t="str">
        <f>VLOOKUP(D145,Poeng!$B$10:$R$252,Poeng!E$1,FALSE)</f>
        <v>Disassembly and functional adaptability - implementation (EU taxonomy requirement: criterion 4-6)</v>
      </c>
      <c r="F145" s="98">
        <f>VLOOKUP(D145,Poeng!$B$10:$AB$252,Poeng!AB$1,FALSE)</f>
        <v>1</v>
      </c>
      <c r="G145" s="29"/>
      <c r="H145" s="99">
        <f>VLOOKUP(D145,Poeng!$B$10:$AE$252,Poeng!AE$1,FALSE)</f>
        <v>0</v>
      </c>
      <c r="I145" s="100" t="str">
        <f>VLOOKUP(D145,Poeng!$B$10:$BE$252,Poeng!BE$1,FALSE)</f>
        <v>Very Good</v>
      </c>
      <c r="J145" s="66"/>
      <c r="K145" s="233"/>
      <c r="L145" s="633"/>
      <c r="M145" s="648"/>
      <c r="N145" s="69"/>
      <c r="O145" s="99">
        <f>VLOOKUP(D145,Poeng!$B$10:$BC$252,Poeng!AF$1,FALSE)</f>
        <v>0</v>
      </c>
      <c r="P145" s="99" t="str">
        <f>VLOOKUP(D145,Poeng!$B$10:$BH$252,Poeng!BH$1,FALSE)</f>
        <v>Very Good</v>
      </c>
      <c r="Q145" s="583"/>
      <c r="R145" s="584"/>
      <c r="S145" s="577"/>
      <c r="T145" s="268"/>
      <c r="U145" s="69"/>
      <c r="V145" s="99">
        <f>VLOOKUP(D145,Poeng!$B$10:$BC$252,Poeng!AG$1,FALSE)</f>
        <v>0</v>
      </c>
      <c r="W145" s="99" t="str">
        <f>VLOOKUP(D145,Poeng!$B$10:$BK$252,Poeng!BK$1,FALSE)</f>
        <v>Very Good</v>
      </c>
      <c r="X145" s="67"/>
      <c r="Y145" s="66"/>
      <c r="Z145" s="577"/>
      <c r="AC145" s="17">
        <f t="shared" si="21"/>
        <v>1</v>
      </c>
      <c r="AD145" s="1" t="e">
        <f>VLOOKUP(K145,'Assessment Details'!$O$45:$P$48,2,FALSE)</f>
        <v>#N/A</v>
      </c>
      <c r="AE145" s="1" t="e">
        <f>VLOOKUP(R145,'Assessment Details'!$O$45:$P$48,2,FALSE)</f>
        <v>#N/A</v>
      </c>
      <c r="AF145" s="1" t="e">
        <f>VLOOKUP(Y145,'Assessment Details'!$O$45:$P$48,2,FALSE)</f>
        <v>#N/A</v>
      </c>
    </row>
    <row r="146" spans="1:52" ht="15.75" thickBot="1">
      <c r="A146" s="830">
        <v>137</v>
      </c>
      <c r="B146" s="831" t="s">
        <v>408</v>
      </c>
      <c r="C146" s="836"/>
      <c r="D146" s="653" t="s">
        <v>440</v>
      </c>
      <c r="E146" s="269" t="s">
        <v>441</v>
      </c>
      <c r="F146" s="101">
        <f>Mat_Credits</f>
        <v>21</v>
      </c>
      <c r="G146" s="106"/>
      <c r="H146" s="102">
        <f>Mat_cont_tot</f>
        <v>0</v>
      </c>
      <c r="I146" s="693" t="str">
        <f>"Credits achieved: "&amp;Mat_tot_user</f>
        <v>Credits achieved: 0</v>
      </c>
      <c r="J146" s="109"/>
      <c r="K146" s="234"/>
      <c r="L146" s="585"/>
      <c r="M146" s="648"/>
      <c r="N146" s="326"/>
      <c r="O146" s="102">
        <f>VLOOKUP(D146,Poeng!$B$10:$BC$252,Poeng!AF$1,FALSE)</f>
        <v>0</v>
      </c>
      <c r="P146" s="693" t="str">
        <f>"Credits achieved: "&amp;Mat_c_user</f>
        <v>Credits achieved: 0</v>
      </c>
      <c r="Q146" s="586"/>
      <c r="R146" s="587"/>
      <c r="S146" s="585"/>
      <c r="T146" s="268"/>
      <c r="U146" s="326"/>
      <c r="V146" s="102">
        <f>VLOOKUP(D146,Poeng!$B$10:$BC$252,Poeng!AG$1,FALSE)</f>
        <v>0</v>
      </c>
      <c r="W146" s="693" t="str">
        <f>"Credits achieved: "&amp;Mat_d_user</f>
        <v>Credits achieved: 0</v>
      </c>
      <c r="X146" s="325"/>
      <c r="Y146" s="111"/>
      <c r="Z146" s="585"/>
      <c r="AA146" s="108"/>
      <c r="AB146" s="496"/>
      <c r="AC146" s="17">
        <f t="shared" si="21"/>
        <v>1</v>
      </c>
      <c r="AD146" s="230">
        <v>0</v>
      </c>
      <c r="AE146" s="230">
        <v>0</v>
      </c>
      <c r="AF146" s="230">
        <v>0</v>
      </c>
      <c r="AI146" s="56"/>
      <c r="AJ146" s="522" t="s">
        <v>441</v>
      </c>
      <c r="AK146" s="56"/>
      <c r="AL146" s="56"/>
      <c r="AM146" s="56"/>
      <c r="AN146" s="56"/>
      <c r="AO146" s="56"/>
      <c r="AP146" s="56"/>
      <c r="AS146" s="17" t="str">
        <f t="shared" si="13"/>
        <v>N/A</v>
      </c>
      <c r="AT146" s="17" t="str">
        <f t="shared" si="14"/>
        <v>N/A</v>
      </c>
      <c r="AU146" s="17" t="str">
        <f t="shared" si="15"/>
        <v>N/A</v>
      </c>
      <c r="AV146" s="17"/>
      <c r="AW146" s="17"/>
      <c r="AX146" s="17"/>
      <c r="AZ146" s="496"/>
    </row>
    <row r="147" spans="1:52">
      <c r="A147" s="830">
        <v>138</v>
      </c>
      <c r="B147" s="831" t="s">
        <v>408</v>
      </c>
      <c r="C147" s="838"/>
      <c r="D147" s="653"/>
      <c r="E147" s="282"/>
      <c r="F147" s="271"/>
      <c r="G147" s="272"/>
      <c r="H147" s="271"/>
      <c r="I147" s="271"/>
      <c r="J147" s="273"/>
      <c r="K147" s="272"/>
      <c r="L147" s="588"/>
      <c r="M147" s="648"/>
      <c r="N147" s="274"/>
      <c r="O147" s="274"/>
      <c r="P147" s="588"/>
      <c r="Q147" s="588"/>
      <c r="R147" s="589"/>
      <c r="S147" s="588"/>
      <c r="T147" s="268"/>
      <c r="U147" s="274"/>
      <c r="V147" s="274"/>
      <c r="W147" s="588"/>
      <c r="X147" s="273"/>
      <c r="Y147" s="274"/>
      <c r="Z147" s="588"/>
      <c r="AA147" s="108"/>
      <c r="AB147" s="273"/>
      <c r="AC147" s="17">
        <f t="shared" si="21"/>
        <v>1</v>
      </c>
      <c r="AD147" s="231">
        <v>0</v>
      </c>
      <c r="AE147" s="231">
        <v>0</v>
      </c>
      <c r="AF147" s="231">
        <v>0</v>
      </c>
      <c r="AI147" s="56"/>
      <c r="AJ147" s="522"/>
      <c r="AK147" s="56"/>
      <c r="AL147" s="56"/>
      <c r="AM147" s="56"/>
      <c r="AN147" s="56"/>
      <c r="AO147" s="56"/>
      <c r="AP147" s="56"/>
      <c r="AS147" s="17" t="str">
        <f t="shared" si="13"/>
        <v>N/A</v>
      </c>
      <c r="AT147" s="17" t="str">
        <f t="shared" si="14"/>
        <v>N/A</v>
      </c>
      <c r="AU147" s="17" t="str">
        <f t="shared" si="15"/>
        <v>N/A</v>
      </c>
      <c r="AV147" s="17"/>
      <c r="AW147" s="17"/>
      <c r="AX147" s="17"/>
      <c r="AZ147" s="273"/>
    </row>
    <row r="148" spans="1:52" ht="18.75">
      <c r="A148" s="830">
        <v>139</v>
      </c>
      <c r="B148" s="831" t="s">
        <v>442</v>
      </c>
      <c r="C148" s="839"/>
      <c r="D148" s="653"/>
      <c r="E148" s="283" t="s">
        <v>443</v>
      </c>
      <c r="F148" s="264"/>
      <c r="G148" s="265"/>
      <c r="H148" s="284"/>
      <c r="I148" s="264"/>
      <c r="J148" s="276"/>
      <c r="K148" s="277"/>
      <c r="L148" s="591"/>
      <c r="M148" s="648"/>
      <c r="N148" s="287"/>
      <c r="O148" s="280"/>
      <c r="P148" s="581"/>
      <c r="Q148" s="592"/>
      <c r="R148" s="593"/>
      <c r="S148" s="594"/>
      <c r="T148" s="268"/>
      <c r="U148" s="287"/>
      <c r="V148" s="286"/>
      <c r="W148" s="581"/>
      <c r="X148" s="276"/>
      <c r="Y148" s="286"/>
      <c r="Z148" s="591"/>
      <c r="AA148" s="108"/>
      <c r="AB148" s="285"/>
      <c r="AC148" s="17">
        <f t="shared" si="21"/>
        <v>1</v>
      </c>
      <c r="AD148" s="229">
        <v>0</v>
      </c>
      <c r="AE148" s="229">
        <v>0</v>
      </c>
      <c r="AF148" s="229">
        <v>0</v>
      </c>
      <c r="AI148" s="56"/>
      <c r="AJ148" s="522" t="s">
        <v>443</v>
      </c>
      <c r="AK148" s="56"/>
      <c r="AL148" s="56"/>
      <c r="AM148" s="56"/>
      <c r="AN148" s="56"/>
      <c r="AO148" s="56"/>
      <c r="AP148" s="56"/>
      <c r="AS148" s="17" t="str">
        <f t="shared" si="13"/>
        <v>N/A</v>
      </c>
      <c r="AT148" s="17" t="str">
        <f t="shared" si="14"/>
        <v>N/A</v>
      </c>
      <c r="AU148" s="17" t="str">
        <f t="shared" si="15"/>
        <v>N/A</v>
      </c>
      <c r="AV148" s="17"/>
      <c r="AW148" s="17"/>
      <c r="AX148" s="17"/>
      <c r="AZ148" s="285"/>
    </row>
    <row r="149" spans="1:52">
      <c r="A149" s="830">
        <v>140</v>
      </c>
      <c r="B149" s="831" t="s">
        <v>442</v>
      </c>
      <c r="C149" s="739" t="s">
        <v>444</v>
      </c>
      <c r="D149" s="653" t="s">
        <v>444</v>
      </c>
      <c r="E149" s="686" t="str">
        <f>VLOOKUP(D149,Poeng!$B$10:$R$252,Poeng!E$1,FALSE)</f>
        <v>Wst 01 Construction waste management</v>
      </c>
      <c r="F149" s="691">
        <f>VLOOKUP(D149,Poeng!$B$10:$AB$252,Poeng!AB$1,FALSE)</f>
        <v>5</v>
      </c>
      <c r="G149" s="783"/>
      <c r="H149" s="692" t="str">
        <f>VLOOKUP(D149,Poeng!$B$10:$AI$252,Poeng!AI$1,FALSE)&amp;" c. "&amp;ROUND(VLOOKUP(D149,Poeng!$B$10:$AE$252,Poeng!AE$1,FALSE)*100,1)&amp;" %"</f>
        <v>0 c. 0 %</v>
      </c>
      <c r="I149" s="738" t="str">
        <f>VLOOKUP(D149,Poeng!$B$10:$BE$252,Poeng!BE$1,FALSE)</f>
        <v>N/A</v>
      </c>
      <c r="J149" s="700"/>
      <c r="K149" s="701"/>
      <c r="L149" s="702"/>
      <c r="M149" s="648"/>
      <c r="N149" s="784"/>
      <c r="O149" s="846" t="str">
        <f>VLOOKUP(D149,Poeng!$B$10:$BC$252,Poeng!AJ$1,FALSE)&amp;" c. "&amp;ROUND(VLOOKUP(D149,Poeng!$B$10:$BC$252,Poeng!AF$1,FALSE)*100,1)&amp;" %"</f>
        <v>0 c. 0 %</v>
      </c>
      <c r="P149" s="99" t="str">
        <f>VLOOKUP(D149,Poeng!$B$10:$BH$252,Poeng!BH$1,FALSE)</f>
        <v>N/A</v>
      </c>
      <c r="Q149" s="583"/>
      <c r="R149" s="584"/>
      <c r="S149" s="577"/>
      <c r="T149" s="268"/>
      <c r="U149" s="784"/>
      <c r="V149" s="703" t="str">
        <f>VLOOKUP(D149,Poeng!$B$10:$BC$252,Poeng!AK$1,FALSE)&amp;" c. "&amp;ROUND(VLOOKUP(D149,Poeng!$B$10:$BC$252,Poeng!AG$1,FALSE)*100,1)&amp;" %"</f>
        <v>0 c. 0 %</v>
      </c>
      <c r="W149" s="99" t="str">
        <f>VLOOKUP(D149,Poeng!$B$10:$BK$252,Poeng!BK$1,FALSE)</f>
        <v>N/A</v>
      </c>
      <c r="X149" s="67"/>
      <c r="Y149" s="66"/>
      <c r="Z149" s="577"/>
      <c r="AA149" s="108"/>
      <c r="AB149" s="495" t="s">
        <v>216</v>
      </c>
      <c r="AC149" s="17">
        <f t="shared" si="21"/>
        <v>1</v>
      </c>
      <c r="AD149" s="1" t="e">
        <f>VLOOKUP(K149,'Assessment Details'!$O$45:$P$48,2,FALSE)</f>
        <v>#N/A</v>
      </c>
      <c r="AE149" s="1" t="e">
        <f>VLOOKUP(R149,'Assessment Details'!$O$45:$P$48,2,FALSE)</f>
        <v>#N/A</v>
      </c>
      <c r="AF149" s="1" t="e">
        <f>VLOOKUP(Y149,'Assessment Details'!$O$45:$P$48,2,FALSE)</f>
        <v>#N/A</v>
      </c>
      <c r="AI149" s="56"/>
      <c r="AJ149" s="522" t="s">
        <v>445</v>
      </c>
      <c r="AK149" s="56"/>
      <c r="AL149" s="56"/>
      <c r="AM149" s="56"/>
      <c r="AN149" s="56"/>
      <c r="AO149" s="56"/>
      <c r="AP149" s="56"/>
      <c r="AS149" s="17" t="str">
        <f t="shared" si="13"/>
        <v>N/A</v>
      </c>
      <c r="AT149" s="17" t="str">
        <f t="shared" si="14"/>
        <v>N/A</v>
      </c>
      <c r="AU149" s="17" t="str">
        <f t="shared" si="15"/>
        <v>N/A</v>
      </c>
      <c r="AV149" s="17"/>
      <c r="AW149" s="17"/>
      <c r="AX149" s="17"/>
      <c r="AZ149" s="495"/>
    </row>
    <row r="150" spans="1:52">
      <c r="A150" s="830">
        <v>141</v>
      </c>
      <c r="B150" s="831" t="s">
        <v>442</v>
      </c>
      <c r="C150" s="100" t="str">
        <f>C149</f>
        <v>Wst 01</v>
      </c>
      <c r="D150" s="653" t="s">
        <v>446</v>
      </c>
      <c r="E150" s="687" t="str">
        <f>VLOOKUP(D150,Poeng!$B$10:$R$258,Poeng!E$1,FALSE)</f>
        <v>Resource managment plan</v>
      </c>
      <c r="F150" s="98">
        <f>VLOOKUP(D150,Poeng!$B$10:$AB$258,Poeng!AB$1,FALSE)</f>
        <v>1</v>
      </c>
      <c r="G150" s="29"/>
      <c r="H150" s="99">
        <f>VLOOKUP(D150,Poeng!$B$10:$AE$258,Poeng!AE$1,FALSE)</f>
        <v>0</v>
      </c>
      <c r="I150" s="100" t="str">
        <f>VLOOKUP(D150,Poeng!$B$10:$BE$258,Poeng!BE$1,FALSE)</f>
        <v>Good</v>
      </c>
      <c r="J150" s="867"/>
      <c r="K150" s="868"/>
      <c r="L150" s="869"/>
      <c r="M150" s="648"/>
      <c r="N150" s="69"/>
      <c r="O150" s="99">
        <f>VLOOKUP(D150,Poeng!$B$10:$BC$258,Poeng!AF$1,FALSE)</f>
        <v>0</v>
      </c>
      <c r="P150" s="99" t="str">
        <f>VLOOKUP(D150,Poeng!$B$10:$BH$258,Poeng!BH$1,FALSE)</f>
        <v>Good</v>
      </c>
      <c r="Q150" s="583"/>
      <c r="R150" s="584"/>
      <c r="S150" s="577"/>
      <c r="T150" s="268"/>
      <c r="U150" s="69"/>
      <c r="V150" s="99">
        <f>VLOOKUP(D150,Poeng!$B$10:$BC$258,Poeng!AG$1,FALSE)</f>
        <v>0</v>
      </c>
      <c r="W150" s="99" t="str">
        <f>VLOOKUP(D150,Poeng!$B$10:$BK$258,Poeng!BK$1,FALSE)</f>
        <v>Good</v>
      </c>
      <c r="X150" s="67"/>
      <c r="Y150" s="66"/>
      <c r="Z150" s="577"/>
      <c r="AA150" s="108"/>
      <c r="AB150" s="690"/>
      <c r="AC150" s="17">
        <f t="shared" ref="AC150" si="22">IF(F150="",1,IF(F150=0,2,1))</f>
        <v>1</v>
      </c>
      <c r="AD150" s="1" t="e">
        <f>VLOOKUP(K150,'Assessment Details'!$O$45:$P$48,2,FALSE)</f>
        <v>#N/A</v>
      </c>
      <c r="AE150" s="1" t="e">
        <f>VLOOKUP(R150,'Assessment Details'!$O$45:$P$48,2,FALSE)</f>
        <v>#N/A</v>
      </c>
      <c r="AF150" s="1" t="e">
        <f>VLOOKUP(Y150,'Assessment Details'!$O$45:$P$48,2,FALSE)</f>
        <v>#N/A</v>
      </c>
      <c r="AS150" s="17"/>
      <c r="AT150" s="17"/>
      <c r="AU150" s="17"/>
      <c r="AV150" s="17"/>
      <c r="AW150" s="17"/>
      <c r="AX150" s="17"/>
      <c r="AZ150" s="690"/>
    </row>
    <row r="151" spans="1:52">
      <c r="A151" s="830">
        <v>142</v>
      </c>
      <c r="B151" s="831" t="s">
        <v>442</v>
      </c>
      <c r="C151" s="100" t="str">
        <f>C149</f>
        <v>Wst 01</v>
      </c>
      <c r="D151" s="14" t="s">
        <v>447</v>
      </c>
      <c r="E151" s="978" t="str">
        <f>VLOOKUP(D151,Poeng!$B$10:$R$258,Poeng!E$1,FALSE)</f>
        <v>EU taxonomy requirement: criterion 1</v>
      </c>
      <c r="F151" s="98" t="str">
        <f>VLOOKUP(D151,Poeng!$B$10:$AB$258,Poeng!AB$1,FALSE)</f>
        <v>Yes/No</v>
      </c>
      <c r="G151" s="29"/>
      <c r="H151" s="99" t="str">
        <f>VLOOKUP(D151,Poeng!$B$10:$AE$258,Poeng!AE$1,FALSE)</f>
        <v>-</v>
      </c>
      <c r="I151" s="100" t="str">
        <f>VLOOKUP(D151,Poeng!$B$10:$BE$258,Poeng!BE$1,FALSE)</f>
        <v>N/A</v>
      </c>
      <c r="J151" s="66"/>
      <c r="K151" s="233"/>
      <c r="L151" s="633"/>
      <c r="M151" s="648"/>
      <c r="N151" s="69"/>
      <c r="O151" s="99" t="str">
        <f>VLOOKUP(D151,Poeng!$B$10:$BC$258,Poeng!AF$1,FALSE)</f>
        <v>-</v>
      </c>
      <c r="P151" s="99" t="str">
        <f>VLOOKUP(D151,Poeng!$B$10:$BH$258,Poeng!BH$1,FALSE)</f>
        <v>N/A</v>
      </c>
      <c r="Q151" s="583"/>
      <c r="R151" s="584"/>
      <c r="S151" s="577"/>
      <c r="T151" s="268"/>
      <c r="U151" s="69"/>
      <c r="V151" s="99" t="str">
        <f>VLOOKUP(D151,Poeng!$B$10:$BC$258,Poeng!AG$1,FALSE)</f>
        <v>-</v>
      </c>
      <c r="W151" s="99" t="str">
        <f>VLOOKUP(D151,Poeng!$B$10:$BK$258,Poeng!BK$1,FALSE)</f>
        <v>N/A</v>
      </c>
      <c r="X151" s="67"/>
      <c r="Y151" s="66"/>
      <c r="Z151" s="577"/>
      <c r="AC151" s="17">
        <f t="shared" si="21"/>
        <v>1</v>
      </c>
      <c r="AD151" s="1" t="e">
        <f>VLOOKUP(K151,'Assessment Details'!$O$45:$P$48,2,FALSE)</f>
        <v>#N/A</v>
      </c>
      <c r="AE151" s="1" t="e">
        <f>VLOOKUP(R151,'Assessment Details'!$O$45:$P$48,2,FALSE)</f>
        <v>#N/A</v>
      </c>
      <c r="AF151" s="1" t="e">
        <f>VLOOKUP(Y151,'Assessment Details'!$O$45:$P$48,2,FALSE)</f>
        <v>#N/A</v>
      </c>
    </row>
    <row r="152" spans="1:52">
      <c r="A152" s="830">
        <v>143</v>
      </c>
      <c r="B152" s="831" t="s">
        <v>442</v>
      </c>
      <c r="C152" s="100" t="str">
        <f t="shared" si="19"/>
        <v>Wst 01</v>
      </c>
      <c r="D152" s="14" t="s">
        <v>448</v>
      </c>
      <c r="E152" s="687" t="str">
        <f>VLOOKUP(D152,Poeng!$B$10:$R$252,Poeng!E$1,FALSE)</f>
        <v>Amount of construction waste</v>
      </c>
      <c r="F152" s="98">
        <f>VLOOKUP(D152,Poeng!$B$10:$AB$252,Poeng!AB$1,FALSE)</f>
        <v>2</v>
      </c>
      <c r="G152" s="29"/>
      <c r="H152" s="99">
        <f>VLOOKUP(D152,Poeng!$B$10:$AE$252,Poeng!AE$1,FALSE)</f>
        <v>0</v>
      </c>
      <c r="I152" s="100" t="str">
        <f>VLOOKUP(D152,Poeng!$B$10:$BE$252,Poeng!BE$1,FALSE)</f>
        <v>Excellent</v>
      </c>
      <c r="J152" s="66"/>
      <c r="K152" s="233"/>
      <c r="L152" s="633"/>
      <c r="M152" s="648"/>
      <c r="N152" s="69"/>
      <c r="O152" s="99">
        <f>VLOOKUP(D152,Poeng!$B$10:$BC$252,Poeng!AF$1,FALSE)</f>
        <v>0</v>
      </c>
      <c r="P152" s="99" t="str">
        <f>VLOOKUP(D152,Poeng!$B$10:$BH$252,Poeng!BH$1,FALSE)</f>
        <v>Excellent</v>
      </c>
      <c r="Q152" s="583"/>
      <c r="R152" s="584"/>
      <c r="S152" s="577"/>
      <c r="T152" s="268"/>
      <c r="U152" s="69"/>
      <c r="V152" s="99">
        <f>VLOOKUP(D152,Poeng!$B$10:$BC$252,Poeng!AG$1,FALSE)</f>
        <v>0</v>
      </c>
      <c r="W152" s="99" t="str">
        <f>VLOOKUP(D152,Poeng!$B$10:$BK$252,Poeng!BK$1,FALSE)</f>
        <v>Excellent</v>
      </c>
      <c r="X152" s="67"/>
      <c r="Y152" s="66"/>
      <c r="Z152" s="577"/>
      <c r="AC152" s="17">
        <f t="shared" si="21"/>
        <v>1</v>
      </c>
      <c r="AD152" s="1" t="e">
        <f>VLOOKUP(K152,'Assessment Details'!$O$45:$P$48,2,FALSE)</f>
        <v>#N/A</v>
      </c>
      <c r="AE152" s="1" t="e">
        <f>VLOOKUP(R152,'Assessment Details'!$O$45:$P$48,2,FALSE)</f>
        <v>#N/A</v>
      </c>
      <c r="AF152" s="1" t="e">
        <f>VLOOKUP(Y152,'Assessment Details'!$O$45:$P$48,2,FALSE)</f>
        <v>#N/A</v>
      </c>
    </row>
    <row r="153" spans="1:52">
      <c r="A153" s="830">
        <v>144</v>
      </c>
      <c r="B153" s="831" t="s">
        <v>442</v>
      </c>
      <c r="C153" s="100" t="str">
        <f t="shared" si="19"/>
        <v>Wst 01</v>
      </c>
      <c r="D153" s="14" t="s">
        <v>449</v>
      </c>
      <c r="E153" s="687" t="str">
        <f>VLOOKUP(D153,Poeng!$B$10:$R$252,Poeng!E$1,FALSE)</f>
        <v>Waste sorting, reuse and recycling</v>
      </c>
      <c r="F153" s="98">
        <f>VLOOKUP(D153,Poeng!$B$10:$AB$252,Poeng!AB$1,FALSE)</f>
        <v>2</v>
      </c>
      <c r="G153" s="29"/>
      <c r="H153" s="99">
        <f>VLOOKUP(D153,Poeng!$B$10:$AE$252,Poeng!AE$1,FALSE)</f>
        <v>0</v>
      </c>
      <c r="I153" s="100" t="str">
        <f>VLOOKUP(D153,Poeng!$B$10:$BE$252,Poeng!BE$1,FALSE)</f>
        <v>Very Good</v>
      </c>
      <c r="J153" s="66"/>
      <c r="K153" s="233"/>
      <c r="L153" s="633"/>
      <c r="M153" s="648"/>
      <c r="N153" s="69"/>
      <c r="O153" s="99">
        <f>VLOOKUP(D153,Poeng!$B$10:$BC$252,Poeng!AF$1,FALSE)</f>
        <v>0</v>
      </c>
      <c r="P153" s="99" t="str">
        <f>VLOOKUP(D153,Poeng!$B$10:$BH$252,Poeng!BH$1,FALSE)</f>
        <v>Very Good</v>
      </c>
      <c r="Q153" s="583"/>
      <c r="R153" s="584"/>
      <c r="S153" s="577"/>
      <c r="T153" s="268"/>
      <c r="U153" s="69"/>
      <c r="V153" s="99">
        <f>VLOOKUP(D153,Poeng!$B$10:$BC$252,Poeng!AG$1,FALSE)</f>
        <v>0</v>
      </c>
      <c r="W153" s="99" t="str">
        <f>VLOOKUP(D153,Poeng!$B$10:$BK$252,Poeng!BK$1,FALSE)</f>
        <v>Very Good</v>
      </c>
      <c r="X153" s="67"/>
      <c r="Y153" s="66"/>
      <c r="Z153" s="577"/>
      <c r="AC153" s="17">
        <f t="shared" si="21"/>
        <v>1</v>
      </c>
      <c r="AD153" s="1" t="e">
        <f>VLOOKUP(K153,'Assessment Details'!$O$45:$P$48,2,FALSE)</f>
        <v>#N/A</v>
      </c>
      <c r="AE153" s="1" t="e">
        <f>VLOOKUP(R153,'Assessment Details'!$O$45:$P$48,2,FALSE)</f>
        <v>#N/A</v>
      </c>
      <c r="AF153" s="1" t="e">
        <f>VLOOKUP(Y153,'Assessment Details'!$O$45:$P$48,2,FALSE)</f>
        <v>#N/A</v>
      </c>
    </row>
    <row r="154" spans="1:52">
      <c r="A154" s="830">
        <v>145</v>
      </c>
      <c r="B154" s="831" t="s">
        <v>442</v>
      </c>
      <c r="C154" s="100" t="str">
        <f t="shared" si="19"/>
        <v>Wst 01</v>
      </c>
      <c r="D154" s="14" t="s">
        <v>450</v>
      </c>
      <c r="E154" s="978" t="str">
        <f>VLOOKUP(D154,Poeng!$B$10:$R$252,Poeng!E$1,FALSE)</f>
        <v>EU taxonomy requirement: criterion 4, ready for reuse &gt;70%</v>
      </c>
      <c r="F154" s="98" t="str">
        <f>VLOOKUP(D154,Poeng!$B$10:$AB$252,Poeng!AB$1,FALSE)</f>
        <v>Yes/No</v>
      </c>
      <c r="G154" s="29"/>
      <c r="H154" s="99" t="str">
        <f>VLOOKUP(D154,Poeng!$B$10:$AE$252,Poeng!AE$1,FALSE)</f>
        <v>-</v>
      </c>
      <c r="I154" s="100" t="str">
        <f>VLOOKUP(D154,Poeng!$B$10:$BE$252,Poeng!BE$1,FALSE)</f>
        <v>Very Good</v>
      </c>
      <c r="J154" s="66"/>
      <c r="K154" s="233"/>
      <c r="L154" s="633"/>
      <c r="M154" s="648"/>
      <c r="N154" s="69"/>
      <c r="O154" s="99" t="str">
        <f>VLOOKUP(D154,Poeng!$B$10:$BC$252,Poeng!AF$1,FALSE)</f>
        <v>-</v>
      </c>
      <c r="P154" s="99" t="str">
        <f>VLOOKUP(D154,Poeng!$B$10:$BH$252,Poeng!BH$1,FALSE)</f>
        <v>Very Good</v>
      </c>
      <c r="Q154" s="583"/>
      <c r="R154" s="584"/>
      <c r="S154" s="577"/>
      <c r="T154" s="268"/>
      <c r="U154" s="69"/>
      <c r="V154" s="99" t="str">
        <f>VLOOKUP(D154,Poeng!$B$10:$BC$252,Poeng!AG$1,FALSE)</f>
        <v>-</v>
      </c>
      <c r="W154" s="99" t="str">
        <f>VLOOKUP(D154,Poeng!$B$10:$BK$252,Poeng!BK$1,FALSE)</f>
        <v>Very Good</v>
      </c>
      <c r="X154" s="67"/>
      <c r="Y154" s="66"/>
      <c r="Z154" s="577"/>
      <c r="AC154" s="17">
        <f t="shared" ref="AC154" si="23">IF(F154="",1,IF(F154=0,2,1))</f>
        <v>1</v>
      </c>
      <c r="AD154" s="1" t="e">
        <f>VLOOKUP(K154,'Assessment Details'!$O$45:$P$48,2,FALSE)</f>
        <v>#N/A</v>
      </c>
      <c r="AE154" s="1" t="e">
        <f>VLOOKUP(R154,'Assessment Details'!$O$45:$P$48,2,FALSE)</f>
        <v>#N/A</v>
      </c>
      <c r="AF154" s="1" t="e">
        <f>VLOOKUP(Y154,'Assessment Details'!$O$45:$P$48,2,FALSE)</f>
        <v>#N/A</v>
      </c>
    </row>
    <row r="155" spans="1:52">
      <c r="A155" s="830">
        <v>146</v>
      </c>
      <c r="B155" s="831" t="s">
        <v>442</v>
      </c>
      <c r="C155" s="739" t="s">
        <v>451</v>
      </c>
      <c r="D155" s="653" t="s">
        <v>451</v>
      </c>
      <c r="E155" s="686" t="str">
        <f>VLOOKUP(D155,Poeng!$B$10:$R$252,Poeng!E$1,FALSE)</f>
        <v>Wst 03a Operational waste</v>
      </c>
      <c r="F155" s="691">
        <f>VLOOKUP(D155,Poeng!$B$10:$AB$252,Poeng!AB$1,FALSE)</f>
        <v>1</v>
      </c>
      <c r="G155" s="784"/>
      <c r="H155" s="692" t="str">
        <f>VLOOKUP(D155,Poeng!$B$10:$AI$252,Poeng!AI$1,FALSE)&amp;" c. "&amp;ROUND(VLOOKUP(D155,Poeng!$B$10:$AE$252,Poeng!AE$1,FALSE)*100,1)&amp;" %"</f>
        <v>0 c. 0 %</v>
      </c>
      <c r="I155" s="739" t="str">
        <f>VLOOKUP(D155,Poeng!$B$10:$BE$252,Poeng!BE$1,FALSE)</f>
        <v>N/A</v>
      </c>
      <c r="J155" s="66"/>
      <c r="K155" s="233"/>
      <c r="L155" s="633"/>
      <c r="M155" s="648"/>
      <c r="N155" s="784"/>
      <c r="O155" s="703" t="str">
        <f>VLOOKUP(D155,Poeng!$B$10:$BC$252,Poeng!AJ$1,FALSE)&amp;" c. "&amp;ROUND(VLOOKUP(D155,Poeng!$B$10:$BC$252,Poeng!AF$1,FALSE)*100,1)&amp;" %"</f>
        <v>0 c. 0 %</v>
      </c>
      <c r="P155" s="99" t="str">
        <f>VLOOKUP(D155,Poeng!$B$10:$BH$252,Poeng!BH$1,FALSE)</f>
        <v>N/A</v>
      </c>
      <c r="Q155" s="583"/>
      <c r="R155" s="584"/>
      <c r="S155" s="577"/>
      <c r="T155" s="268"/>
      <c r="U155" s="784"/>
      <c r="V155" s="703" t="str">
        <f>VLOOKUP(D155,Poeng!$B$10:$BC$252,Poeng!AK$1,FALSE)&amp;" c. "&amp;ROUND(VLOOKUP(D155,Poeng!$B$10:$BC$252,Poeng!AG$1,FALSE)*100,1)&amp;" %"</f>
        <v>0 c. 0 %</v>
      </c>
      <c r="W155" s="99" t="str">
        <f>VLOOKUP(D155,Poeng!$B$10:$BK$252,Poeng!BK$1,FALSE)</f>
        <v>N/A</v>
      </c>
      <c r="X155" s="67"/>
      <c r="Y155" s="66"/>
      <c r="Z155" s="577"/>
      <c r="AA155" s="108"/>
      <c r="AB155" s="495" t="s">
        <v>127</v>
      </c>
      <c r="AC155" s="17">
        <f t="shared" si="21"/>
        <v>1</v>
      </c>
      <c r="AD155" s="1" t="e">
        <f>VLOOKUP(K155,'Assessment Details'!$O$45:$P$48,2,FALSE)</f>
        <v>#N/A</v>
      </c>
      <c r="AE155" s="1" t="e">
        <f>VLOOKUP(R155,'Assessment Details'!$O$45:$P$48,2,FALSE)</f>
        <v>#N/A</v>
      </c>
      <c r="AF155" s="1" t="e">
        <f>VLOOKUP(Y155,'Assessment Details'!$O$45:$P$48,2,FALSE)</f>
        <v>#N/A</v>
      </c>
      <c r="AI155" s="56"/>
      <c r="AJ155" s="522" t="s">
        <v>452</v>
      </c>
      <c r="AK155" s="501" t="s">
        <v>127</v>
      </c>
      <c r="AL155" s="501" t="s">
        <v>123</v>
      </c>
      <c r="AM155" s="56"/>
      <c r="AN155" s="56"/>
      <c r="AO155" s="56"/>
      <c r="AP155" s="56"/>
      <c r="AS155" s="17" t="str">
        <f t="shared" si="13"/>
        <v>N/A</v>
      </c>
      <c r="AT155" s="17" t="str">
        <f t="shared" si="14"/>
        <v>N/A</v>
      </c>
      <c r="AU155" s="17" t="str">
        <f t="shared" si="15"/>
        <v>N/A</v>
      </c>
      <c r="AV155" s="17"/>
      <c r="AW155" s="17"/>
      <c r="AX155" s="17"/>
      <c r="AZ155" s="495"/>
    </row>
    <row r="156" spans="1:52">
      <c r="A156" s="830">
        <v>147</v>
      </c>
      <c r="B156" s="831" t="s">
        <v>442</v>
      </c>
      <c r="C156" s="100" t="str">
        <f t="shared" si="19"/>
        <v>Wst 03a</v>
      </c>
      <c r="D156" s="653" t="s">
        <v>453</v>
      </c>
      <c r="E156" s="687" t="str">
        <f>VLOOKUP(D156,Poeng!$B$10:$R$252,Poeng!E$1,FALSE)</f>
        <v>Operational waste</v>
      </c>
      <c r="F156" s="98">
        <f>VLOOKUP(D156,Poeng!$B$10:$AB$252,Poeng!AB$1,FALSE)</f>
        <v>1</v>
      </c>
      <c r="G156" s="29"/>
      <c r="H156" s="99">
        <f>VLOOKUP(D156,Poeng!$B$10:$AE$252,Poeng!AE$1,FALSE)</f>
        <v>0</v>
      </c>
      <c r="I156" s="100" t="str">
        <f>VLOOKUP(D156,Poeng!$B$10:$BE$252,Poeng!BE$1,FALSE)</f>
        <v>Very Good</v>
      </c>
      <c r="J156" s="66"/>
      <c r="K156" s="233"/>
      <c r="L156" s="633"/>
      <c r="M156" s="648"/>
      <c r="N156" s="69"/>
      <c r="O156" s="99">
        <f>VLOOKUP(D156,Poeng!$B$10:$BC$252,Poeng!AF$1,FALSE)</f>
        <v>0</v>
      </c>
      <c r="P156" s="99" t="str">
        <f>VLOOKUP(D156,Poeng!$B$10:$BH$252,Poeng!BH$1,FALSE)</f>
        <v>Very Good</v>
      </c>
      <c r="Q156" s="583"/>
      <c r="R156" s="584"/>
      <c r="S156" s="577"/>
      <c r="T156" s="268"/>
      <c r="U156" s="69"/>
      <c r="V156" s="99">
        <f>VLOOKUP(D156,Poeng!$B$10:$BC$252,Poeng!AG$1,FALSE)</f>
        <v>0</v>
      </c>
      <c r="W156" s="99" t="str">
        <f>VLOOKUP(D156,Poeng!$B$10:$BK$252,Poeng!BK$1,FALSE)</f>
        <v>Very Good</v>
      </c>
      <c r="X156" s="67"/>
      <c r="Y156" s="66"/>
      <c r="Z156" s="577"/>
      <c r="AA156" s="108"/>
      <c r="AB156" s="495"/>
      <c r="AC156" s="17">
        <f t="shared" si="21"/>
        <v>1</v>
      </c>
      <c r="AD156" s="1" t="e">
        <f>VLOOKUP(K156,'Assessment Details'!$O$45:$P$48,2,FALSE)</f>
        <v>#N/A</v>
      </c>
      <c r="AE156" s="1" t="e">
        <f>VLOOKUP(R156,'Assessment Details'!$O$45:$P$48,2,FALSE)</f>
        <v>#N/A</v>
      </c>
      <c r="AF156" s="1" t="e">
        <f>VLOOKUP(Y156,'Assessment Details'!$O$45:$P$48,2,FALSE)</f>
        <v>#N/A</v>
      </c>
      <c r="AI156" s="56"/>
      <c r="AJ156" s="522"/>
      <c r="AK156" s="501"/>
      <c r="AL156" s="501"/>
      <c r="AM156" s="56"/>
      <c r="AN156" s="56"/>
      <c r="AO156" s="56"/>
      <c r="AP156" s="56"/>
      <c r="AS156" s="17"/>
      <c r="AT156" s="17"/>
      <c r="AU156" s="17"/>
      <c r="AV156" s="17"/>
      <c r="AW156" s="17"/>
      <c r="AX156" s="17"/>
      <c r="AZ156" s="495"/>
    </row>
    <row r="157" spans="1:52">
      <c r="A157" s="830">
        <v>148</v>
      </c>
      <c r="B157" s="831" t="s">
        <v>442</v>
      </c>
      <c r="C157" s="739" t="s">
        <v>454</v>
      </c>
      <c r="D157" s="653" t="s">
        <v>454</v>
      </c>
      <c r="E157" s="686" t="str">
        <f>VLOOKUP(D157,Poeng!$B$10:$R$252,Poeng!E$1,FALSE)</f>
        <v>Wst 03b Operational waste</v>
      </c>
      <c r="F157" s="691">
        <f>VLOOKUP(D157,Poeng!$B$10:$AB$252,Poeng!AB$1,FALSE)</f>
        <v>0</v>
      </c>
      <c r="G157" s="784"/>
      <c r="H157" s="692" t="str">
        <f>VLOOKUP(D157,Poeng!$B$10:$AI$252,Poeng!AI$1,FALSE)&amp;" c. "&amp;ROUND(VLOOKUP(D157,Poeng!$B$10:$AE$252,Poeng!AE$1,FALSE)*100,1)&amp;" %"</f>
        <v>0 c. 0 %</v>
      </c>
      <c r="I157" s="739" t="str">
        <f>VLOOKUP(D157,Poeng!$B$10:$BE$252,Poeng!BE$1,FALSE)</f>
        <v>N/A</v>
      </c>
      <c r="J157" s="66"/>
      <c r="K157" s="233"/>
      <c r="L157" s="633"/>
      <c r="M157" s="648"/>
      <c r="N157" s="784"/>
      <c r="O157" s="703" t="str">
        <f>VLOOKUP(D157,Poeng!$B$10:$BC$252,Poeng!AJ$1,FALSE)&amp;" c. "&amp;ROUND(VLOOKUP(D157,Poeng!$B$10:$BC$252,Poeng!AF$1,FALSE)*100,1)&amp;" %"</f>
        <v>0 c. 0 %</v>
      </c>
      <c r="P157" s="99" t="str">
        <f>VLOOKUP(D157,Poeng!$B$10:$BH$252,Poeng!BH$1,FALSE)</f>
        <v>N/A</v>
      </c>
      <c r="Q157" s="583"/>
      <c r="R157" s="584"/>
      <c r="S157" s="577"/>
      <c r="T157" s="268"/>
      <c r="U157" s="784"/>
      <c r="V157" s="703" t="str">
        <f>VLOOKUP(D157,Poeng!$B$10:$BC$252,Poeng!AK$1,FALSE)&amp;" c. "&amp;ROUND(VLOOKUP(D157,Poeng!$B$10:$BC$252,Poeng!AG$1,FALSE)*100,1)&amp;" %"</f>
        <v>0 c. 0 %</v>
      </c>
      <c r="W157" s="99" t="str">
        <f>VLOOKUP(D157,Poeng!$B$10:$BK$252,Poeng!BK$1,FALSE)</f>
        <v>N/A</v>
      </c>
      <c r="X157" s="67"/>
      <c r="Y157" s="66"/>
      <c r="Z157" s="577"/>
      <c r="AA157" s="108"/>
      <c r="AB157" s="495"/>
      <c r="AC157" s="17">
        <f t="shared" si="21"/>
        <v>2</v>
      </c>
      <c r="AD157" s="1" t="e">
        <f>VLOOKUP(K157,'Assessment Details'!$O$45:$P$48,2,FALSE)</f>
        <v>#N/A</v>
      </c>
      <c r="AE157" s="1" t="e">
        <f>VLOOKUP(R157,'Assessment Details'!$O$45:$P$48,2,FALSE)</f>
        <v>#N/A</v>
      </c>
      <c r="AF157" s="1" t="e">
        <f>VLOOKUP(Y157,'Assessment Details'!$O$45:$P$48,2,FALSE)</f>
        <v>#N/A</v>
      </c>
      <c r="AI157" s="56"/>
      <c r="AJ157" s="522"/>
      <c r="AK157" s="501"/>
      <c r="AL157" s="501"/>
      <c r="AM157" s="56"/>
      <c r="AN157" s="56"/>
      <c r="AO157" s="56"/>
      <c r="AP157" s="56"/>
      <c r="AS157" s="17"/>
      <c r="AT157" s="17"/>
      <c r="AU157" s="17"/>
      <c r="AV157" s="17"/>
      <c r="AW157" s="17"/>
      <c r="AX157" s="17"/>
      <c r="AZ157" s="495"/>
    </row>
    <row r="158" spans="1:52">
      <c r="A158" s="830">
        <v>149</v>
      </c>
      <c r="B158" s="831" t="s">
        <v>442</v>
      </c>
      <c r="C158" s="100" t="str">
        <f t="shared" si="19"/>
        <v>Wst 03b</v>
      </c>
      <c r="D158" s="653" t="s">
        <v>455</v>
      </c>
      <c r="E158" s="687" t="str">
        <f>VLOOKUP(D158,Poeng!$B$10:$R$252,Poeng!E$1,FALSE)</f>
        <v>Sorting of waste</v>
      </c>
      <c r="F158" s="98">
        <f>VLOOKUP(D158,Poeng!$B$10:$AB$252,Poeng!AB$1,FALSE)</f>
        <v>0</v>
      </c>
      <c r="G158" s="29"/>
      <c r="H158" s="99">
        <f>VLOOKUP(D158,Poeng!$B$10:$AE$252,Poeng!AE$1,FALSE)</f>
        <v>0</v>
      </c>
      <c r="I158" s="100" t="str">
        <f>VLOOKUP(D158,Poeng!$B$10:$BE$252,Poeng!BE$1,FALSE)</f>
        <v>N/A</v>
      </c>
      <c r="J158" s="66"/>
      <c r="K158" s="233"/>
      <c r="L158" s="633"/>
      <c r="M158" s="648"/>
      <c r="N158" s="69"/>
      <c r="O158" s="99">
        <f>VLOOKUP(D158,Poeng!$B$10:$BC$252,Poeng!AF$1,FALSE)</f>
        <v>0</v>
      </c>
      <c r="P158" s="99" t="str">
        <f>VLOOKUP(D158,Poeng!$B$10:$BH$252,Poeng!BH$1,FALSE)</f>
        <v>N/A</v>
      </c>
      <c r="Q158" s="583"/>
      <c r="R158" s="584"/>
      <c r="S158" s="633"/>
      <c r="T158" s="268"/>
      <c r="U158" s="69"/>
      <c r="V158" s="99">
        <f>VLOOKUP(D158,Poeng!$B$10:$BC$252,Poeng!AG$1,FALSE)</f>
        <v>0</v>
      </c>
      <c r="W158" s="99" t="str">
        <f>VLOOKUP(D158,Poeng!$B$10:$BK$252,Poeng!BK$1,FALSE)</f>
        <v>N/A</v>
      </c>
      <c r="X158" s="67"/>
      <c r="Y158" s="66"/>
      <c r="Z158" s="633"/>
      <c r="AA158" s="108"/>
      <c r="AB158" s="495"/>
      <c r="AC158" s="17">
        <f t="shared" si="21"/>
        <v>2</v>
      </c>
      <c r="AD158" s="1" t="e">
        <f>VLOOKUP(K158,'Assessment Details'!$O$45:$P$48,2,FALSE)</f>
        <v>#N/A</v>
      </c>
      <c r="AE158" s="1" t="e">
        <f>VLOOKUP(R158,'Assessment Details'!$O$45:$P$48,2,FALSE)</f>
        <v>#N/A</v>
      </c>
      <c r="AF158" s="1" t="e">
        <f>VLOOKUP(Y158,'Assessment Details'!$O$45:$P$48,2,FALSE)</f>
        <v>#N/A</v>
      </c>
      <c r="AI158" s="56"/>
      <c r="AJ158" s="522"/>
      <c r="AK158" s="501"/>
      <c r="AL158" s="501"/>
      <c r="AM158" s="56"/>
      <c r="AN158" s="56"/>
      <c r="AO158" s="56"/>
      <c r="AP158" s="56"/>
      <c r="AS158" s="17"/>
      <c r="AT158" s="17"/>
      <c r="AU158" s="17"/>
      <c r="AV158" s="17"/>
      <c r="AW158" s="17"/>
      <c r="AX158" s="17"/>
      <c r="AZ158" s="495"/>
    </row>
    <row r="159" spans="1:52">
      <c r="A159" s="830">
        <v>150</v>
      </c>
      <c r="B159" s="831" t="s">
        <v>442</v>
      </c>
      <c r="C159" s="739" t="s">
        <v>456</v>
      </c>
      <c r="D159" s="653" t="s">
        <v>456</v>
      </c>
      <c r="E159" s="686" t="str">
        <f>VLOOKUP(D159,Poeng!$B$10:$R$252,Poeng!E$1,FALSE)</f>
        <v>Wst 04 Speculative finishes</v>
      </c>
      <c r="F159" s="691">
        <f>VLOOKUP(D159,Poeng!$B$10:$AB$252,Poeng!AB$1,FALSE)</f>
        <v>1</v>
      </c>
      <c r="G159" s="784"/>
      <c r="H159" s="692" t="str">
        <f>VLOOKUP(D159,Poeng!$B$10:$AI$252,Poeng!AI$1,FALSE)&amp;" c. "&amp;ROUND(VLOOKUP(D159,Poeng!$B$10:$AE$252,Poeng!AE$1,FALSE)*100,1)&amp;" %"</f>
        <v>0 c. 0 %</v>
      </c>
      <c r="I159" s="739" t="str">
        <f>VLOOKUP(D159,Poeng!$B$10:$BE$252,Poeng!BE$1,FALSE)</f>
        <v>N/A</v>
      </c>
      <c r="J159" s="66"/>
      <c r="K159" s="233"/>
      <c r="L159" s="633"/>
      <c r="M159" s="648"/>
      <c r="N159" s="784"/>
      <c r="O159" s="703" t="str">
        <f>VLOOKUP(D159,Poeng!$B$10:$BC$252,Poeng!AJ$1,FALSE)&amp;" c. "&amp;ROUND(VLOOKUP(D159,Poeng!$B$10:$BC$252,Poeng!AF$1,FALSE)*100,1)&amp;" %"</f>
        <v>0 c. 0 %</v>
      </c>
      <c r="P159" s="99" t="str">
        <f>VLOOKUP(D159,Poeng!$B$10:$BH$252,Poeng!BH$1,FALSE)</f>
        <v>N/A</v>
      </c>
      <c r="Q159" s="583"/>
      <c r="R159" s="584"/>
      <c r="S159" s="577"/>
      <c r="T159" s="268"/>
      <c r="U159" s="784"/>
      <c r="V159" s="703" t="str">
        <f>VLOOKUP(D159,Poeng!$B$10:$BC$252,Poeng!AK$1,FALSE)&amp;" c. "&amp;ROUND(VLOOKUP(D159,Poeng!$B$10:$BC$252,Poeng!AG$1,FALSE)*100,1)&amp;" %"</f>
        <v>0 c. 0 %</v>
      </c>
      <c r="W159" s="99" t="str">
        <f>VLOOKUP(D159,Poeng!$B$10:$BK$252,Poeng!BK$1,FALSE)</f>
        <v>N/A</v>
      </c>
      <c r="X159" s="67"/>
      <c r="Y159" s="66"/>
      <c r="Z159" s="577"/>
      <c r="AA159" s="108"/>
      <c r="AB159" s="495" t="s">
        <v>127</v>
      </c>
      <c r="AC159" s="17">
        <f t="shared" si="21"/>
        <v>1</v>
      </c>
      <c r="AD159" s="1" t="e">
        <f>VLOOKUP(K159,'Assessment Details'!$O$45:$P$48,2,FALSE)</f>
        <v>#N/A</v>
      </c>
      <c r="AE159" s="1" t="e">
        <f>VLOOKUP(R159,'Assessment Details'!$O$45:$P$48,2,FALSE)</f>
        <v>#N/A</v>
      </c>
      <c r="AF159" s="1" t="e">
        <f>VLOOKUP(Y159,'Assessment Details'!$O$45:$P$48,2,FALSE)</f>
        <v>#N/A</v>
      </c>
      <c r="AI159" s="56"/>
      <c r="AJ159" s="522" t="s">
        <v>457</v>
      </c>
      <c r="AK159" s="501" t="s">
        <v>127</v>
      </c>
      <c r="AL159" s="501" t="s">
        <v>123</v>
      </c>
      <c r="AM159" s="56"/>
      <c r="AN159" s="56"/>
      <c r="AO159" s="56"/>
      <c r="AP159" s="56"/>
      <c r="AS159" s="17" t="str">
        <f t="shared" si="13"/>
        <v>N/A</v>
      </c>
      <c r="AT159" s="17" t="str">
        <f t="shared" si="14"/>
        <v>N/A</v>
      </c>
      <c r="AU159" s="17" t="str">
        <f t="shared" si="15"/>
        <v>N/A</v>
      </c>
      <c r="AV159" s="17"/>
      <c r="AW159" s="17"/>
      <c r="AX159" s="17"/>
      <c r="AZ159" s="495"/>
    </row>
    <row r="160" spans="1:52">
      <c r="A160" s="830">
        <v>151</v>
      </c>
      <c r="B160" s="831" t="s">
        <v>442</v>
      </c>
      <c r="C160" s="100" t="str">
        <f t="shared" si="19"/>
        <v>Wst 04</v>
      </c>
      <c r="D160" s="653" t="s">
        <v>458</v>
      </c>
      <c r="E160" s="687" t="str">
        <f>VLOOKUP(D160,Poeng!$B$10:$R$252,Poeng!E$1,FALSE)</f>
        <v xml:space="preserve">User involvement surface finishes </v>
      </c>
      <c r="F160" s="98">
        <f>VLOOKUP(D160,Poeng!$B$10:$AB$252,Poeng!AB$1,FALSE)</f>
        <v>1</v>
      </c>
      <c r="G160" s="29"/>
      <c r="H160" s="99">
        <f>VLOOKUP(D160,Poeng!$B$10:$AE$252,Poeng!AE$1,FALSE)</f>
        <v>0</v>
      </c>
      <c r="I160" s="100" t="str">
        <f>VLOOKUP(D160,Poeng!$B$10:$BE$252,Poeng!BE$1,FALSE)</f>
        <v>N/A</v>
      </c>
      <c r="J160" s="66"/>
      <c r="K160" s="233"/>
      <c r="L160" s="633"/>
      <c r="M160" s="648"/>
      <c r="N160" s="69"/>
      <c r="O160" s="99">
        <f>VLOOKUP(D160,Poeng!$B$10:$BC$252,Poeng!AF$1,FALSE)</f>
        <v>0</v>
      </c>
      <c r="P160" s="99" t="str">
        <f>VLOOKUP(D160,Poeng!$B$10:$BH$252,Poeng!BH$1,FALSE)</f>
        <v>N/A</v>
      </c>
      <c r="Q160" s="583"/>
      <c r="R160" s="584"/>
      <c r="S160" s="577"/>
      <c r="T160" s="268"/>
      <c r="U160" s="69"/>
      <c r="V160" s="99">
        <f>VLOOKUP(D160,Poeng!$B$10:$BC$252,Poeng!AG$1,FALSE)</f>
        <v>0</v>
      </c>
      <c r="W160" s="99" t="str">
        <f>VLOOKUP(D160,Poeng!$B$10:$BK$252,Poeng!BK$1,FALSE)</f>
        <v>N/A</v>
      </c>
      <c r="X160" s="67"/>
      <c r="Y160" s="66"/>
      <c r="Z160" s="577"/>
      <c r="AA160" s="108"/>
      <c r="AB160" s="559"/>
      <c r="AC160" s="17">
        <f t="shared" si="21"/>
        <v>1</v>
      </c>
      <c r="AD160" s="1" t="e">
        <f>VLOOKUP(K160,'Assessment Details'!$O$45:$P$48,2,FALSE)</f>
        <v>#N/A</v>
      </c>
      <c r="AE160" s="1" t="e">
        <f>VLOOKUP(R160,'Assessment Details'!$O$45:$P$48,2,FALSE)</f>
        <v>#N/A</v>
      </c>
      <c r="AF160" s="1" t="e">
        <f>VLOOKUP(Y160,'Assessment Details'!$O$45:$P$48,2,FALSE)</f>
        <v>#N/A</v>
      </c>
      <c r="AI160" s="56"/>
      <c r="AJ160" s="522"/>
      <c r="AK160" s="501"/>
      <c r="AL160" s="501"/>
      <c r="AM160" s="56"/>
      <c r="AN160" s="56"/>
      <c r="AO160" s="56"/>
      <c r="AP160" s="56"/>
      <c r="AS160" s="17"/>
      <c r="AT160" s="17"/>
      <c r="AU160" s="17"/>
      <c r="AV160" s="17"/>
      <c r="AW160" s="17"/>
      <c r="AX160" s="17"/>
      <c r="AZ160" s="559"/>
    </row>
    <row r="161" spans="1:52" ht="15.75" thickBot="1">
      <c r="A161" s="830">
        <v>152</v>
      </c>
      <c r="B161" s="831" t="s">
        <v>442</v>
      </c>
      <c r="C161" s="842"/>
      <c r="D161" s="653" t="s">
        <v>459</v>
      </c>
      <c r="E161" s="289" t="s">
        <v>460</v>
      </c>
      <c r="F161" s="101">
        <f>Wst_Credits</f>
        <v>7</v>
      </c>
      <c r="G161" s="106"/>
      <c r="H161" s="102">
        <f>Wst_cont_tot</f>
        <v>0</v>
      </c>
      <c r="I161" s="693" t="str">
        <f>"Credits achieved: "&amp;Wst_tot_user</f>
        <v>Credits achieved: 0</v>
      </c>
      <c r="J161" s="109"/>
      <c r="K161" s="234"/>
      <c r="L161" s="585"/>
      <c r="M161" s="648"/>
      <c r="N161" s="326"/>
      <c r="O161" s="102">
        <f>VLOOKUP(D161,Poeng!$B$10:$BC$252,Poeng!AF$1,FALSE)</f>
        <v>0</v>
      </c>
      <c r="P161" s="693" t="str">
        <f>"Credits achieved: "&amp;Wst_d_user</f>
        <v>Credits achieved: 0</v>
      </c>
      <c r="Q161" s="586"/>
      <c r="R161" s="587"/>
      <c r="S161" s="585"/>
      <c r="T161" s="268"/>
      <c r="U161" s="326"/>
      <c r="V161" s="102">
        <f>VLOOKUP(D161,Poeng!$B$10:$BC$252,Poeng!AG$1,FALSE)</f>
        <v>0</v>
      </c>
      <c r="W161" s="693" t="str">
        <f>"Credits achieved: "&amp;Wst_c_user</f>
        <v>Credits achieved: 0</v>
      </c>
      <c r="X161" s="325"/>
      <c r="Y161" s="111"/>
      <c r="Z161" s="585"/>
      <c r="AA161" s="108"/>
      <c r="AB161" s="496"/>
      <c r="AC161" s="17">
        <f t="shared" si="21"/>
        <v>1</v>
      </c>
      <c r="AD161" s="230">
        <v>0</v>
      </c>
      <c r="AE161" s="230">
        <v>0</v>
      </c>
      <c r="AF161" s="230">
        <v>0</v>
      </c>
      <c r="AI161" s="56"/>
      <c r="AJ161" s="522" t="s">
        <v>460</v>
      </c>
      <c r="AK161" s="56"/>
      <c r="AL161" s="56"/>
      <c r="AM161" s="56"/>
      <c r="AN161" s="56"/>
      <c r="AO161" s="56"/>
      <c r="AP161" s="56"/>
      <c r="AS161" s="17" t="str">
        <f t="shared" si="13"/>
        <v>N/A</v>
      </c>
      <c r="AT161" s="17" t="str">
        <f t="shared" si="14"/>
        <v>N/A</v>
      </c>
      <c r="AU161" s="17" t="str">
        <f t="shared" si="15"/>
        <v>N/A</v>
      </c>
      <c r="AV161" s="17"/>
      <c r="AW161" s="17"/>
      <c r="AX161" s="17"/>
      <c r="AZ161" s="496"/>
    </row>
    <row r="162" spans="1:52">
      <c r="A162" s="830">
        <v>153</v>
      </c>
      <c r="B162" s="831" t="s">
        <v>442</v>
      </c>
      <c r="C162" s="838"/>
      <c r="D162" s="653"/>
      <c r="E162" s="282"/>
      <c r="F162" s="271"/>
      <c r="G162" s="272"/>
      <c r="H162" s="271"/>
      <c r="I162" s="271"/>
      <c r="J162" s="273"/>
      <c r="K162" s="272"/>
      <c r="L162" s="588"/>
      <c r="M162" s="648"/>
      <c r="N162" s="274"/>
      <c r="O162" s="274"/>
      <c r="P162" s="588"/>
      <c r="Q162" s="588"/>
      <c r="R162" s="589"/>
      <c r="S162" s="588"/>
      <c r="T162" s="268"/>
      <c r="U162" s="274"/>
      <c r="V162" s="274"/>
      <c r="W162" s="588"/>
      <c r="X162" s="273"/>
      <c r="Y162" s="274"/>
      <c r="Z162" s="588"/>
      <c r="AA162" s="108"/>
      <c r="AB162" s="273"/>
      <c r="AC162" s="17">
        <f t="shared" si="21"/>
        <v>1</v>
      </c>
      <c r="AD162" s="231">
        <v>0</v>
      </c>
      <c r="AE162" s="231">
        <v>0</v>
      </c>
      <c r="AF162" s="231">
        <v>0</v>
      </c>
      <c r="AI162" s="56"/>
      <c r="AJ162" s="522"/>
      <c r="AK162" s="56"/>
      <c r="AL162" s="56"/>
      <c r="AM162" s="56"/>
      <c r="AN162" s="56"/>
      <c r="AO162" s="56"/>
      <c r="AP162" s="56"/>
      <c r="AS162" s="17" t="str">
        <f t="shared" si="13"/>
        <v>N/A</v>
      </c>
      <c r="AT162" s="17" t="str">
        <f t="shared" si="14"/>
        <v>N/A</v>
      </c>
      <c r="AU162" s="17" t="str">
        <f t="shared" si="15"/>
        <v>N/A</v>
      </c>
      <c r="AV162" s="17"/>
      <c r="AW162" s="17"/>
      <c r="AX162" s="17"/>
      <c r="AZ162" s="273"/>
    </row>
    <row r="163" spans="1:52" ht="18.75">
      <c r="A163" s="830">
        <v>154</v>
      </c>
      <c r="B163" s="831" t="s">
        <v>461</v>
      </c>
      <c r="C163" s="839"/>
      <c r="D163" s="653"/>
      <c r="E163" s="283" t="s">
        <v>462</v>
      </c>
      <c r="F163" s="264"/>
      <c r="G163" s="265"/>
      <c r="H163" s="284"/>
      <c r="I163" s="264"/>
      <c r="J163" s="276"/>
      <c r="K163" s="277"/>
      <c r="L163" s="591"/>
      <c r="M163" s="648"/>
      <c r="N163" s="287"/>
      <c r="O163" s="280"/>
      <c r="P163" s="581"/>
      <c r="Q163" s="592"/>
      <c r="R163" s="593"/>
      <c r="S163" s="594"/>
      <c r="T163" s="268"/>
      <c r="U163" s="287"/>
      <c r="V163" s="286"/>
      <c r="W163" s="581"/>
      <c r="X163" s="276"/>
      <c r="Y163" s="286"/>
      <c r="Z163" s="591"/>
      <c r="AA163" s="108"/>
      <c r="AB163" s="285"/>
      <c r="AC163" s="17">
        <f t="shared" si="21"/>
        <v>1</v>
      </c>
      <c r="AD163" s="229">
        <v>0</v>
      </c>
      <c r="AE163" s="229">
        <v>0</v>
      </c>
      <c r="AF163" s="229">
        <v>0</v>
      </c>
      <c r="AI163" s="56"/>
      <c r="AJ163" s="522" t="s">
        <v>462</v>
      </c>
      <c r="AK163" s="56"/>
      <c r="AL163" s="56"/>
      <c r="AM163" s="56"/>
      <c r="AN163" s="56"/>
      <c r="AO163" s="56"/>
      <c r="AP163" s="56"/>
      <c r="AS163" s="17" t="str">
        <f t="shared" ref="AS163:AS227" si="24">IF($AJ$4=ais_nei,AIS_NA,IF(AK163="",AIS_NA,AK163))</f>
        <v>N/A</v>
      </c>
      <c r="AT163" s="17" t="str">
        <f t="shared" ref="AT163:AT227" si="25">IF($AJ$4=ais_nei,AIS_NA,IF(AL163="",AIS_NA,AL163))</f>
        <v>N/A</v>
      </c>
      <c r="AU163" s="17" t="str">
        <f t="shared" ref="AU163:AV227" si="26">IF($AJ$4=ais_nei,AIS_NA,IF(AM163="",AIS_NA,AM163))</f>
        <v>N/A</v>
      </c>
      <c r="AV163" s="17"/>
      <c r="AW163" s="17"/>
      <c r="AX163" s="17"/>
      <c r="AZ163" s="285"/>
    </row>
    <row r="164" spans="1:52">
      <c r="A164" s="830">
        <v>155</v>
      </c>
      <c r="B164" s="831" t="s">
        <v>461</v>
      </c>
      <c r="C164" s="739" t="s">
        <v>463</v>
      </c>
      <c r="D164" s="653" t="s">
        <v>463</v>
      </c>
      <c r="E164" s="686" t="str">
        <f>VLOOKUP(D164,Poeng!$B$10:$R$252,Poeng!E$1,FALSE)</f>
        <v>LE 01 Site selection</v>
      </c>
      <c r="F164" s="691">
        <f>VLOOKUP(D164,Poeng!$B$10:$AB$252,Poeng!AB$1,FALSE)</f>
        <v>2</v>
      </c>
      <c r="G164" s="783"/>
      <c r="H164" s="692" t="str">
        <f>VLOOKUP(D164,Poeng!$B$10:$AI$252,Poeng!AI$1,FALSE)&amp;" c. "&amp;ROUND(VLOOKUP(D164,Poeng!$B$10:$AE$252,Poeng!AE$1,FALSE)*100,1)&amp;" %"</f>
        <v>0 c. 0 %</v>
      </c>
      <c r="I164" s="738" t="str">
        <f>VLOOKUP(D164,Poeng!$B$10:$BE$252,Poeng!BE$1,FALSE)</f>
        <v>N/A</v>
      </c>
      <c r="J164" s="700"/>
      <c r="K164" s="701"/>
      <c r="L164" s="702"/>
      <c r="M164" s="648"/>
      <c r="N164" s="784"/>
      <c r="O164" s="846" t="str">
        <f>VLOOKUP(D164,Poeng!$B$10:$BC$252,Poeng!AJ$1,FALSE)&amp;" c. "&amp;ROUND(VLOOKUP(D164,Poeng!$B$10:$BC$252,Poeng!AF$1,FALSE)*100,1)&amp;" %"</f>
        <v>0 c. 0 %</v>
      </c>
      <c r="P164" s="99" t="str">
        <f>VLOOKUP(D164,Poeng!$B$10:$BH$252,Poeng!BH$1,FALSE)</f>
        <v>N/A</v>
      </c>
      <c r="Q164" s="583"/>
      <c r="R164" s="584"/>
      <c r="S164" s="577"/>
      <c r="T164" s="268"/>
      <c r="U164" s="784"/>
      <c r="V164" s="703" t="str">
        <f>VLOOKUP(D164,Poeng!$B$10:$BC$252,Poeng!AK$1,FALSE)&amp;" c. "&amp;ROUND(VLOOKUP(D164,Poeng!$B$10:$BC$252,Poeng!AG$1,FALSE)*100,1)&amp;" %"</f>
        <v>0 c. 0 %</v>
      </c>
      <c r="W164" s="99" t="str">
        <f>VLOOKUP(D164,Poeng!$B$10:$BK$252,Poeng!BK$1,FALSE)</f>
        <v>N/A</v>
      </c>
      <c r="X164" s="67"/>
      <c r="Y164" s="66"/>
      <c r="Z164" s="577"/>
      <c r="AA164" s="108"/>
      <c r="AB164" s="495" t="s">
        <v>216</v>
      </c>
      <c r="AC164" s="17">
        <f t="shared" si="21"/>
        <v>1</v>
      </c>
      <c r="AD164" s="1" t="e">
        <f>VLOOKUP(K164,'Assessment Details'!$O$45:$P$48,2,FALSE)</f>
        <v>#N/A</v>
      </c>
      <c r="AE164" s="1" t="e">
        <f>VLOOKUP(R164,'Assessment Details'!$O$45:$P$48,2,FALSE)</f>
        <v>#N/A</v>
      </c>
      <c r="AF164" s="1" t="e">
        <f>VLOOKUP(Y164,'Assessment Details'!$O$45:$P$48,2,FALSE)</f>
        <v>#N/A</v>
      </c>
      <c r="AI164" s="56"/>
      <c r="AJ164" s="522" t="s">
        <v>464</v>
      </c>
      <c r="AK164" s="56"/>
      <c r="AL164" s="56"/>
      <c r="AM164" s="56"/>
      <c r="AN164" s="56"/>
      <c r="AO164" s="56"/>
      <c r="AP164" s="56"/>
      <c r="AS164" s="17" t="str">
        <f t="shared" si="24"/>
        <v>N/A</v>
      </c>
      <c r="AT164" s="17" t="str">
        <f t="shared" si="25"/>
        <v>N/A</v>
      </c>
      <c r="AU164" s="17" t="str">
        <f t="shared" si="26"/>
        <v>N/A</v>
      </c>
      <c r="AV164" s="17"/>
      <c r="AW164" s="17"/>
      <c r="AX164" s="17"/>
      <c r="AZ164" s="495"/>
    </row>
    <row r="165" spans="1:52">
      <c r="A165" s="830">
        <v>156</v>
      </c>
      <c r="B165" s="831" t="s">
        <v>461</v>
      </c>
      <c r="C165" s="100" t="str">
        <f t="shared" si="19"/>
        <v>LE 01</v>
      </c>
      <c r="D165" s="653" t="s">
        <v>465</v>
      </c>
      <c r="E165" s="687" t="str">
        <f>VLOOKUP(D165,Poeng!$B$10:$R$252,Poeng!E$1,FALSE)</f>
        <v>Previously occupied land</v>
      </c>
      <c r="F165" s="98">
        <f>VLOOKUP(D165,Poeng!$B$10:$AB$252,Poeng!AB$1,FALSE)</f>
        <v>2</v>
      </c>
      <c r="G165" s="29"/>
      <c r="H165" s="99">
        <f>VLOOKUP(D165,Poeng!$B$10:$AE$252,Poeng!AE$1,FALSE)</f>
        <v>0</v>
      </c>
      <c r="I165" s="100" t="str">
        <f>VLOOKUP(D165,Poeng!$B$10:$BE$252,Poeng!BE$1,FALSE)</f>
        <v>N/A</v>
      </c>
      <c r="J165" s="66"/>
      <c r="K165" s="233"/>
      <c r="L165" s="633"/>
      <c r="M165" s="648"/>
      <c r="N165" s="69"/>
      <c r="O165" s="99">
        <f>VLOOKUP(D165,Poeng!$B$10:$BC$252,Poeng!AF$1,FALSE)</f>
        <v>0</v>
      </c>
      <c r="P165" s="99" t="str">
        <f>VLOOKUP(D165,Poeng!$B$10:$BH$252,Poeng!BH$1,FALSE)</f>
        <v>N/A</v>
      </c>
      <c r="Q165" s="583"/>
      <c r="R165" s="584"/>
      <c r="S165" s="577"/>
      <c r="T165" s="268"/>
      <c r="U165" s="69"/>
      <c r="V165" s="99">
        <f>VLOOKUP(D165,Poeng!$B$10:$BC$252,Poeng!AG$1,FALSE)</f>
        <v>0</v>
      </c>
      <c r="W165" s="99" t="str">
        <f>VLOOKUP(D165,Poeng!$B$10:$BK$252,Poeng!BK$1,FALSE)</f>
        <v>N/A</v>
      </c>
      <c r="X165" s="67"/>
      <c r="Y165" s="66"/>
      <c r="Z165" s="577"/>
      <c r="AA165" s="108"/>
      <c r="AB165" s="495"/>
      <c r="AC165" s="17">
        <f t="shared" si="21"/>
        <v>1</v>
      </c>
      <c r="AD165" s="1" t="e">
        <f>VLOOKUP(K165,'Assessment Details'!$O$45:$P$48,2,FALSE)</f>
        <v>#N/A</v>
      </c>
      <c r="AE165" s="1" t="e">
        <f>VLOOKUP(R165,'Assessment Details'!$O$45:$P$48,2,FALSE)</f>
        <v>#N/A</v>
      </c>
      <c r="AF165" s="1" t="e">
        <f>VLOOKUP(Y165,'Assessment Details'!$O$45:$P$48,2,FALSE)</f>
        <v>#N/A</v>
      </c>
      <c r="AI165" s="56"/>
      <c r="AJ165" s="522"/>
      <c r="AK165" s="56"/>
      <c r="AL165" s="56"/>
      <c r="AM165" s="56"/>
      <c r="AN165" s="56"/>
      <c r="AO165" s="56"/>
      <c r="AP165" s="56"/>
      <c r="AS165" s="17"/>
      <c r="AT165" s="17"/>
      <c r="AU165" s="17"/>
      <c r="AV165" s="17"/>
      <c r="AW165" s="17"/>
      <c r="AX165" s="17"/>
      <c r="AZ165" s="495"/>
    </row>
    <row r="166" spans="1:52" ht="14.25" customHeight="1">
      <c r="A166" s="830">
        <v>157</v>
      </c>
      <c r="B166" s="831" t="s">
        <v>461</v>
      </c>
      <c r="C166" s="100" t="str">
        <f t="shared" si="19"/>
        <v>LE 01</v>
      </c>
      <c r="D166" s="653" t="s">
        <v>466</v>
      </c>
      <c r="E166" s="825" t="str">
        <f>VLOOKUP(D166,Poeng!$B$10:$R$252,Poeng!E$1,FALSE)</f>
        <v>Minimum req: agricultural area / forest (EU taxonomy requirement: criterion 2)</v>
      </c>
      <c r="F166" s="98" t="str">
        <f>VLOOKUP(D166,Poeng!$B$10:$AB$252,Poeng!AB$1,FALSE)</f>
        <v>Yes/No</v>
      </c>
      <c r="G166" s="29"/>
      <c r="H166" s="99" t="str">
        <f>VLOOKUP(D166,Poeng!$B$10:$AE$252,Poeng!AE$1,FALSE)</f>
        <v>-</v>
      </c>
      <c r="I166" s="100" t="str">
        <f>VLOOKUP(D166,Poeng!$B$10:$BE$252,Poeng!BE$1,FALSE)</f>
        <v>Very Good</v>
      </c>
      <c r="J166" s="66"/>
      <c r="K166" s="233"/>
      <c r="L166" s="633"/>
      <c r="M166" s="648"/>
      <c r="N166" s="69"/>
      <c r="O166" s="99" t="str">
        <f>VLOOKUP(D166,Poeng!$B$10:$BC$252,Poeng!AF$1,FALSE)</f>
        <v>-</v>
      </c>
      <c r="P166" s="99" t="str">
        <f>VLOOKUP(D166,Poeng!$B$10:$BH$252,Poeng!BH$1,FALSE)</f>
        <v>Very Good</v>
      </c>
      <c r="Q166" s="583"/>
      <c r="R166" s="584"/>
      <c r="S166" s="577"/>
      <c r="T166" s="268"/>
      <c r="U166" s="69"/>
      <c r="V166" s="99" t="str">
        <f>VLOOKUP(D166,Poeng!$B$10:$BC$252,Poeng!AG$1,FALSE)</f>
        <v>-</v>
      </c>
      <c r="W166" s="99" t="str">
        <f>VLOOKUP(D166,Poeng!$B$10:$BK$252,Poeng!BK$1,FALSE)</f>
        <v>Very Good</v>
      </c>
      <c r="X166" s="67"/>
      <c r="Y166" s="66"/>
      <c r="Z166" s="577"/>
      <c r="AA166" s="108"/>
      <c r="AB166" s="495"/>
      <c r="AC166" s="17">
        <f t="shared" ref="AC166" si="27">IF(F166="",1,IF(F166=0,2,1))</f>
        <v>1</v>
      </c>
      <c r="AD166" s="1" t="e">
        <f>VLOOKUP(K166,'Assessment Details'!$O$45:$P$48,2,FALSE)</f>
        <v>#N/A</v>
      </c>
      <c r="AE166" s="1" t="e">
        <f>VLOOKUP(R166,'Assessment Details'!$O$45:$P$48,2,FALSE)</f>
        <v>#N/A</v>
      </c>
      <c r="AF166" s="1" t="e">
        <f>VLOOKUP(Y166,'Assessment Details'!$O$45:$P$48,2,FALSE)</f>
        <v>#N/A</v>
      </c>
      <c r="AI166" s="56"/>
      <c r="AJ166" s="522"/>
      <c r="AK166" s="56"/>
      <c r="AL166" s="56"/>
      <c r="AM166" s="56"/>
      <c r="AN166" s="56"/>
      <c r="AO166" s="56"/>
      <c r="AP166" s="56"/>
      <c r="AS166" s="17"/>
      <c r="AT166" s="17"/>
      <c r="AU166" s="17"/>
      <c r="AV166" s="17"/>
      <c r="AW166" s="17"/>
      <c r="AX166" s="17"/>
      <c r="AZ166" s="495"/>
    </row>
    <row r="167" spans="1:52">
      <c r="A167" s="830">
        <v>158</v>
      </c>
      <c r="B167" s="831" t="s">
        <v>461</v>
      </c>
      <c r="C167" s="739" t="s">
        <v>467</v>
      </c>
      <c r="D167" s="653" t="s">
        <v>467</v>
      </c>
      <c r="E167" s="686" t="str">
        <f>VLOOKUP(D167,Poeng!$B$10:$R$252,Poeng!E$1,FALSE)</f>
        <v>LE 02 Ecological risks and opportunities</v>
      </c>
      <c r="F167" s="691">
        <f>VLOOKUP(D167,Poeng!$B$10:$AB$252,Poeng!AB$1,FALSE)</f>
        <v>2</v>
      </c>
      <c r="G167" s="784"/>
      <c r="H167" s="692" t="str">
        <f>VLOOKUP(D167,Poeng!$B$10:$AI$252,Poeng!AI$1,FALSE)&amp;" c. "&amp;ROUND(VLOOKUP(D167,Poeng!$B$10:$AE$252,Poeng!AE$1,FALSE)*100,1)&amp;" %"</f>
        <v>0 c. 0 %</v>
      </c>
      <c r="I167" s="739" t="str">
        <f>VLOOKUP(D167,Poeng!$B$10:$BE$252,Poeng!BE$1,FALSE)</f>
        <v>N/A</v>
      </c>
      <c r="J167" s="66"/>
      <c r="K167" s="233"/>
      <c r="L167" s="633"/>
      <c r="M167" s="648"/>
      <c r="N167" s="784"/>
      <c r="O167" s="703" t="str">
        <f>VLOOKUP(D167,Poeng!$B$10:$BC$252,Poeng!AJ$1,FALSE)&amp;" c. "&amp;ROUND(VLOOKUP(D167,Poeng!$B$10:$BC$252,Poeng!AF$1,FALSE)*100,1)&amp;" %"</f>
        <v>0 c. 0 %</v>
      </c>
      <c r="P167" s="99" t="str">
        <f>VLOOKUP(D167,Poeng!$B$10:$BH$252,Poeng!BH$1,FALSE)</f>
        <v>N/A</v>
      </c>
      <c r="Q167" s="583"/>
      <c r="R167" s="584"/>
      <c r="S167" s="577"/>
      <c r="T167" s="268"/>
      <c r="U167" s="784"/>
      <c r="V167" s="703" t="str">
        <f>VLOOKUP(D167,Poeng!$B$10:$BC$252,Poeng!AK$1,FALSE)&amp;" c. "&amp;ROUND(VLOOKUP(D167,Poeng!$B$10:$BC$252,Poeng!AG$1,FALSE)*100,1)&amp;" %"</f>
        <v>0 c. 0 %</v>
      </c>
      <c r="W167" s="99" t="str">
        <f>VLOOKUP(D167,Poeng!$B$10:$BK$252,Poeng!BK$1,FALSE)</f>
        <v>N/A</v>
      </c>
      <c r="X167" s="67"/>
      <c r="Y167" s="66"/>
      <c r="Z167" s="577"/>
      <c r="AA167" s="108"/>
      <c r="AB167" s="495" t="s">
        <v>216</v>
      </c>
      <c r="AC167" s="17">
        <f t="shared" si="21"/>
        <v>1</v>
      </c>
      <c r="AD167" s="1" t="e">
        <f>VLOOKUP(K167,'Assessment Details'!$O$45:$P$48,2,FALSE)</f>
        <v>#N/A</v>
      </c>
      <c r="AE167" s="1" t="e">
        <f>VLOOKUP(R167,'Assessment Details'!$O$45:$P$48,2,FALSE)</f>
        <v>#N/A</v>
      </c>
      <c r="AF167" s="1" t="e">
        <f>VLOOKUP(Y167,'Assessment Details'!$O$45:$P$48,2,FALSE)</f>
        <v>#N/A</v>
      </c>
      <c r="AI167" s="56"/>
      <c r="AJ167" s="522" t="s">
        <v>468</v>
      </c>
      <c r="AK167" s="56"/>
      <c r="AL167" s="56"/>
      <c r="AM167" s="56"/>
      <c r="AN167" s="56"/>
      <c r="AO167" s="56"/>
      <c r="AP167" s="56"/>
      <c r="AS167" s="17" t="str">
        <f t="shared" si="24"/>
        <v>N/A</v>
      </c>
      <c r="AT167" s="17" t="str">
        <f t="shared" si="25"/>
        <v>N/A</v>
      </c>
      <c r="AU167" s="17" t="str">
        <f t="shared" si="26"/>
        <v>N/A</v>
      </c>
      <c r="AV167" s="17"/>
      <c r="AW167" s="17"/>
      <c r="AX167" s="17"/>
      <c r="AZ167" s="495"/>
    </row>
    <row r="168" spans="1:52">
      <c r="A168" s="830">
        <v>159</v>
      </c>
      <c r="B168" s="831" t="s">
        <v>461</v>
      </c>
      <c r="C168" s="100" t="str">
        <f t="shared" si="19"/>
        <v>LE 02</v>
      </c>
      <c r="D168" s="653" t="s">
        <v>469</v>
      </c>
      <c r="E168" s="687" t="str">
        <f>VLOOKUP(D168,Poeng!$B$10:$R$252,Poeng!E$1,FALSE)</f>
        <v>Pre-requisite: statutory obligations fulfilled</v>
      </c>
      <c r="F168" s="98" t="str">
        <f>VLOOKUP(D168,Poeng!$B$10:$AB$252,Poeng!AB$1,FALSE)</f>
        <v>Yes/No</v>
      </c>
      <c r="G168" s="29"/>
      <c r="H168" s="99" t="str">
        <f>VLOOKUP(D168,Poeng!$B$10:$AE$252,Poeng!AE$1,FALSE)</f>
        <v>-</v>
      </c>
      <c r="I168" s="100" t="str">
        <f>VLOOKUP(D168,Poeng!$B$10:$BE$252,Poeng!BE$1,FALSE)</f>
        <v>N/A</v>
      </c>
      <c r="J168" s="66"/>
      <c r="K168" s="233"/>
      <c r="L168" s="633"/>
      <c r="M168" s="648"/>
      <c r="N168" s="69"/>
      <c r="O168" s="99" t="str">
        <f>VLOOKUP(D168,Poeng!$B$10:$BC$252,Poeng!AF$1,FALSE)</f>
        <v>-</v>
      </c>
      <c r="P168" s="99" t="str">
        <f>VLOOKUP(D168,Poeng!$B$10:$BH$252,Poeng!BH$1,FALSE)</f>
        <v>N/A</v>
      </c>
      <c r="Q168" s="583"/>
      <c r="R168" s="584"/>
      <c r="S168" s="577"/>
      <c r="T168" s="268"/>
      <c r="U168" s="69"/>
      <c r="V168" s="99" t="str">
        <f>VLOOKUP(D168,Poeng!$B$10:$BC$252,Poeng!AG$1,FALSE)</f>
        <v>-</v>
      </c>
      <c r="W168" s="99" t="str">
        <f>VLOOKUP(D168,Poeng!$B$10:$BK$252,Poeng!BK$1,FALSE)</f>
        <v>N/A</v>
      </c>
      <c r="X168" s="67"/>
      <c r="Y168" s="66"/>
      <c r="Z168" s="577"/>
      <c r="AA168" s="108"/>
      <c r="AB168" s="495"/>
      <c r="AC168" s="17">
        <f t="shared" si="21"/>
        <v>1</v>
      </c>
      <c r="AD168" s="1" t="e">
        <f>VLOOKUP(K168,'Assessment Details'!$O$45:$P$48,2,FALSE)</f>
        <v>#N/A</v>
      </c>
      <c r="AE168" s="1" t="e">
        <f>VLOOKUP(R168,'Assessment Details'!$O$45:$P$48,2,FALSE)</f>
        <v>#N/A</v>
      </c>
      <c r="AF168" s="1" t="e">
        <f>VLOOKUP(Y168,'Assessment Details'!$O$45:$P$48,2,FALSE)</f>
        <v>#N/A</v>
      </c>
      <c r="AI168" s="56"/>
      <c r="AJ168" s="522"/>
      <c r="AK168" s="56"/>
      <c r="AL168" s="56"/>
      <c r="AM168" s="56"/>
      <c r="AN168" s="56"/>
      <c r="AO168" s="56"/>
      <c r="AP168" s="56"/>
      <c r="AS168" s="17"/>
      <c r="AT168" s="17"/>
      <c r="AU168" s="17"/>
      <c r="AV168" s="17"/>
      <c r="AW168" s="17"/>
      <c r="AX168" s="17"/>
      <c r="AZ168" s="495"/>
    </row>
    <row r="169" spans="1:52">
      <c r="A169" s="830">
        <v>160</v>
      </c>
      <c r="B169" s="831" t="s">
        <v>461</v>
      </c>
      <c r="C169" s="100" t="str">
        <f t="shared" si="19"/>
        <v>LE 02</v>
      </c>
      <c r="D169" s="653" t="s">
        <v>470</v>
      </c>
      <c r="E169" s="687" t="str">
        <f>VLOOKUP(D169,Poeng!$B$10:$R$252,Poeng!E$1,FALSE)</f>
        <v>Survey and evaluation (EU taxonomy requirement: criterion 2-4)</v>
      </c>
      <c r="F169" s="98">
        <f>VLOOKUP(D169,Poeng!$B$10:$AB$252,Poeng!AB$1,FALSE)</f>
        <v>1</v>
      </c>
      <c r="G169" s="29"/>
      <c r="H169" s="99">
        <f>VLOOKUP(D169,Poeng!$B$10:$AE$252,Poeng!AE$1,FALSE)</f>
        <v>0</v>
      </c>
      <c r="I169" s="100" t="str">
        <f>VLOOKUP(D169,Poeng!$B$10:$BE$252,Poeng!BE$1,FALSE)</f>
        <v>Good</v>
      </c>
      <c r="J169" s="66"/>
      <c r="K169" s="233"/>
      <c r="L169" s="633"/>
      <c r="M169" s="648"/>
      <c r="N169" s="69"/>
      <c r="O169" s="99">
        <f>VLOOKUP(D169,Poeng!$B$10:$BC$252,Poeng!AF$1,FALSE)</f>
        <v>0</v>
      </c>
      <c r="P169" s="99" t="str">
        <f>VLOOKUP(D169,Poeng!$B$10:$BH$252,Poeng!BH$1,FALSE)</f>
        <v>Good</v>
      </c>
      <c r="Q169" s="583"/>
      <c r="R169" s="584"/>
      <c r="S169" s="577"/>
      <c r="T169" s="268"/>
      <c r="U169" s="69"/>
      <c r="V169" s="99">
        <f>VLOOKUP(D169,Poeng!$B$10:$BC$252,Poeng!AG$1,FALSE)</f>
        <v>0</v>
      </c>
      <c r="W169" s="99" t="str">
        <f>VLOOKUP(D169,Poeng!$B$10:$BK$252,Poeng!BK$1,FALSE)</f>
        <v>Good</v>
      </c>
      <c r="X169" s="67"/>
      <c r="Y169" s="66"/>
      <c r="Z169" s="577"/>
      <c r="AA169" s="108"/>
      <c r="AB169" s="495"/>
      <c r="AC169" s="17">
        <f t="shared" si="21"/>
        <v>1</v>
      </c>
      <c r="AD169" s="1" t="e">
        <f>VLOOKUP(K169,'Assessment Details'!$O$45:$P$48,2,FALSE)</f>
        <v>#N/A</v>
      </c>
      <c r="AE169" s="1" t="e">
        <f>VLOOKUP(R169,'Assessment Details'!$O$45:$P$48,2,FALSE)</f>
        <v>#N/A</v>
      </c>
      <c r="AF169" s="1" t="e">
        <f>VLOOKUP(Y169,'Assessment Details'!$O$45:$P$48,2,FALSE)</f>
        <v>#N/A</v>
      </c>
      <c r="AI169" s="56"/>
      <c r="AJ169" s="522"/>
      <c r="AK169" s="56"/>
      <c r="AL169" s="56"/>
      <c r="AM169" s="56"/>
      <c r="AN169" s="56"/>
      <c r="AO169" s="56"/>
      <c r="AP169" s="56"/>
      <c r="AS169" s="17"/>
      <c r="AT169" s="17"/>
      <c r="AU169" s="17"/>
      <c r="AV169" s="17"/>
      <c r="AW169" s="17"/>
      <c r="AX169" s="17"/>
      <c r="AZ169" s="495"/>
    </row>
    <row r="170" spans="1:52">
      <c r="A170" s="830">
        <v>161</v>
      </c>
      <c r="B170" s="831" t="s">
        <v>461</v>
      </c>
      <c r="C170" s="100" t="str">
        <f t="shared" si="19"/>
        <v>LE 02</v>
      </c>
      <c r="D170" s="653" t="s">
        <v>471</v>
      </c>
      <c r="E170" s="687" t="str">
        <f>VLOOKUP(D170,Poeng!$B$10:$R$252,Poeng!E$1,FALSE)</f>
        <v>Determin ecological possibilities</v>
      </c>
      <c r="F170" s="98">
        <f>VLOOKUP(D170,Poeng!$B$10:$AB$252,Poeng!AB$1,FALSE)</f>
        <v>1</v>
      </c>
      <c r="G170" s="29"/>
      <c r="H170" s="99">
        <f>VLOOKUP(D170,Poeng!$B$10:$AE$252,Poeng!AE$1,FALSE)</f>
        <v>0</v>
      </c>
      <c r="I170" s="100" t="str">
        <f>VLOOKUP(D170,Poeng!$B$10:$BE$252,Poeng!BE$1,FALSE)</f>
        <v>N/A</v>
      </c>
      <c r="J170" s="66"/>
      <c r="K170" s="233"/>
      <c r="L170" s="633"/>
      <c r="M170" s="648"/>
      <c r="N170" s="69"/>
      <c r="O170" s="99">
        <f>VLOOKUP(D170,Poeng!$B$10:$BC$252,Poeng!AF$1,FALSE)</f>
        <v>0</v>
      </c>
      <c r="P170" s="99" t="str">
        <f>VLOOKUP(D170,Poeng!$B$10:$BH$252,Poeng!BH$1,FALSE)</f>
        <v>N/A</v>
      </c>
      <c r="Q170" s="583"/>
      <c r="R170" s="584"/>
      <c r="S170" s="577"/>
      <c r="T170" s="268"/>
      <c r="U170" s="69"/>
      <c r="V170" s="99">
        <f>VLOOKUP(D170,Poeng!$B$10:$BC$252,Poeng!AG$1,FALSE)</f>
        <v>0</v>
      </c>
      <c r="W170" s="99" t="str">
        <f>VLOOKUP(D170,Poeng!$B$10:$BK$252,Poeng!BK$1,FALSE)</f>
        <v>N/A</v>
      </c>
      <c r="X170" s="67"/>
      <c r="Y170" s="66"/>
      <c r="Z170" s="577"/>
      <c r="AA170" s="108"/>
      <c r="AB170" s="495"/>
      <c r="AC170" s="17">
        <f t="shared" si="21"/>
        <v>1</v>
      </c>
      <c r="AD170" s="1" t="e">
        <f>VLOOKUP(K170,'Assessment Details'!$O$45:$P$48,2,FALSE)</f>
        <v>#N/A</v>
      </c>
      <c r="AE170" s="1" t="e">
        <f>VLOOKUP(R170,'Assessment Details'!$O$45:$P$48,2,FALSE)</f>
        <v>#N/A</v>
      </c>
      <c r="AF170" s="1" t="e">
        <f>VLOOKUP(Y170,'Assessment Details'!$O$45:$P$48,2,FALSE)</f>
        <v>#N/A</v>
      </c>
      <c r="AI170" s="56"/>
      <c r="AJ170" s="522"/>
      <c r="AK170" s="56"/>
      <c r="AL170" s="56"/>
      <c r="AM170" s="56"/>
      <c r="AN170" s="56"/>
      <c r="AO170" s="56"/>
      <c r="AP170" s="56"/>
      <c r="AS170" s="17"/>
      <c r="AT170" s="17"/>
      <c r="AU170" s="17"/>
      <c r="AV170" s="17"/>
      <c r="AW170" s="17"/>
      <c r="AX170" s="17"/>
      <c r="AZ170" s="495"/>
    </row>
    <row r="171" spans="1:52">
      <c r="A171" s="830">
        <v>162</v>
      </c>
      <c r="B171" s="831" t="s">
        <v>461</v>
      </c>
      <c r="C171" s="739" t="s">
        <v>472</v>
      </c>
      <c r="D171" s="653" t="s">
        <v>472</v>
      </c>
      <c r="E171" s="686" t="str">
        <f>VLOOKUP(D171,Poeng!$B$10:$R$252,Poeng!E$1,FALSE)</f>
        <v>LE 03 Managing impacts on ecology</v>
      </c>
      <c r="F171" s="691">
        <f>VLOOKUP(D171,Poeng!$B$10:$AB$252,Poeng!AB$1,FALSE)</f>
        <v>3</v>
      </c>
      <c r="G171" s="784"/>
      <c r="H171" s="692" t="str">
        <f>VLOOKUP(D171,Poeng!$B$10:$AI$252,Poeng!AI$1,FALSE)&amp;" c. "&amp;ROUND(VLOOKUP(D171,Poeng!$B$10:$AE$252,Poeng!AE$1,FALSE)*100,1)&amp;" %"</f>
        <v>0 c. 0 %</v>
      </c>
      <c r="I171" s="739" t="str">
        <f>VLOOKUP(D171,Poeng!$B$10:$BE$252,Poeng!BE$1,FALSE)</f>
        <v>N/A</v>
      </c>
      <c r="J171" s="66"/>
      <c r="K171" s="233"/>
      <c r="L171" s="633"/>
      <c r="M171" s="648"/>
      <c r="N171" s="784"/>
      <c r="O171" s="703" t="str">
        <f>VLOOKUP(D171,Poeng!$B$10:$BC$252,Poeng!AJ$1,FALSE)&amp;" c. "&amp;ROUND(VLOOKUP(D171,Poeng!$B$10:$BC$252,Poeng!AF$1,FALSE)*100,1)&amp;" %"</f>
        <v>0 c. 0 %</v>
      </c>
      <c r="P171" s="99" t="str">
        <f>VLOOKUP(D171,Poeng!$B$10:$BH$252,Poeng!BH$1,FALSE)</f>
        <v>N/A</v>
      </c>
      <c r="Q171" s="583"/>
      <c r="R171" s="584"/>
      <c r="S171" s="577"/>
      <c r="T171" s="268"/>
      <c r="U171" s="784"/>
      <c r="V171" s="703" t="str">
        <f>VLOOKUP(D171,Poeng!$B$10:$BC$252,Poeng!AK$1,FALSE)&amp;" c. "&amp;ROUND(VLOOKUP(D171,Poeng!$B$10:$BC$252,Poeng!AG$1,FALSE)*100,1)&amp;" %"</f>
        <v>0 c. 0 %</v>
      </c>
      <c r="W171" s="99" t="str">
        <f>VLOOKUP(D171,Poeng!$B$10:$BK$252,Poeng!BK$1,FALSE)</f>
        <v>N/A</v>
      </c>
      <c r="X171" s="67"/>
      <c r="Y171" s="66"/>
      <c r="Z171" s="577"/>
      <c r="AA171" s="108"/>
      <c r="AB171" s="495"/>
      <c r="AC171" s="17">
        <f t="shared" si="21"/>
        <v>1</v>
      </c>
      <c r="AD171" s="1" t="e">
        <f>VLOOKUP(K171,'Assessment Details'!$O$45:$P$48,2,FALSE)</f>
        <v>#N/A</v>
      </c>
      <c r="AE171" s="1" t="e">
        <f>VLOOKUP(R171,'Assessment Details'!$O$45:$P$48,2,FALSE)</f>
        <v>#N/A</v>
      </c>
      <c r="AF171" s="1" t="e">
        <f>VLOOKUP(Y171,'Assessment Details'!$O$45:$P$48,2,FALSE)</f>
        <v>#N/A</v>
      </c>
      <c r="AI171" s="56"/>
      <c r="AJ171" s="522"/>
      <c r="AK171" s="56"/>
      <c r="AL171" s="56"/>
      <c r="AM171" s="56"/>
      <c r="AN171" s="56"/>
      <c r="AO171" s="56"/>
      <c r="AP171" s="56"/>
      <c r="AS171" s="17"/>
      <c r="AT171" s="17"/>
      <c r="AU171" s="17"/>
      <c r="AV171" s="17"/>
      <c r="AW171" s="17"/>
      <c r="AX171" s="17"/>
      <c r="AZ171" s="495"/>
    </row>
    <row r="172" spans="1:52">
      <c r="A172" s="830">
        <v>163</v>
      </c>
      <c r="B172" s="831" t="s">
        <v>461</v>
      </c>
      <c r="C172" s="100" t="s">
        <v>472</v>
      </c>
      <c r="D172" s="653" t="s">
        <v>473</v>
      </c>
      <c r="E172" s="687" t="str">
        <f>VLOOKUP(D172,Poeng!$B$10:$R$252,Poeng!E$1,FALSE)</f>
        <v>Pre-requisite: ecological risks and opportunities</v>
      </c>
      <c r="F172" s="98" t="str">
        <f>VLOOKUP(D172,Poeng!$B$10:$AB$252,Poeng!AB$1,FALSE)</f>
        <v>Yes/No</v>
      </c>
      <c r="G172" s="995"/>
      <c r="H172" s="692" t="str">
        <f>Poeng!AI243</f>
        <v>No</v>
      </c>
      <c r="I172" s="100" t="str">
        <f>VLOOKUP(D172,Poeng!$B$10:$BE$252,Poeng!BE$1,FALSE)</f>
        <v>N/A</v>
      </c>
      <c r="J172" s="66"/>
      <c r="K172" s="233"/>
      <c r="L172" s="633"/>
      <c r="M172" s="648"/>
      <c r="N172" s="996"/>
      <c r="O172" s="703" t="str">
        <f>Poeng!AJ243</f>
        <v>No</v>
      </c>
      <c r="P172" s="99" t="str">
        <f>VLOOKUP(D172,Poeng!$B$10:$BH$252,Poeng!BH$1,FALSE)</f>
        <v>N/A</v>
      </c>
      <c r="Q172" s="583"/>
      <c r="R172" s="584"/>
      <c r="S172" s="577"/>
      <c r="T172" s="268"/>
      <c r="U172" s="996"/>
      <c r="V172" s="703" t="str">
        <f>Poeng!AK243</f>
        <v>No</v>
      </c>
      <c r="W172" s="99" t="str">
        <f>VLOOKUP(D172,Poeng!$B$10:$BK$252,Poeng!BK$1,FALSE)</f>
        <v>N/A</v>
      </c>
      <c r="X172" s="67"/>
      <c r="Y172" s="66"/>
      <c r="Z172" s="577"/>
      <c r="AA172" s="108"/>
      <c r="AB172" s="495"/>
      <c r="AC172" s="17">
        <f t="shared" ref="AC172" si="28">IF(F172="",1,IF(F172=0,2,1))</f>
        <v>1</v>
      </c>
      <c r="AD172" s="1" t="e">
        <f>VLOOKUP(K172,'Assessment Details'!$O$45:$P$48,2,FALSE)</f>
        <v>#N/A</v>
      </c>
      <c r="AE172" s="1" t="e">
        <f>VLOOKUP(R172,'Assessment Details'!$O$45:$P$48,2,FALSE)</f>
        <v>#N/A</v>
      </c>
      <c r="AF172" s="1" t="e">
        <f>VLOOKUP(Y172,'Assessment Details'!$O$45:$P$48,2,FALSE)</f>
        <v>#N/A</v>
      </c>
      <c r="AI172" s="56"/>
      <c r="AJ172" s="522"/>
      <c r="AK172" s="56"/>
      <c r="AL172" s="56"/>
      <c r="AM172" s="56"/>
      <c r="AN172" s="56"/>
      <c r="AO172" s="56"/>
      <c r="AP172" s="56"/>
      <c r="AS172" s="17"/>
      <c r="AT172" s="17"/>
      <c r="AU172" s="17"/>
      <c r="AV172" s="17"/>
      <c r="AW172" s="17"/>
      <c r="AX172" s="17"/>
      <c r="AZ172" s="495"/>
    </row>
    <row r="173" spans="1:52">
      <c r="A173" s="830">
        <v>164</v>
      </c>
      <c r="B173" s="831" t="s">
        <v>461</v>
      </c>
      <c r="C173" s="100" t="s">
        <v>472</v>
      </c>
      <c r="D173" s="653" t="s">
        <v>474</v>
      </c>
      <c r="E173" s="687" t="str">
        <f>VLOOKUP(D173,Poeng!$B$10:$R$252,Poeng!E$1,FALSE)</f>
        <v>Planning and measures on site</v>
      </c>
      <c r="F173" s="98">
        <f>VLOOKUP(D173,Poeng!$B$10:$AB$252,Poeng!AB$1,FALSE)</f>
        <v>1</v>
      </c>
      <c r="G173" s="29"/>
      <c r="H173" s="99">
        <f>VLOOKUP(D173,Poeng!$B$10:$AE$252,Poeng!AE$1,FALSE)</f>
        <v>0</v>
      </c>
      <c r="I173" s="100" t="str">
        <f>VLOOKUP(D173,Poeng!$B$10:$BE$252,Poeng!BE$1,FALSE)</f>
        <v>N/A</v>
      </c>
      <c r="J173" s="66"/>
      <c r="K173" s="233"/>
      <c r="L173" s="633"/>
      <c r="M173" s="648"/>
      <c r="N173" s="69"/>
      <c r="O173" s="99">
        <f>VLOOKUP(D173,Poeng!$B$10:$BC$252,Poeng!AF$1,FALSE)</f>
        <v>0</v>
      </c>
      <c r="P173" s="99" t="str">
        <f>VLOOKUP(D173,Poeng!$B$10:$BH$252,Poeng!BH$1,FALSE)</f>
        <v>N/A</v>
      </c>
      <c r="Q173" s="583"/>
      <c r="R173" s="584"/>
      <c r="S173" s="633"/>
      <c r="T173" s="268"/>
      <c r="U173" s="69"/>
      <c r="V173" s="99">
        <f>VLOOKUP(D173,Poeng!$B$10:$BC$252,Poeng!AG$1,FALSE)</f>
        <v>0</v>
      </c>
      <c r="W173" s="99" t="str">
        <f>VLOOKUP(D173,Poeng!$B$10:$BK$252,Poeng!BK$1,FALSE)</f>
        <v>N/A</v>
      </c>
      <c r="X173" s="67"/>
      <c r="Y173" s="66"/>
      <c r="Z173" s="633"/>
      <c r="AA173" s="108"/>
      <c r="AB173" s="495"/>
      <c r="AC173" s="17">
        <f t="shared" si="21"/>
        <v>1</v>
      </c>
      <c r="AD173" s="1" t="e">
        <f>VLOOKUP(K173,'Assessment Details'!$O$45:$P$48,2,FALSE)</f>
        <v>#N/A</v>
      </c>
      <c r="AE173" s="1" t="e">
        <f>VLOOKUP(R173,'Assessment Details'!$O$45:$P$48,2,FALSE)</f>
        <v>#N/A</v>
      </c>
      <c r="AF173" s="1" t="e">
        <f>VLOOKUP(Y173,'Assessment Details'!$O$45:$P$48,2,FALSE)</f>
        <v>#N/A</v>
      </c>
      <c r="AI173" s="56"/>
      <c r="AJ173" s="522"/>
      <c r="AK173" s="56"/>
      <c r="AL173" s="56"/>
      <c r="AM173" s="56"/>
      <c r="AN173" s="56"/>
      <c r="AO173" s="56"/>
      <c r="AP173" s="56"/>
      <c r="AS173" s="17"/>
      <c r="AT173" s="17"/>
      <c r="AU173" s="17"/>
      <c r="AV173" s="17"/>
      <c r="AW173" s="17"/>
      <c r="AX173" s="17"/>
      <c r="AZ173" s="495"/>
    </row>
    <row r="174" spans="1:52">
      <c r="A174" s="830">
        <v>165</v>
      </c>
      <c r="B174" s="831" t="s">
        <v>461</v>
      </c>
      <c r="C174" s="100" t="s">
        <v>472</v>
      </c>
      <c r="D174" s="653" t="s">
        <v>475</v>
      </c>
      <c r="E174" s="687" t="str">
        <f>VLOOKUP(D174,Poeng!$B$10:$R$252,Poeng!E$1,FALSE)</f>
        <v>Managing negative impacts</v>
      </c>
      <c r="F174" s="98">
        <f>VLOOKUP(D174,Poeng!$B$10:$AB$252,Poeng!AB$1,FALSE)</f>
        <v>2</v>
      </c>
      <c r="G174" s="29"/>
      <c r="H174" s="99">
        <f>VLOOKUP(D174,Poeng!$B$10:$AE$252,Poeng!AE$1,FALSE)</f>
        <v>0</v>
      </c>
      <c r="I174" s="100" t="str">
        <f>VLOOKUP(D174,Poeng!$B$10:$BE$252,Poeng!BE$1,FALSE)</f>
        <v>N/A</v>
      </c>
      <c r="J174" s="66"/>
      <c r="K174" s="233"/>
      <c r="L174" s="633"/>
      <c r="M174" s="648"/>
      <c r="N174" s="69"/>
      <c r="O174" s="99">
        <f>VLOOKUP(D174,Poeng!$B$10:$BC$252,Poeng!AF$1,FALSE)</f>
        <v>0</v>
      </c>
      <c r="P174" s="99" t="str">
        <f>VLOOKUP(D174,Poeng!$B$10:$BH$252,Poeng!BH$1,FALSE)</f>
        <v>N/A</v>
      </c>
      <c r="Q174" s="583"/>
      <c r="R174" s="584"/>
      <c r="S174" s="633"/>
      <c r="T174" s="268"/>
      <c r="U174" s="69"/>
      <c r="V174" s="99">
        <f>VLOOKUP(D174,Poeng!$B$10:$BC$252,Poeng!AG$1,FALSE)</f>
        <v>0</v>
      </c>
      <c r="W174" s="99" t="str">
        <f>VLOOKUP(D174,Poeng!$B$10:$BK$252,Poeng!BK$1,FALSE)</f>
        <v>N/A</v>
      </c>
      <c r="X174" s="67"/>
      <c r="Y174" s="66"/>
      <c r="Z174" s="633"/>
      <c r="AA174" s="108"/>
      <c r="AB174" s="495"/>
      <c r="AC174" s="17">
        <f t="shared" si="21"/>
        <v>1</v>
      </c>
      <c r="AD174" s="1" t="e">
        <f>VLOOKUP(K174,'Assessment Details'!$O$45:$P$48,2,FALSE)</f>
        <v>#N/A</v>
      </c>
      <c r="AE174" s="1" t="e">
        <f>VLOOKUP(R174,'Assessment Details'!$O$45:$P$48,2,FALSE)</f>
        <v>#N/A</v>
      </c>
      <c r="AF174" s="1" t="e">
        <f>VLOOKUP(Y174,'Assessment Details'!$O$45:$P$48,2,FALSE)</f>
        <v>#N/A</v>
      </c>
      <c r="AI174" s="56"/>
      <c r="AJ174" s="522"/>
      <c r="AK174" s="56"/>
      <c r="AL174" s="56"/>
      <c r="AM174" s="56"/>
      <c r="AN174" s="56"/>
      <c r="AO174" s="56"/>
      <c r="AP174" s="56"/>
      <c r="AS174" s="17"/>
      <c r="AT174" s="17"/>
      <c r="AU174" s="17"/>
      <c r="AV174" s="17"/>
      <c r="AW174" s="17"/>
      <c r="AX174" s="17"/>
      <c r="AZ174" s="495"/>
    </row>
    <row r="175" spans="1:52">
      <c r="A175" s="830">
        <v>166</v>
      </c>
      <c r="B175" s="831" t="s">
        <v>461</v>
      </c>
      <c r="C175" s="739" t="s">
        <v>476</v>
      </c>
      <c r="D175" s="653" t="s">
        <v>476</v>
      </c>
      <c r="E175" s="686" t="str">
        <f>VLOOKUP(D175,Poeng!$B$10:$R$252,Poeng!E$1,FALSE)</f>
        <v>LE 04 Ecological change and enhancement</v>
      </c>
      <c r="F175" s="691">
        <f>VLOOKUP(D175,Poeng!$B$10:$AB$252,Poeng!AB$1,FALSE)</f>
        <v>4</v>
      </c>
      <c r="G175" s="784"/>
      <c r="H175" s="692" t="str">
        <f>VLOOKUP(D175,Poeng!$B$10:$AI$252,Poeng!AI$1,FALSE)&amp;" c. "&amp;ROUND(VLOOKUP(D175,Poeng!$B$10:$AE$252,Poeng!AE$1,FALSE)*100,1)&amp;" %"</f>
        <v>0 c. 0 %</v>
      </c>
      <c r="I175" s="739" t="str">
        <f>VLOOKUP(D175,Poeng!$B$10:$BE$252,Poeng!BE$1,FALSE)</f>
        <v>N/A</v>
      </c>
      <c r="J175" s="66"/>
      <c r="K175" s="233"/>
      <c r="L175" s="633"/>
      <c r="M175" s="648"/>
      <c r="N175" s="784"/>
      <c r="O175" s="703" t="str">
        <f>VLOOKUP(D175,Poeng!$B$10:$BC$252,Poeng!AJ$1,FALSE)&amp;" c. "&amp;ROUND(VLOOKUP(D175,Poeng!$B$10:$BC$252,Poeng!AF$1,FALSE)*100,1)&amp;" %"</f>
        <v>0 c. 0 %</v>
      </c>
      <c r="P175" s="99" t="str">
        <f>VLOOKUP(D175,Poeng!$B$10:$BH$252,Poeng!BH$1,FALSE)</f>
        <v>N/A</v>
      </c>
      <c r="Q175" s="583"/>
      <c r="R175" s="584"/>
      <c r="S175" s="633"/>
      <c r="T175" s="268"/>
      <c r="U175" s="784"/>
      <c r="V175" s="703" t="str">
        <f>VLOOKUP(D175,Poeng!$B$10:$BC$252,Poeng!AK$1,FALSE)&amp;" c. "&amp;ROUND(VLOOKUP(D175,Poeng!$B$10:$BC$252,Poeng!AG$1,FALSE)*100,1)&amp;" %"</f>
        <v>0 c. 0 %</v>
      </c>
      <c r="W175" s="99" t="str">
        <f>VLOOKUP(D175,Poeng!$B$10:$BK$252,Poeng!BK$1,FALSE)</f>
        <v>N/A</v>
      </c>
      <c r="X175" s="67"/>
      <c r="Y175" s="66"/>
      <c r="Z175" s="633"/>
      <c r="AA175" s="108"/>
      <c r="AB175" s="495" t="s">
        <v>216</v>
      </c>
      <c r="AC175" s="17">
        <f t="shared" si="21"/>
        <v>1</v>
      </c>
      <c r="AD175" s="1" t="e">
        <f>VLOOKUP(K175,'Assessment Details'!$O$45:$P$48,2,FALSE)</f>
        <v>#N/A</v>
      </c>
      <c r="AE175" s="1" t="e">
        <f>VLOOKUP(R175,'Assessment Details'!$O$45:$P$48,2,FALSE)</f>
        <v>#N/A</v>
      </c>
      <c r="AF175" s="1" t="e">
        <f>VLOOKUP(Y175,'Assessment Details'!$O$45:$P$48,2,FALSE)</f>
        <v>#N/A</v>
      </c>
      <c r="AI175" s="56"/>
      <c r="AJ175" s="522" t="s">
        <v>477</v>
      </c>
      <c r="AK175" s="56"/>
      <c r="AL175" s="56"/>
      <c r="AM175" s="56"/>
      <c r="AN175" s="56"/>
      <c r="AO175" s="56"/>
      <c r="AP175" s="56"/>
      <c r="AS175" s="17" t="str">
        <f t="shared" si="24"/>
        <v>N/A</v>
      </c>
      <c r="AT175" s="17" t="str">
        <f t="shared" si="25"/>
        <v>N/A</v>
      </c>
      <c r="AU175" s="17" t="str">
        <f t="shared" si="26"/>
        <v>N/A</v>
      </c>
      <c r="AV175" s="17"/>
      <c r="AW175" s="17"/>
      <c r="AX175" s="17"/>
      <c r="AZ175" s="495"/>
    </row>
    <row r="176" spans="1:52">
      <c r="A176" s="830">
        <v>167</v>
      </c>
      <c r="B176" s="831" t="s">
        <v>461</v>
      </c>
      <c r="C176" s="100" t="str">
        <f t="shared" si="19"/>
        <v>LE 04</v>
      </c>
      <c r="D176" s="653" t="s">
        <v>478</v>
      </c>
      <c r="E176" s="687" t="str">
        <f>VLOOKUP(D176,Poeng!$B$10:$R$252,Poeng!E$1,FALSE)</f>
        <v>Pre-requisite: managing negative impacts on ecology</v>
      </c>
      <c r="F176" s="98" t="str">
        <f>VLOOKUP(D176,Poeng!$B$10:$AB$252,Poeng!AB$1,FALSE)</f>
        <v>Yes/No</v>
      </c>
      <c r="G176" s="29"/>
      <c r="H176" s="99" t="str">
        <f>VLOOKUP(D176,Poeng!$B$10:$AE$252,Poeng!AE$1,FALSE)</f>
        <v>-</v>
      </c>
      <c r="I176" s="100" t="str">
        <f>VLOOKUP(D176,Poeng!$B$10:$BE$252,Poeng!BE$1,FALSE)</f>
        <v>N/A</v>
      </c>
      <c r="J176" s="66"/>
      <c r="K176" s="233"/>
      <c r="L176" s="633"/>
      <c r="M176" s="648"/>
      <c r="N176" s="69"/>
      <c r="O176" s="99" t="str">
        <f>VLOOKUP(D176,Poeng!$B$10:$BC$252,Poeng!AF$1,FALSE)</f>
        <v>-</v>
      </c>
      <c r="P176" s="99" t="str">
        <f>VLOOKUP(D176,Poeng!$B$10:$BH$252,Poeng!BH$1,FALSE)</f>
        <v>N/A</v>
      </c>
      <c r="Q176" s="583"/>
      <c r="R176" s="584"/>
      <c r="S176" s="577"/>
      <c r="T176" s="268"/>
      <c r="U176" s="69"/>
      <c r="V176" s="99" t="str">
        <f>VLOOKUP(D176,Poeng!$B$10:$BC$252,Poeng!AG$1,FALSE)</f>
        <v>-</v>
      </c>
      <c r="W176" s="99" t="str">
        <f>VLOOKUP(D176,Poeng!$B$10:$BK$252,Poeng!BK$1,FALSE)</f>
        <v>N/A</v>
      </c>
      <c r="X176" s="67"/>
      <c r="Y176" s="66"/>
      <c r="Z176" s="577"/>
      <c r="AA176" s="108"/>
      <c r="AB176" s="495"/>
      <c r="AC176" s="17">
        <f t="shared" si="21"/>
        <v>1</v>
      </c>
      <c r="AD176" s="1" t="e">
        <f>VLOOKUP(K176,'Assessment Details'!$O$45:$P$48,2,FALSE)</f>
        <v>#N/A</v>
      </c>
      <c r="AE176" s="1" t="e">
        <f>VLOOKUP(R176,'Assessment Details'!$O$45:$P$48,2,FALSE)</f>
        <v>#N/A</v>
      </c>
      <c r="AF176" s="1" t="e">
        <f>VLOOKUP(Y176,'Assessment Details'!$O$45:$P$48,2,FALSE)</f>
        <v>#N/A</v>
      </c>
      <c r="AI176" s="56"/>
      <c r="AJ176" s="522"/>
      <c r="AK176" s="56"/>
      <c r="AL176" s="56"/>
      <c r="AM176" s="56"/>
      <c r="AN176" s="56"/>
      <c r="AO176" s="56"/>
      <c r="AP176" s="56"/>
      <c r="AS176" s="17"/>
      <c r="AT176" s="17"/>
      <c r="AU176" s="17"/>
      <c r="AV176" s="17"/>
      <c r="AW176" s="17"/>
      <c r="AX176" s="17"/>
      <c r="AZ176" s="495"/>
    </row>
    <row r="177" spans="1:52">
      <c r="A177" s="830">
        <v>168</v>
      </c>
      <c r="B177" s="831" t="s">
        <v>461</v>
      </c>
      <c r="C177" s="100" t="str">
        <f t="shared" si="19"/>
        <v>LE 04</v>
      </c>
      <c r="D177" s="653" t="s">
        <v>479</v>
      </c>
      <c r="E177" s="687" t="str">
        <f>VLOOKUP(D177,Poeng!$B$10:$R$252,Poeng!E$1,FALSE)</f>
        <v>Ecological enhancement</v>
      </c>
      <c r="F177" s="98">
        <f>VLOOKUP(D177,Poeng!$B$10:$AB$252,Poeng!AB$1,FALSE)</f>
        <v>1</v>
      </c>
      <c r="G177" s="29"/>
      <c r="H177" s="99">
        <f>VLOOKUP(D177,Poeng!$B$10:$AE$252,Poeng!AE$1,FALSE)</f>
        <v>0</v>
      </c>
      <c r="I177" s="100" t="str">
        <f>VLOOKUP(D177,Poeng!$B$10:$BE$252,Poeng!BE$1,FALSE)</f>
        <v>Excellent</v>
      </c>
      <c r="J177" s="66"/>
      <c r="K177" s="233"/>
      <c r="L177" s="633"/>
      <c r="M177" s="648"/>
      <c r="N177" s="69"/>
      <c r="O177" s="99">
        <f>VLOOKUP(D177,Poeng!$B$10:$BC$252,Poeng!AF$1,FALSE)</f>
        <v>0</v>
      </c>
      <c r="P177" s="99" t="str">
        <f>VLOOKUP(D177,Poeng!$B$10:$BH$252,Poeng!BH$1,FALSE)</f>
        <v>Excellent</v>
      </c>
      <c r="Q177" s="583"/>
      <c r="R177" s="584"/>
      <c r="S177" s="577"/>
      <c r="T177" s="268"/>
      <c r="U177" s="69"/>
      <c r="V177" s="99">
        <f>VLOOKUP(D177,Poeng!$B$10:$BC$252,Poeng!AG$1,FALSE)</f>
        <v>0</v>
      </c>
      <c r="W177" s="99" t="str">
        <f>VLOOKUP(D177,Poeng!$B$10:$BK$252,Poeng!BK$1,FALSE)</f>
        <v>Excellent</v>
      </c>
      <c r="X177" s="67"/>
      <c r="Y177" s="66"/>
      <c r="Z177" s="577"/>
      <c r="AA177" s="108"/>
      <c r="AB177" s="495"/>
      <c r="AC177" s="17">
        <f t="shared" si="21"/>
        <v>1</v>
      </c>
      <c r="AD177" s="1" t="e">
        <f>VLOOKUP(K177,'Assessment Details'!$O$45:$P$48,2,FALSE)</f>
        <v>#N/A</v>
      </c>
      <c r="AE177" s="1" t="e">
        <f>VLOOKUP(R177,'Assessment Details'!$O$45:$P$48,2,FALSE)</f>
        <v>#N/A</v>
      </c>
      <c r="AF177" s="1" t="e">
        <f>VLOOKUP(Y177,'Assessment Details'!$O$45:$P$48,2,FALSE)</f>
        <v>#N/A</v>
      </c>
      <c r="AI177" s="56"/>
      <c r="AJ177" s="522"/>
      <c r="AK177" s="56"/>
      <c r="AL177" s="56"/>
      <c r="AM177" s="56"/>
      <c r="AN177" s="56"/>
      <c r="AO177" s="56"/>
      <c r="AP177" s="56"/>
      <c r="AS177" s="17"/>
      <c r="AT177" s="17"/>
      <c r="AU177" s="17"/>
      <c r="AV177" s="17"/>
      <c r="AW177" s="17"/>
      <c r="AX177" s="17"/>
      <c r="AZ177" s="495"/>
    </row>
    <row r="178" spans="1:52">
      <c r="A178" s="830">
        <v>169</v>
      </c>
      <c r="B178" s="831" t="s">
        <v>461</v>
      </c>
      <c r="C178" s="100" t="str">
        <f t="shared" si="19"/>
        <v>LE 04</v>
      </c>
      <c r="D178" s="653" t="s">
        <v>480</v>
      </c>
      <c r="E178" s="687" t="str">
        <f>VLOOKUP(D178,Poeng!$B$10:$R$252,Poeng!E$1,FALSE)</f>
        <v>Calculation of change in biodiversity</v>
      </c>
      <c r="F178" s="98">
        <f>VLOOKUP(D178,Poeng!$B$10:$AB$252,Poeng!AB$1,FALSE)</f>
        <v>3</v>
      </c>
      <c r="G178" s="29"/>
      <c r="H178" s="99">
        <f>VLOOKUP(D178,Poeng!$B$10:$AE$252,Poeng!AE$1,FALSE)</f>
        <v>0</v>
      </c>
      <c r="I178" s="100" t="str">
        <f>VLOOKUP(D178,Poeng!$B$10:$BE$252,Poeng!BE$1,FALSE)</f>
        <v>N/A</v>
      </c>
      <c r="J178" s="66"/>
      <c r="K178" s="233"/>
      <c r="L178" s="633"/>
      <c r="M178" s="648"/>
      <c r="N178" s="69"/>
      <c r="O178" s="99">
        <f>VLOOKUP(D178,Poeng!$B$10:$BC$252,Poeng!AF$1,FALSE)</f>
        <v>0</v>
      </c>
      <c r="P178" s="99" t="str">
        <f>VLOOKUP(D178,Poeng!$B$10:$BH$252,Poeng!BH$1,FALSE)</f>
        <v>N/A</v>
      </c>
      <c r="Q178" s="583"/>
      <c r="R178" s="584"/>
      <c r="S178" s="577"/>
      <c r="T178" s="268"/>
      <c r="U178" s="69"/>
      <c r="V178" s="99">
        <f>VLOOKUP(D178,Poeng!$B$10:$BC$252,Poeng!AG$1,FALSE)</f>
        <v>0</v>
      </c>
      <c r="W178" s="99" t="str">
        <f>VLOOKUP(D178,Poeng!$B$10:$BK$252,Poeng!BK$1,FALSE)</f>
        <v>N/A</v>
      </c>
      <c r="X178" s="67"/>
      <c r="Y178" s="66"/>
      <c r="Z178" s="577"/>
      <c r="AA178" s="108"/>
      <c r="AB178" s="495"/>
      <c r="AC178" s="17">
        <f t="shared" si="21"/>
        <v>1</v>
      </c>
      <c r="AD178" s="1" t="e">
        <f>VLOOKUP(K178,'Assessment Details'!$O$45:$P$48,2,FALSE)</f>
        <v>#N/A</v>
      </c>
      <c r="AE178" s="1" t="e">
        <f>VLOOKUP(R178,'Assessment Details'!$O$45:$P$48,2,FALSE)</f>
        <v>#N/A</v>
      </c>
      <c r="AF178" s="1" t="e">
        <f>VLOOKUP(Y178,'Assessment Details'!$O$45:$P$48,2,FALSE)</f>
        <v>#N/A</v>
      </c>
      <c r="AI178" s="56"/>
      <c r="AJ178" s="522"/>
      <c r="AK178" s="56"/>
      <c r="AL178" s="56"/>
      <c r="AM178" s="56"/>
      <c r="AN178" s="56"/>
      <c r="AO178" s="56"/>
      <c r="AP178" s="56"/>
      <c r="AS178" s="17"/>
      <c r="AT178" s="17"/>
      <c r="AU178" s="17"/>
      <c r="AV178" s="17"/>
      <c r="AW178" s="17"/>
      <c r="AX178" s="17"/>
      <c r="AZ178" s="495"/>
    </row>
    <row r="179" spans="1:52">
      <c r="A179" s="830">
        <v>170</v>
      </c>
      <c r="B179" s="831" t="s">
        <v>461</v>
      </c>
      <c r="C179" s="739" t="s">
        <v>481</v>
      </c>
      <c r="D179" s="653" t="s">
        <v>481</v>
      </c>
      <c r="E179" s="686" t="str">
        <f>VLOOKUP(D179,Poeng!$B$10:$R$252,Poeng!E$1,FALSE)</f>
        <v>LE 05 Long term ecology management and maintenance</v>
      </c>
      <c r="F179" s="691">
        <f>VLOOKUP(D179,Poeng!$B$10:$AB$252,Poeng!AB$1,FALSE)</f>
        <v>2</v>
      </c>
      <c r="G179" s="784"/>
      <c r="H179" s="692" t="str">
        <f>VLOOKUP(D179,Poeng!$B$10:$AI$252,Poeng!AI$1,FALSE)&amp;" c. "&amp;ROUND(VLOOKUP(D179,Poeng!$B$10:$AE$252,Poeng!AE$1,FALSE)*100,1)&amp;" %"</f>
        <v>0 c. 0 %</v>
      </c>
      <c r="I179" s="739" t="str">
        <f>VLOOKUP(D179,Poeng!$B$10:$BE$252,Poeng!BE$1,FALSE)</f>
        <v>N/A</v>
      </c>
      <c r="J179" s="66"/>
      <c r="K179" s="233"/>
      <c r="L179" s="633"/>
      <c r="M179" s="648"/>
      <c r="N179" s="784"/>
      <c r="O179" s="703" t="str">
        <f>VLOOKUP(D179,Poeng!$B$10:$BC$252,Poeng!AJ$1,FALSE)&amp;" c. "&amp;ROUND(VLOOKUP(D179,Poeng!$B$10:$BC$252,Poeng!AF$1,FALSE)*100,1)&amp;" %"</f>
        <v>0 c. 0 %</v>
      </c>
      <c r="P179" s="99" t="str">
        <f>VLOOKUP(D179,Poeng!$B$10:$BH$252,Poeng!BH$1,FALSE)</f>
        <v>N/A</v>
      </c>
      <c r="Q179" s="583"/>
      <c r="R179" s="584"/>
      <c r="S179" s="577"/>
      <c r="T179" s="268"/>
      <c r="U179" s="784"/>
      <c r="V179" s="703" t="str">
        <f>VLOOKUP(D179,Poeng!$B$10:$BC$252,Poeng!AK$1,FALSE)&amp;" c. "&amp;ROUND(VLOOKUP(D179,Poeng!$B$10:$BC$252,Poeng!AG$1,FALSE)*100,1)&amp;" %"</f>
        <v>0 c. 0 %</v>
      </c>
      <c r="W179" s="99" t="str">
        <f>VLOOKUP(D179,Poeng!$B$10:$BK$252,Poeng!BK$1,FALSE)</f>
        <v>N/A</v>
      </c>
      <c r="X179" s="67"/>
      <c r="Y179" s="66"/>
      <c r="Z179" s="577"/>
      <c r="AA179" s="108"/>
      <c r="AB179" s="495" t="s">
        <v>216</v>
      </c>
      <c r="AC179" s="17">
        <f t="shared" si="21"/>
        <v>1</v>
      </c>
      <c r="AD179" s="1" t="e">
        <f>VLOOKUP(K179,'Assessment Details'!$O$45:$P$48,2,FALSE)</f>
        <v>#N/A</v>
      </c>
      <c r="AE179" s="1" t="e">
        <f>VLOOKUP(R179,'Assessment Details'!$O$45:$P$48,2,FALSE)</f>
        <v>#N/A</v>
      </c>
      <c r="AF179" s="1" t="e">
        <f>VLOOKUP(Y179,'Assessment Details'!$O$45:$P$48,2,FALSE)</f>
        <v>#N/A</v>
      </c>
      <c r="AI179" s="56"/>
      <c r="AJ179" s="522" t="s">
        <v>482</v>
      </c>
      <c r="AK179" s="56"/>
      <c r="AL179" s="56"/>
      <c r="AM179" s="56"/>
      <c r="AN179" s="56"/>
      <c r="AO179" s="56"/>
      <c r="AP179" s="56"/>
      <c r="AS179" s="17" t="str">
        <f t="shared" si="24"/>
        <v>N/A</v>
      </c>
      <c r="AT179" s="17" t="str">
        <f t="shared" si="25"/>
        <v>N/A</v>
      </c>
      <c r="AU179" s="17" t="str">
        <f t="shared" si="26"/>
        <v>N/A</v>
      </c>
      <c r="AV179" s="17"/>
      <c r="AW179" s="17"/>
      <c r="AX179" s="17"/>
      <c r="AZ179" s="495"/>
    </row>
    <row r="180" spans="1:52">
      <c r="A180" s="830">
        <v>171</v>
      </c>
      <c r="B180" s="831" t="s">
        <v>461</v>
      </c>
      <c r="C180" s="840" t="str">
        <f t="shared" si="19"/>
        <v>LE 05</v>
      </c>
      <c r="D180" s="653" t="s">
        <v>483</v>
      </c>
      <c r="E180" s="825" t="str">
        <f>VLOOKUP(D180,Poeng!$B$10:$R$252,Poeng!E$1,FALSE)</f>
        <v>Pre-requisite: statutory obligations, planning and site implementation</v>
      </c>
      <c r="F180" s="98" t="str">
        <f>VLOOKUP(D180,Poeng!$B$10:$AB$252,Poeng!AB$1,FALSE)</f>
        <v>Yes/No</v>
      </c>
      <c r="G180" s="29"/>
      <c r="H180" s="99" t="str">
        <f>VLOOKUP(D180,Poeng!$B$10:$AE$252,Poeng!AE$1,FALSE)</f>
        <v>-</v>
      </c>
      <c r="I180" s="100" t="str">
        <f>VLOOKUP(D180,Poeng!$B$10:$BE$252,Poeng!BE$1,FALSE)</f>
        <v>N/A</v>
      </c>
      <c r="J180" s="66"/>
      <c r="K180" s="233"/>
      <c r="L180" s="633"/>
      <c r="M180" s="648"/>
      <c r="N180" s="69"/>
      <c r="O180" s="99" t="str">
        <f>VLOOKUP(D180,Poeng!$B$10:$BC$252,Poeng!AF$1,FALSE)</f>
        <v>-</v>
      </c>
      <c r="P180" s="99" t="str">
        <f>VLOOKUP(D180,Poeng!$B$10:$BH$252,Poeng!BH$1,FALSE)</f>
        <v>N/A</v>
      </c>
      <c r="Q180" s="583"/>
      <c r="R180" s="584"/>
      <c r="S180" s="577"/>
      <c r="T180" s="268"/>
      <c r="U180" s="69"/>
      <c r="V180" s="99" t="str">
        <f>VLOOKUP(D180,Poeng!$B$10:$BC$252,Poeng!AG$1,FALSE)</f>
        <v>-</v>
      </c>
      <c r="W180" s="99" t="str">
        <f>VLOOKUP(D180,Poeng!$B$10:$BK$252,Poeng!BK$1,FALSE)</f>
        <v>N/A</v>
      </c>
      <c r="X180" s="67"/>
      <c r="Y180" s="66"/>
      <c r="Z180" s="577"/>
      <c r="AA180" s="108"/>
      <c r="AB180" s="495"/>
      <c r="AC180" s="17">
        <f t="shared" si="21"/>
        <v>1</v>
      </c>
      <c r="AD180" s="1" t="e">
        <f>VLOOKUP(K180,'Assessment Details'!$O$45:$P$48,2,FALSE)</f>
        <v>#N/A</v>
      </c>
      <c r="AE180" s="1" t="e">
        <f>VLOOKUP(R180,'Assessment Details'!$O$45:$P$48,2,FALSE)</f>
        <v>#N/A</v>
      </c>
      <c r="AF180" s="1" t="e">
        <f>VLOOKUP(Y180,'Assessment Details'!$O$45:$P$48,2,FALSE)</f>
        <v>#N/A</v>
      </c>
      <c r="AI180" s="56"/>
      <c r="AJ180" s="522"/>
      <c r="AK180" s="56"/>
      <c r="AL180" s="56"/>
      <c r="AM180" s="56"/>
      <c r="AN180" s="56"/>
      <c r="AO180" s="56"/>
      <c r="AP180" s="56"/>
      <c r="AS180" s="17"/>
      <c r="AT180" s="17"/>
      <c r="AU180" s="17"/>
      <c r="AV180" s="17"/>
      <c r="AW180" s="17"/>
      <c r="AX180" s="17"/>
      <c r="AZ180" s="495"/>
    </row>
    <row r="181" spans="1:52">
      <c r="A181" s="830">
        <v>172</v>
      </c>
      <c r="B181" s="831" t="s">
        <v>461</v>
      </c>
      <c r="C181" s="100" t="str">
        <f t="shared" si="19"/>
        <v>LE 05</v>
      </c>
      <c r="D181" s="653" t="s">
        <v>484</v>
      </c>
      <c r="E181" s="687" t="str">
        <f>VLOOKUP(D181,Poeng!$B$10:$R$252,Poeng!E$1,FALSE)</f>
        <v>Management and maintenance throughout the project</v>
      </c>
      <c r="F181" s="98">
        <f>VLOOKUP(D181,Poeng!$B$10:$AB$252,Poeng!AB$1,FALSE)</f>
        <v>1</v>
      </c>
      <c r="G181" s="29"/>
      <c r="H181" s="99">
        <f>VLOOKUP(D181,Poeng!$B$10:$AE$252,Poeng!AE$1,FALSE)</f>
        <v>0</v>
      </c>
      <c r="I181" s="100" t="str">
        <f>VLOOKUP(D181,Poeng!$B$10:$BE$252,Poeng!BE$1,FALSE)</f>
        <v>N/A</v>
      </c>
      <c r="J181" s="66"/>
      <c r="K181" s="233"/>
      <c r="L181" s="633"/>
      <c r="M181" s="648"/>
      <c r="N181" s="69"/>
      <c r="O181" s="99">
        <f>VLOOKUP(D181,Poeng!$B$10:$BC$252,Poeng!AF$1,FALSE)</f>
        <v>0</v>
      </c>
      <c r="P181" s="99" t="str">
        <f>VLOOKUP(D181,Poeng!$B$10:$BH$252,Poeng!BH$1,FALSE)</f>
        <v>N/A</v>
      </c>
      <c r="Q181" s="583"/>
      <c r="R181" s="584"/>
      <c r="S181" s="577"/>
      <c r="T181" s="268"/>
      <c r="U181" s="69"/>
      <c r="V181" s="99">
        <f>VLOOKUP(D181,Poeng!$B$10:$BC$252,Poeng!AG$1,FALSE)</f>
        <v>0</v>
      </c>
      <c r="W181" s="99" t="str">
        <f>VLOOKUP(D181,Poeng!$B$10:$BK$252,Poeng!BK$1,FALSE)</f>
        <v>N/A</v>
      </c>
      <c r="X181" s="67"/>
      <c r="Y181" s="66"/>
      <c r="Z181" s="577"/>
      <c r="AA181" s="108"/>
      <c r="AB181" s="495"/>
      <c r="AC181" s="17">
        <f t="shared" si="21"/>
        <v>1</v>
      </c>
      <c r="AD181" s="1" t="e">
        <f>VLOOKUP(K181,'Assessment Details'!$O$45:$P$48,2,FALSE)</f>
        <v>#N/A</v>
      </c>
      <c r="AE181" s="1" t="e">
        <f>VLOOKUP(R181,'Assessment Details'!$O$45:$P$48,2,FALSE)</f>
        <v>#N/A</v>
      </c>
      <c r="AF181" s="1" t="e">
        <f>VLOOKUP(Y181,'Assessment Details'!$O$45:$P$48,2,FALSE)</f>
        <v>#N/A</v>
      </c>
      <c r="AI181" s="56"/>
      <c r="AJ181" s="522"/>
      <c r="AK181" s="56"/>
      <c r="AL181" s="56"/>
      <c r="AM181" s="56"/>
      <c r="AN181" s="56"/>
      <c r="AO181" s="56"/>
      <c r="AP181" s="56"/>
      <c r="AS181" s="17"/>
      <c r="AT181" s="17"/>
      <c r="AU181" s="17"/>
      <c r="AV181" s="17"/>
      <c r="AW181" s="17"/>
      <c r="AX181" s="17"/>
      <c r="AZ181" s="495"/>
    </row>
    <row r="182" spans="1:52">
      <c r="A182" s="830">
        <v>173</v>
      </c>
      <c r="B182" s="831" t="s">
        <v>461</v>
      </c>
      <c r="C182" s="100" t="str">
        <f t="shared" si="19"/>
        <v>LE 05</v>
      </c>
      <c r="D182" s="653" t="s">
        <v>485</v>
      </c>
      <c r="E182" s="687" t="str">
        <f>VLOOKUP(D182,Poeng!$B$10:$R$252,Poeng!E$1,FALSE)</f>
        <v>Landscape and ecology management plan</v>
      </c>
      <c r="F182" s="98">
        <f>VLOOKUP(D182,Poeng!$B$10:$AB$252,Poeng!AB$1,FALSE)</f>
        <v>1</v>
      </c>
      <c r="G182" s="29"/>
      <c r="H182" s="99">
        <f>VLOOKUP(D182,Poeng!$B$10:$AE$252,Poeng!AE$1,FALSE)</f>
        <v>0</v>
      </c>
      <c r="I182" s="100" t="str">
        <f>VLOOKUP(D182,Poeng!$B$10:$BE$252,Poeng!BE$1,FALSE)</f>
        <v>N/A</v>
      </c>
      <c r="J182" s="66"/>
      <c r="K182" s="233"/>
      <c r="L182" s="633"/>
      <c r="M182" s="648"/>
      <c r="N182" s="69"/>
      <c r="O182" s="99">
        <f>VLOOKUP(D182,Poeng!$B$10:$BC$252,Poeng!AF$1,FALSE)</f>
        <v>0</v>
      </c>
      <c r="P182" s="99" t="str">
        <f>VLOOKUP(D182,Poeng!$B$10:$BH$252,Poeng!BH$1,FALSE)</f>
        <v>N/A</v>
      </c>
      <c r="Q182" s="583"/>
      <c r="R182" s="584"/>
      <c r="S182" s="577"/>
      <c r="T182" s="268"/>
      <c r="U182" s="69"/>
      <c r="V182" s="99">
        <f>VLOOKUP(D182,Poeng!$B$10:$BC$252,Poeng!AG$1,FALSE)</f>
        <v>0</v>
      </c>
      <c r="W182" s="99" t="str">
        <f>VLOOKUP(D182,Poeng!$B$10:$BK$252,Poeng!BK$1,FALSE)</f>
        <v>N/A</v>
      </c>
      <c r="X182" s="67"/>
      <c r="Y182" s="66"/>
      <c r="Z182" s="577"/>
      <c r="AA182" s="108"/>
      <c r="AB182" s="495"/>
      <c r="AC182" s="17">
        <f t="shared" si="21"/>
        <v>1</v>
      </c>
      <c r="AD182" s="1" t="e">
        <f>VLOOKUP(K182,'Assessment Details'!$O$45:$P$48,2,FALSE)</f>
        <v>#N/A</v>
      </c>
      <c r="AE182" s="1" t="e">
        <f>VLOOKUP(R182,'Assessment Details'!$O$45:$P$48,2,FALSE)</f>
        <v>#N/A</v>
      </c>
      <c r="AF182" s="1" t="e">
        <f>VLOOKUP(Y182,'Assessment Details'!$O$45:$P$48,2,FALSE)</f>
        <v>#N/A</v>
      </c>
      <c r="AI182" s="56"/>
      <c r="AJ182" s="522"/>
      <c r="AK182" s="56"/>
      <c r="AL182" s="56"/>
      <c r="AM182" s="56"/>
      <c r="AN182" s="56"/>
      <c r="AO182" s="56"/>
      <c r="AP182" s="56"/>
      <c r="AS182" s="17"/>
      <c r="AT182" s="17"/>
      <c r="AU182" s="17"/>
      <c r="AV182" s="17"/>
      <c r="AW182" s="17"/>
      <c r="AX182" s="17"/>
      <c r="AZ182" s="495"/>
    </row>
    <row r="183" spans="1:52">
      <c r="A183" s="830">
        <v>174</v>
      </c>
      <c r="B183" s="831" t="s">
        <v>461</v>
      </c>
      <c r="C183" s="739" t="s">
        <v>486</v>
      </c>
      <c r="D183" s="653" t="s">
        <v>486</v>
      </c>
      <c r="E183" s="686" t="str">
        <f>VLOOKUP(D183,Poeng!$B$10:$R$252,Poeng!E$1,FALSE)</f>
        <v>LE 06 Climate adaption</v>
      </c>
      <c r="F183" s="691">
        <f>VLOOKUP(D183,Poeng!$B$10:$AB$252,Poeng!AB$1,FALSE)</f>
        <v>1</v>
      </c>
      <c r="G183" s="784"/>
      <c r="H183" s="692" t="str">
        <f>VLOOKUP(D183,Poeng!$B$10:$AI$252,Poeng!AI$1,FALSE)&amp;" c. "&amp;ROUND(VLOOKUP(D183,Poeng!$B$10:$AE$252,Poeng!AE$1,FALSE)*100,1)&amp;" %"</f>
        <v>0 c. 0 %</v>
      </c>
      <c r="I183" s="739" t="str">
        <f>VLOOKUP(D183,Poeng!$B$10:$BE$252,Poeng!BE$1,FALSE)</f>
        <v>N/A</v>
      </c>
      <c r="J183" s="66"/>
      <c r="K183" s="233"/>
      <c r="L183" s="633"/>
      <c r="M183" s="648"/>
      <c r="N183" s="784"/>
      <c r="O183" s="703" t="str">
        <f>VLOOKUP(D183,Poeng!$B$10:$BC$252,Poeng!AJ$1,FALSE)&amp;" c. "&amp;ROUND(VLOOKUP(D183,Poeng!$B$10:$BC$252,Poeng!AF$1,FALSE)*100,1)&amp;" %"</f>
        <v>0 c. 0 %</v>
      </c>
      <c r="P183" s="99" t="str">
        <f>VLOOKUP(D183,Poeng!$B$10:$BH$252,Poeng!BH$1,FALSE)</f>
        <v>N/A</v>
      </c>
      <c r="Q183" s="583"/>
      <c r="R183" s="584"/>
      <c r="S183" s="577"/>
      <c r="T183" s="268"/>
      <c r="U183" s="784"/>
      <c r="V183" s="703" t="str">
        <f>VLOOKUP(D183,Poeng!$B$10:$BC$252,Poeng!AK$1,FALSE)&amp;" c. "&amp;ROUND(VLOOKUP(D183,Poeng!$B$10:$BC$252,Poeng!AG$1,FALSE)*100,1)&amp;" %"</f>
        <v>0 c. 0 %</v>
      </c>
      <c r="W183" s="99" t="str">
        <f>VLOOKUP(D183,Poeng!$B$10:$BK$252,Poeng!BK$1,FALSE)</f>
        <v>N/A</v>
      </c>
      <c r="X183" s="67"/>
      <c r="Y183" s="66"/>
      <c r="Z183" s="577"/>
      <c r="AA183" s="108"/>
      <c r="AB183" s="495" t="s">
        <v>216</v>
      </c>
      <c r="AC183" s="17">
        <f t="shared" si="21"/>
        <v>1</v>
      </c>
      <c r="AD183" s="1" t="e">
        <f>VLOOKUP(K183,'Assessment Details'!$O$45:$P$48,2,FALSE)</f>
        <v>#N/A</v>
      </c>
      <c r="AE183" s="1" t="e">
        <f>VLOOKUP(R183,'Assessment Details'!$O$45:$P$48,2,FALSE)</f>
        <v>#N/A</v>
      </c>
      <c r="AF183" s="1" t="e">
        <f>VLOOKUP(Y183,'Assessment Details'!$O$45:$P$48,2,FALSE)</f>
        <v>#N/A</v>
      </c>
      <c r="AI183" s="56"/>
      <c r="AJ183" s="522" t="s">
        <v>487</v>
      </c>
      <c r="AK183" s="56"/>
      <c r="AL183" s="56"/>
      <c r="AM183" s="56"/>
      <c r="AN183" s="56"/>
      <c r="AO183" s="56"/>
      <c r="AP183" s="56"/>
      <c r="AS183" s="17" t="str">
        <f t="shared" si="24"/>
        <v>N/A</v>
      </c>
      <c r="AT183" s="17" t="str">
        <f t="shared" si="25"/>
        <v>N/A</v>
      </c>
      <c r="AU183" s="17" t="str">
        <f t="shared" si="26"/>
        <v>N/A</v>
      </c>
      <c r="AV183" s="17"/>
      <c r="AW183" s="17"/>
      <c r="AX183" s="17"/>
      <c r="AZ183" s="495"/>
    </row>
    <row r="184" spans="1:52">
      <c r="A184" s="830">
        <v>175</v>
      </c>
      <c r="B184" s="831" t="s">
        <v>461</v>
      </c>
      <c r="C184" s="100" t="str">
        <f t="shared" si="19"/>
        <v>LE 06</v>
      </c>
      <c r="D184" s="653" t="s">
        <v>488</v>
      </c>
      <c r="E184" s="687" t="str">
        <f>VLOOKUP(D184,Poeng!$B$10:$R$252,Poeng!E$1,FALSE)</f>
        <v>Risk assessment (EU taxonomy requirement: criterion 1-6)</v>
      </c>
      <c r="F184" s="98">
        <f>VLOOKUP(D184,Poeng!$B$10:$AB$252,Poeng!AB$1,FALSE)</f>
        <v>1</v>
      </c>
      <c r="G184" s="29"/>
      <c r="H184" s="99">
        <f>VLOOKUP(D184,Poeng!$B$10:$AE$252,Poeng!AE$1,FALSE)</f>
        <v>0</v>
      </c>
      <c r="I184" s="100" t="str">
        <f>VLOOKUP(D184,Poeng!$B$10:$BE$252,Poeng!BE$1,FALSE)</f>
        <v>Very Good</v>
      </c>
      <c r="J184" s="66"/>
      <c r="K184" s="233"/>
      <c r="L184" s="633"/>
      <c r="M184" s="648"/>
      <c r="N184" s="69"/>
      <c r="O184" s="99">
        <f>VLOOKUP(D184,Poeng!$B$10:$BC$252,Poeng!AF$1,FALSE)</f>
        <v>0</v>
      </c>
      <c r="P184" s="99" t="str">
        <f>VLOOKUP(D184,Poeng!$B$10:$BH$252,Poeng!BH$1,FALSE)</f>
        <v>Very Good</v>
      </c>
      <c r="Q184" s="583"/>
      <c r="R184" s="584"/>
      <c r="S184" s="577"/>
      <c r="T184" s="268"/>
      <c r="U184" s="69"/>
      <c r="V184" s="99">
        <f>VLOOKUP(D184,Poeng!$B$10:$BC$252,Poeng!AG$1,FALSE)</f>
        <v>0</v>
      </c>
      <c r="W184" s="99" t="str">
        <f>VLOOKUP(D184,Poeng!$B$10:$BK$252,Poeng!BK$1,FALSE)</f>
        <v>Very Good</v>
      </c>
      <c r="X184" s="67"/>
      <c r="Y184" s="66"/>
      <c r="Z184" s="577"/>
      <c r="AA184" s="108"/>
      <c r="AB184" s="559"/>
      <c r="AC184" s="17">
        <f t="shared" si="21"/>
        <v>1</v>
      </c>
      <c r="AD184" s="1" t="e">
        <f>VLOOKUP(K184,'Assessment Details'!$O$45:$P$48,2,FALSE)</f>
        <v>#N/A</v>
      </c>
      <c r="AE184" s="1" t="e">
        <f>VLOOKUP(R184,'Assessment Details'!$O$45:$P$48,2,FALSE)</f>
        <v>#N/A</v>
      </c>
      <c r="AF184" s="1" t="e">
        <f>VLOOKUP(Y184,'Assessment Details'!$O$45:$P$48,2,FALSE)</f>
        <v>#N/A</v>
      </c>
      <c r="AI184" s="56"/>
      <c r="AJ184" s="522"/>
      <c r="AK184" s="56"/>
      <c r="AL184" s="56"/>
      <c r="AM184" s="56"/>
      <c r="AN184" s="56"/>
      <c r="AO184" s="56"/>
      <c r="AP184" s="56"/>
      <c r="AS184" s="17"/>
      <c r="AT184" s="17"/>
      <c r="AU184" s="17"/>
      <c r="AV184" s="17"/>
      <c r="AW184" s="17"/>
      <c r="AX184" s="17"/>
      <c r="AZ184" s="559"/>
    </row>
    <row r="185" spans="1:52">
      <c r="A185" s="830">
        <v>176</v>
      </c>
      <c r="B185" s="831" t="s">
        <v>461</v>
      </c>
      <c r="C185" s="739" t="s">
        <v>489</v>
      </c>
      <c r="D185" s="653" t="s">
        <v>489</v>
      </c>
      <c r="E185" s="686" t="str">
        <f>VLOOKUP(D185,Poeng!$B$10:$R$252,Poeng!E$1,FALSE)</f>
        <v>LE 07 Flooding and storm surge</v>
      </c>
      <c r="F185" s="691">
        <f>VLOOKUP(D185,Poeng!$B$10:$AB$252,Poeng!AB$1,FALSE)</f>
        <v>2</v>
      </c>
      <c r="G185" s="784"/>
      <c r="H185" s="692" t="str">
        <f>VLOOKUP(D185,Poeng!$B$10:$AI$252,Poeng!AI$1,FALSE)&amp;" c. "&amp;ROUND(VLOOKUP(D185,Poeng!$B$10:$AE$252,Poeng!AE$1,FALSE)*100,1)&amp;" %"</f>
        <v>0 c. 0 %</v>
      </c>
      <c r="I185" s="739" t="str">
        <f>VLOOKUP(D185,Poeng!$B$10:$BE$252,Poeng!BE$1,FALSE)</f>
        <v>N/A</v>
      </c>
      <c r="J185" s="66"/>
      <c r="K185" s="233"/>
      <c r="L185" s="633"/>
      <c r="M185" s="648"/>
      <c r="N185" s="784"/>
      <c r="O185" s="703" t="str">
        <f>VLOOKUP(D185,Poeng!$B$10:$BC$252,Poeng!AJ$1,FALSE)&amp;" c. "&amp;ROUND(VLOOKUP(D185,Poeng!$B$10:$BC$252,Poeng!AF$1,FALSE)*100,1)&amp;" %"</f>
        <v>0 c. 0 %</v>
      </c>
      <c r="P185" s="99" t="str">
        <f>VLOOKUP(D185,Poeng!$B$10:$BH$252,Poeng!BH$1,FALSE)</f>
        <v>N/A</v>
      </c>
      <c r="Q185" s="583"/>
      <c r="R185" s="584"/>
      <c r="S185" s="577"/>
      <c r="T185" s="268"/>
      <c r="U185" s="784"/>
      <c r="V185" s="703" t="str">
        <f>VLOOKUP(D185,Poeng!$B$10:$BC$252,Poeng!AK$1,FALSE)&amp;" c. "&amp;ROUND(VLOOKUP(D185,Poeng!$B$10:$BC$252,Poeng!AG$1,FALSE)*100,1)&amp;" %"</f>
        <v>0 c. 0 %</v>
      </c>
      <c r="W185" s="99" t="str">
        <f>VLOOKUP(D185,Poeng!$B$10:$BK$252,Poeng!BK$1,FALSE)</f>
        <v>N/A</v>
      </c>
      <c r="X185" s="67"/>
      <c r="Y185" s="66"/>
      <c r="Z185" s="577"/>
      <c r="AA185" s="108"/>
      <c r="AB185" s="559"/>
      <c r="AC185" s="17">
        <f t="shared" si="21"/>
        <v>1</v>
      </c>
      <c r="AD185" s="1" t="e">
        <f>VLOOKUP(K185,'Assessment Details'!$O$45:$P$48,2,FALSE)</f>
        <v>#N/A</v>
      </c>
      <c r="AE185" s="1" t="e">
        <f>VLOOKUP(R185,'Assessment Details'!$O$45:$P$48,2,FALSE)</f>
        <v>#N/A</v>
      </c>
      <c r="AF185" s="1" t="e">
        <f>VLOOKUP(Y185,'Assessment Details'!$O$45:$P$48,2,FALSE)</f>
        <v>#N/A</v>
      </c>
      <c r="AI185" s="56"/>
      <c r="AJ185" s="522"/>
      <c r="AK185" s="56"/>
      <c r="AL185" s="56"/>
      <c r="AM185" s="56"/>
      <c r="AN185" s="56"/>
      <c r="AO185" s="56"/>
      <c r="AP185" s="56"/>
      <c r="AS185" s="17"/>
      <c r="AT185" s="17"/>
      <c r="AU185" s="17"/>
      <c r="AV185" s="17"/>
      <c r="AW185" s="17"/>
      <c r="AX185" s="17"/>
      <c r="AZ185" s="559"/>
    </row>
    <row r="186" spans="1:52">
      <c r="A186" s="830">
        <v>177</v>
      </c>
      <c r="B186" s="831" t="s">
        <v>461</v>
      </c>
      <c r="C186" s="100" t="str">
        <f t="shared" si="19"/>
        <v>LE 07</v>
      </c>
      <c r="D186" s="653" t="s">
        <v>490</v>
      </c>
      <c r="E186" s="687" t="str">
        <f>VLOOKUP(D186,Poeng!$B$10:$R$252,Poeng!E$1,FALSE)</f>
        <v>Pre-requisite: flood risk assessment</v>
      </c>
      <c r="F186" s="98" t="str">
        <f>VLOOKUP(D186,Poeng!$B$10:$AB$252,Poeng!AB$1,FALSE)</f>
        <v>Yes/No</v>
      </c>
      <c r="G186" s="29"/>
      <c r="H186" s="99" t="str">
        <f>VLOOKUP(D186,Poeng!$B$10:$AE$252,Poeng!AE$1,FALSE)</f>
        <v>-</v>
      </c>
      <c r="I186" s="100" t="str">
        <f>VLOOKUP(D186,Poeng!$B$10:$BE$252,Poeng!BE$1,FALSE)</f>
        <v>N/A</v>
      </c>
      <c r="J186" s="66"/>
      <c r="K186" s="233"/>
      <c r="L186" s="633"/>
      <c r="M186" s="648"/>
      <c r="N186" s="69"/>
      <c r="O186" s="99" t="str">
        <f>VLOOKUP(D186,Poeng!$B$10:$BC$252,Poeng!AF$1,FALSE)</f>
        <v>-</v>
      </c>
      <c r="P186" s="99" t="str">
        <f>VLOOKUP(D186,Poeng!$B$10:$BH$252,Poeng!BH$1,FALSE)</f>
        <v>N/A</v>
      </c>
      <c r="Q186" s="583"/>
      <c r="R186" s="584"/>
      <c r="S186" s="577"/>
      <c r="T186" s="268"/>
      <c r="U186" s="69"/>
      <c r="V186" s="99" t="str">
        <f>VLOOKUP(D186,Poeng!$B$10:$BC$252,Poeng!AG$1,FALSE)</f>
        <v>-</v>
      </c>
      <c r="W186" s="99" t="str">
        <f>VLOOKUP(D186,Poeng!$B$10:$BK$252,Poeng!BK$1,FALSE)</f>
        <v>N/A</v>
      </c>
      <c r="X186" s="67"/>
      <c r="Y186" s="66"/>
      <c r="Z186" s="577"/>
      <c r="AA186" s="108"/>
      <c r="AB186" s="559"/>
      <c r="AC186" s="17">
        <f t="shared" si="21"/>
        <v>1</v>
      </c>
      <c r="AD186" s="1" t="e">
        <f>VLOOKUP(K186,'Assessment Details'!$O$45:$P$48,2,FALSE)</f>
        <v>#N/A</v>
      </c>
      <c r="AE186" s="1" t="e">
        <f>VLOOKUP(R186,'Assessment Details'!$O$45:$P$48,2,FALSE)</f>
        <v>#N/A</v>
      </c>
      <c r="AF186" s="1" t="e">
        <f>VLOOKUP(Y186,'Assessment Details'!$O$45:$P$48,2,FALSE)</f>
        <v>#N/A</v>
      </c>
      <c r="AI186" s="56"/>
      <c r="AJ186" s="522"/>
      <c r="AK186" s="56"/>
      <c r="AL186" s="56"/>
      <c r="AM186" s="56"/>
      <c r="AN186" s="56"/>
      <c r="AO186" s="56"/>
      <c r="AP186" s="56"/>
      <c r="AS186" s="17"/>
      <c r="AT186" s="17"/>
      <c r="AU186" s="17"/>
      <c r="AV186" s="17"/>
      <c r="AW186" s="17"/>
      <c r="AX186" s="17"/>
      <c r="AZ186" s="559"/>
    </row>
    <row r="187" spans="1:52">
      <c r="A187" s="830">
        <v>178</v>
      </c>
      <c r="B187" s="831" t="s">
        <v>461</v>
      </c>
      <c r="C187" s="100" t="str">
        <f t="shared" si="19"/>
        <v>LE 07</v>
      </c>
      <c r="D187" s="653" t="s">
        <v>491</v>
      </c>
      <c r="E187" s="687" t="str">
        <f>VLOOKUP(D187,Poeng!$B$10:$R$252,Poeng!E$1,FALSE)</f>
        <v>Resilience against flood and storm surge</v>
      </c>
      <c r="F187" s="98">
        <f>VLOOKUP(D187,Poeng!$B$10:$AB$252,Poeng!AB$1,FALSE)</f>
        <v>2</v>
      </c>
      <c r="G187" s="29"/>
      <c r="H187" s="99">
        <f>VLOOKUP(D187,Poeng!$B$10:$AE$252,Poeng!AE$1,FALSE)</f>
        <v>0</v>
      </c>
      <c r="I187" s="100" t="str">
        <f>VLOOKUP(D187,Poeng!$B$10:$BE$252,Poeng!BE$1,FALSE)</f>
        <v>N/A</v>
      </c>
      <c r="J187" s="66"/>
      <c r="K187" s="233"/>
      <c r="L187" s="633"/>
      <c r="M187" s="648"/>
      <c r="N187" s="69"/>
      <c r="O187" s="99">
        <f>VLOOKUP(D187,Poeng!$B$10:$BC$252,Poeng!AF$1,FALSE)</f>
        <v>0</v>
      </c>
      <c r="P187" s="99" t="str">
        <f>VLOOKUP(D187,Poeng!$B$10:$BH$252,Poeng!BH$1,FALSE)</f>
        <v>N/A</v>
      </c>
      <c r="Q187" s="583"/>
      <c r="R187" s="584"/>
      <c r="S187" s="577"/>
      <c r="T187" s="268"/>
      <c r="U187" s="69"/>
      <c r="V187" s="99">
        <f>VLOOKUP(D187,Poeng!$B$10:$BC$252,Poeng!AG$1,FALSE)</f>
        <v>0</v>
      </c>
      <c r="W187" s="99" t="str">
        <f>VLOOKUP(D187,Poeng!$B$10:$BK$252,Poeng!BK$1,FALSE)</f>
        <v>N/A</v>
      </c>
      <c r="X187" s="67"/>
      <c r="Y187" s="66"/>
      <c r="Z187" s="577"/>
      <c r="AA187" s="108"/>
      <c r="AB187" s="559"/>
      <c r="AC187" s="17">
        <f t="shared" si="21"/>
        <v>1</v>
      </c>
      <c r="AD187" s="1" t="e">
        <f>VLOOKUP(K187,'Assessment Details'!$O$45:$P$48,2,FALSE)</f>
        <v>#N/A</v>
      </c>
      <c r="AE187" s="1" t="e">
        <f>VLOOKUP(R187,'Assessment Details'!$O$45:$P$48,2,FALSE)</f>
        <v>#N/A</v>
      </c>
      <c r="AF187" s="1" t="e">
        <f>VLOOKUP(Y187,'Assessment Details'!$O$45:$P$48,2,FALSE)</f>
        <v>#N/A</v>
      </c>
      <c r="AI187" s="56"/>
      <c r="AJ187" s="522"/>
      <c r="AK187" s="56"/>
      <c r="AL187" s="56"/>
      <c r="AM187" s="56"/>
      <c r="AN187" s="56"/>
      <c r="AO187" s="56"/>
      <c r="AP187" s="56"/>
      <c r="AS187" s="17"/>
      <c r="AT187" s="17"/>
      <c r="AU187" s="17"/>
      <c r="AV187" s="17"/>
      <c r="AW187" s="17"/>
      <c r="AX187" s="17"/>
      <c r="AZ187" s="559"/>
    </row>
    <row r="188" spans="1:52">
      <c r="A188" s="830">
        <v>179</v>
      </c>
      <c r="B188" s="831" t="s">
        <v>461</v>
      </c>
      <c r="C188" s="739" t="s">
        <v>492</v>
      </c>
      <c r="D188" s="653" t="s">
        <v>492</v>
      </c>
      <c r="E188" s="686" t="str">
        <f>VLOOKUP(D188,Poeng!$B$10:$R$252,Poeng!E$1,FALSE)</f>
        <v>LE 08 Local surface water handling</v>
      </c>
      <c r="F188" s="691">
        <f>VLOOKUP(D188,Poeng!$B$10:$AB$252,Poeng!AB$1,FALSE)</f>
        <v>3</v>
      </c>
      <c r="G188" s="784"/>
      <c r="H188" s="692" t="str">
        <f>VLOOKUP(D188,Poeng!$B$10:$AI$252,Poeng!AI$1,FALSE)&amp;" c. "&amp;ROUND(VLOOKUP(D188,Poeng!$B$10:$AE$252,Poeng!AE$1,FALSE)*100,1)&amp;" %"</f>
        <v>0 c. 0 %</v>
      </c>
      <c r="I188" s="739" t="str">
        <f>VLOOKUP(D188,Poeng!$B$10:$BE$252,Poeng!BE$1,FALSE)</f>
        <v>N/A</v>
      </c>
      <c r="J188" s="66"/>
      <c r="K188" s="233"/>
      <c r="L188" s="633"/>
      <c r="M188" s="648"/>
      <c r="N188" s="784"/>
      <c r="O188" s="703" t="str">
        <f>VLOOKUP(D188,Poeng!$B$10:$BC$252,Poeng!AJ$1,FALSE)&amp;" c. "&amp;ROUND(VLOOKUP(D188,Poeng!$B$10:$BC$252,Poeng!AF$1,FALSE)*100,1)&amp;" %"</f>
        <v>0 c. 0 %</v>
      </c>
      <c r="P188" s="99" t="str">
        <f>VLOOKUP(D188,Poeng!$B$10:$BH$252,Poeng!BH$1,FALSE)</f>
        <v>N/A</v>
      </c>
      <c r="Q188" s="583"/>
      <c r="R188" s="584"/>
      <c r="S188" s="577"/>
      <c r="T188" s="268"/>
      <c r="U188" s="784"/>
      <c r="V188" s="703" t="str">
        <f>VLOOKUP(D188,Poeng!$B$10:$BC$252,Poeng!AK$1,FALSE)&amp;" c. "&amp;ROUND(VLOOKUP(D188,Poeng!$B$10:$BC$252,Poeng!AG$1,FALSE)*100,1)&amp;" %"</f>
        <v>0 c. 0 %</v>
      </c>
      <c r="W188" s="99" t="str">
        <f>VLOOKUP(D188,Poeng!$B$10:$BK$252,Poeng!BK$1,FALSE)</f>
        <v>N/A</v>
      </c>
      <c r="X188" s="67"/>
      <c r="Y188" s="66"/>
      <c r="Z188" s="577"/>
      <c r="AA188" s="108"/>
      <c r="AB188" s="559"/>
      <c r="AC188" s="17">
        <f t="shared" si="21"/>
        <v>1</v>
      </c>
      <c r="AD188" s="1" t="e">
        <f>VLOOKUP(K188,'Assessment Details'!$O$45:$P$48,2,FALSE)</f>
        <v>#N/A</v>
      </c>
      <c r="AE188" s="1" t="e">
        <f>VLOOKUP(R188,'Assessment Details'!$O$45:$P$48,2,FALSE)</f>
        <v>#N/A</v>
      </c>
      <c r="AF188" s="1" t="e">
        <f>VLOOKUP(Y188,'Assessment Details'!$O$45:$P$48,2,FALSE)</f>
        <v>#N/A</v>
      </c>
      <c r="AI188" s="56"/>
      <c r="AJ188" s="522"/>
      <c r="AK188" s="56"/>
      <c r="AL188" s="56"/>
      <c r="AM188" s="56"/>
      <c r="AN188" s="56"/>
      <c r="AO188" s="56"/>
      <c r="AP188" s="56"/>
      <c r="AS188" s="17"/>
      <c r="AT188" s="17"/>
      <c r="AU188" s="17"/>
      <c r="AV188" s="17"/>
      <c r="AW188" s="17"/>
      <c r="AX188" s="17"/>
      <c r="AZ188" s="559"/>
    </row>
    <row r="189" spans="1:52">
      <c r="A189" s="830">
        <v>180</v>
      </c>
      <c r="B189" s="831" t="s">
        <v>461</v>
      </c>
      <c r="C189" s="100" t="str">
        <f t="shared" si="19"/>
        <v>LE 08</v>
      </c>
      <c r="D189" s="653" t="s">
        <v>493</v>
      </c>
      <c r="E189" s="687" t="str">
        <f>VLOOKUP(D189,Poeng!$B$10:$R$252,Poeng!E$1,FALSE)</f>
        <v>Pre-requisite: risk assessment and the "three- step strategy"</v>
      </c>
      <c r="F189" s="98" t="str">
        <f>VLOOKUP(D189,Poeng!$B$10:$AB$252,Poeng!AB$1,FALSE)</f>
        <v>Yes/No</v>
      </c>
      <c r="G189" s="29"/>
      <c r="H189" s="99" t="str">
        <f>VLOOKUP(D189,Poeng!$B$10:$AE$252,Poeng!AE$1,FALSE)</f>
        <v>-</v>
      </c>
      <c r="I189" s="100" t="str">
        <f>VLOOKUP(D189,Poeng!$B$10:$BE$252,Poeng!BE$1,FALSE)</f>
        <v>N/A</v>
      </c>
      <c r="J189" s="66"/>
      <c r="K189" s="233"/>
      <c r="L189" s="633"/>
      <c r="M189" s="648"/>
      <c r="N189" s="69"/>
      <c r="O189" s="99" t="str">
        <f>VLOOKUP(D189,Poeng!$B$10:$BC$252,Poeng!AF$1,FALSE)</f>
        <v>-</v>
      </c>
      <c r="P189" s="99" t="str">
        <f>VLOOKUP(D189,Poeng!$B$10:$BH$252,Poeng!BH$1,FALSE)</f>
        <v>N/A</v>
      </c>
      <c r="Q189" s="583"/>
      <c r="R189" s="584"/>
      <c r="S189" s="577"/>
      <c r="T189" s="268"/>
      <c r="U189" s="69"/>
      <c r="V189" s="99" t="str">
        <f>VLOOKUP(D189,Poeng!$B$10:$BC$252,Poeng!AG$1,FALSE)</f>
        <v>-</v>
      </c>
      <c r="W189" s="99" t="str">
        <f>VLOOKUP(D189,Poeng!$B$10:$BK$252,Poeng!BK$1,FALSE)</f>
        <v>N/A</v>
      </c>
      <c r="X189" s="67"/>
      <c r="Y189" s="66"/>
      <c r="Z189" s="577"/>
      <c r="AA189" s="108"/>
      <c r="AB189" s="559"/>
      <c r="AC189" s="17">
        <f t="shared" si="21"/>
        <v>1</v>
      </c>
      <c r="AD189" s="1" t="e">
        <f>VLOOKUP(K189,'Assessment Details'!$O$45:$P$48,2,FALSE)</f>
        <v>#N/A</v>
      </c>
      <c r="AE189" s="1" t="e">
        <f>VLOOKUP(R189,'Assessment Details'!$O$45:$P$48,2,FALSE)</f>
        <v>#N/A</v>
      </c>
      <c r="AF189" s="1" t="e">
        <f>VLOOKUP(Y189,'Assessment Details'!$O$45:$P$48,2,FALSE)</f>
        <v>#N/A</v>
      </c>
      <c r="AI189" s="56"/>
      <c r="AJ189" s="522"/>
      <c r="AK189" s="56"/>
      <c r="AL189" s="56"/>
      <c r="AM189" s="56"/>
      <c r="AN189" s="56"/>
      <c r="AO189" s="56"/>
      <c r="AP189" s="56"/>
      <c r="AS189" s="17"/>
      <c r="AT189" s="17"/>
      <c r="AU189" s="17"/>
      <c r="AV189" s="17"/>
      <c r="AW189" s="17"/>
      <c r="AX189" s="17"/>
      <c r="AZ189" s="559"/>
    </row>
    <row r="190" spans="1:52">
      <c r="A190" s="830">
        <v>181</v>
      </c>
      <c r="B190" s="831" t="s">
        <v>461</v>
      </c>
      <c r="C190" s="100" t="str">
        <f>C189</f>
        <v>LE 08</v>
      </c>
      <c r="D190" s="653" t="s">
        <v>494</v>
      </c>
      <c r="E190" s="687" t="str">
        <f>VLOOKUP(D190,Poeng!$B$10:$R$252,Poeng!E$1,FALSE)</f>
        <v>5 mm precipitation</v>
      </c>
      <c r="F190" s="98">
        <f>VLOOKUP(D190,Poeng!$B$10:$AB$252,Poeng!AB$1,FALSE)</f>
        <v>1</v>
      </c>
      <c r="G190" s="29"/>
      <c r="H190" s="99">
        <f>VLOOKUP(D190,Poeng!$B$10:$AE$252,Poeng!AE$1,FALSE)</f>
        <v>0</v>
      </c>
      <c r="I190" s="100" t="str">
        <f>VLOOKUP(D190,Poeng!$B$10:$BE$252,Poeng!BE$1,FALSE)</f>
        <v>N/A</v>
      </c>
      <c r="J190" s="66"/>
      <c r="K190" s="233"/>
      <c r="L190" s="633"/>
      <c r="M190" s="648"/>
      <c r="N190" s="69"/>
      <c r="O190" s="99">
        <f>VLOOKUP(D190,Poeng!$B$10:$BC$252,Poeng!AF$1,FALSE)</f>
        <v>0</v>
      </c>
      <c r="P190" s="99" t="str">
        <f>VLOOKUP(D190,Poeng!$B$10:$BH$252,Poeng!BH$1,FALSE)</f>
        <v>N/A</v>
      </c>
      <c r="Q190" s="583"/>
      <c r="R190" s="584"/>
      <c r="S190" s="577"/>
      <c r="T190" s="268"/>
      <c r="U190" s="69"/>
      <c r="V190" s="99">
        <f>VLOOKUP(D190,Poeng!$B$10:$BC$252,Poeng!AG$1,FALSE)</f>
        <v>0</v>
      </c>
      <c r="W190" s="99" t="str">
        <f>VLOOKUP(D190,Poeng!$B$10:$BK$252,Poeng!BK$1,FALSE)</f>
        <v>N/A</v>
      </c>
      <c r="X190" s="67"/>
      <c r="Y190" s="66"/>
      <c r="Z190" s="577"/>
      <c r="AA190" s="108"/>
      <c r="AB190" s="559"/>
      <c r="AC190" s="17">
        <f t="shared" si="21"/>
        <v>1</v>
      </c>
      <c r="AD190" s="1" t="e">
        <f>VLOOKUP(K190,'Assessment Details'!$O$45:$P$48,2,FALSE)</f>
        <v>#N/A</v>
      </c>
      <c r="AE190" s="1" t="e">
        <f>VLOOKUP(R190,'Assessment Details'!$O$45:$P$48,2,FALSE)</f>
        <v>#N/A</v>
      </c>
      <c r="AF190" s="1" t="e">
        <f>VLOOKUP(Y190,'Assessment Details'!$O$45:$P$48,2,FALSE)</f>
        <v>#N/A</v>
      </c>
      <c r="AI190" s="56"/>
      <c r="AJ190" s="522"/>
      <c r="AK190" s="56"/>
      <c r="AL190" s="56"/>
      <c r="AM190" s="56"/>
      <c r="AN190" s="56"/>
      <c r="AO190" s="56"/>
      <c r="AP190" s="56"/>
      <c r="AS190" s="17"/>
      <c r="AT190" s="17"/>
      <c r="AU190" s="17"/>
      <c r="AV190" s="17"/>
      <c r="AW190" s="17"/>
      <c r="AX190" s="17"/>
      <c r="AZ190" s="559"/>
    </row>
    <row r="191" spans="1:52">
      <c r="A191" s="830">
        <v>182</v>
      </c>
      <c r="B191" s="831" t="s">
        <v>461</v>
      </c>
      <c r="C191" s="100" t="str">
        <f>C189</f>
        <v>LE 08</v>
      </c>
      <c r="D191" s="653" t="s">
        <v>495</v>
      </c>
      <c r="E191" s="687" t="str">
        <f>VLOOKUP(D191,Poeng!$B$10:$R$252,Poeng!E$1,FALSE)</f>
        <v>Maximum run-off</v>
      </c>
      <c r="F191" s="98">
        <f>VLOOKUP(D191,Poeng!$B$10:$AB$252,Poeng!AB$1,FALSE)</f>
        <v>1</v>
      </c>
      <c r="G191" s="29"/>
      <c r="H191" s="99">
        <f>VLOOKUP(D191,Poeng!$B$10:$AE$252,Poeng!AE$1,FALSE)</f>
        <v>0</v>
      </c>
      <c r="I191" s="100" t="str">
        <f>VLOOKUP(D191,Poeng!$B$10:$BE$252,Poeng!BE$1,FALSE)</f>
        <v>N/A</v>
      </c>
      <c r="J191" s="66"/>
      <c r="K191" s="233"/>
      <c r="L191" s="633"/>
      <c r="M191" s="648"/>
      <c r="N191" s="69"/>
      <c r="O191" s="99">
        <f>VLOOKUP(D191,Poeng!$B$10:$BC$252,Poeng!AF$1,FALSE)</f>
        <v>0</v>
      </c>
      <c r="P191" s="99" t="str">
        <f>VLOOKUP(D191,Poeng!$B$10:$BH$252,Poeng!BH$1,FALSE)</f>
        <v>N/A</v>
      </c>
      <c r="Q191" s="583"/>
      <c r="R191" s="584"/>
      <c r="S191" s="577"/>
      <c r="T191" s="268"/>
      <c r="U191" s="69"/>
      <c r="V191" s="99">
        <f>VLOOKUP(D191,Poeng!$B$10:$BC$252,Poeng!AG$1,FALSE)</f>
        <v>0</v>
      </c>
      <c r="W191" s="99" t="str">
        <f>VLOOKUP(D191,Poeng!$B$10:$BK$252,Poeng!BK$1,FALSE)</f>
        <v>N/A</v>
      </c>
      <c r="X191" s="67"/>
      <c r="Y191" s="66"/>
      <c r="Z191" s="577"/>
      <c r="AA191" s="108"/>
      <c r="AB191" s="559"/>
      <c r="AC191" s="17">
        <f t="shared" ref="AC191" si="29">IF(F191="",1,IF(F191=0,2,1))</f>
        <v>1</v>
      </c>
      <c r="AD191" s="1" t="e">
        <f>VLOOKUP(K191,'Assessment Details'!$O$45:$P$48,2,FALSE)</f>
        <v>#N/A</v>
      </c>
      <c r="AE191" s="1" t="e">
        <f>VLOOKUP(R191,'Assessment Details'!$O$45:$P$48,2,FALSE)</f>
        <v>#N/A</v>
      </c>
      <c r="AF191" s="1" t="e">
        <f>VLOOKUP(Y191,'Assessment Details'!$O$45:$P$48,2,FALSE)</f>
        <v>#N/A</v>
      </c>
      <c r="AI191" s="56"/>
      <c r="AJ191" s="522"/>
      <c r="AK191" s="56"/>
      <c r="AL191" s="56"/>
      <c r="AM191" s="56"/>
      <c r="AN191" s="56"/>
      <c r="AO191" s="56"/>
      <c r="AP191" s="56"/>
      <c r="AS191" s="17"/>
      <c r="AT191" s="17"/>
      <c r="AU191" s="17"/>
      <c r="AV191" s="17"/>
      <c r="AW191" s="17"/>
      <c r="AX191" s="17"/>
      <c r="AZ191" s="559"/>
    </row>
    <row r="192" spans="1:52">
      <c r="A192" s="830">
        <v>183</v>
      </c>
      <c r="B192" s="831" t="s">
        <v>461</v>
      </c>
      <c r="C192" s="100" t="str">
        <f>C190</f>
        <v>LE 08</v>
      </c>
      <c r="D192" s="653" t="s">
        <v>496</v>
      </c>
      <c r="E192" s="687" t="str">
        <f>VLOOKUP(D192,Poeng!$B$10:$R$252,Poeng!E$1,FALSE)</f>
        <v>Measures for surface-based water management</v>
      </c>
      <c r="F192" s="98">
        <f>VLOOKUP(D192,Poeng!$B$10:$AB$252,Poeng!AB$1,FALSE)</f>
        <v>1</v>
      </c>
      <c r="G192" s="29"/>
      <c r="H192" s="99">
        <f>VLOOKUP(D192,Poeng!$B$10:$AE$252,Poeng!AE$1,FALSE)</f>
        <v>0</v>
      </c>
      <c r="I192" s="100" t="str">
        <f>VLOOKUP(D192,Poeng!$B$10:$BE$252,Poeng!BE$1,FALSE)</f>
        <v>N/A</v>
      </c>
      <c r="J192" s="66"/>
      <c r="K192" s="233"/>
      <c r="L192" s="633"/>
      <c r="M192" s="648"/>
      <c r="N192" s="69"/>
      <c r="O192" s="99">
        <f>VLOOKUP(D192,Poeng!$B$10:$BC$252,Poeng!AF$1,FALSE)</f>
        <v>0</v>
      </c>
      <c r="P192" s="99" t="str">
        <f>VLOOKUP(D192,Poeng!$B$10:$BH$252,Poeng!BH$1,FALSE)</f>
        <v>N/A</v>
      </c>
      <c r="Q192" s="583"/>
      <c r="R192" s="584"/>
      <c r="S192" s="577"/>
      <c r="T192" s="268"/>
      <c r="U192" s="69"/>
      <c r="V192" s="99">
        <f>VLOOKUP(D192,Poeng!$B$10:$BC$252,Poeng!AG$1,FALSE)</f>
        <v>0</v>
      </c>
      <c r="W192" s="99" t="str">
        <f>VLOOKUP(D192,Poeng!$B$10:$BK$252,Poeng!BK$1,FALSE)</f>
        <v>N/A</v>
      </c>
      <c r="X192" s="67"/>
      <c r="Y192" s="66"/>
      <c r="Z192" s="577"/>
      <c r="AA192" s="108"/>
      <c r="AB192" s="559"/>
      <c r="AC192" s="17">
        <f t="shared" si="21"/>
        <v>1</v>
      </c>
      <c r="AD192" s="1" t="e">
        <f>VLOOKUP(K192,'Assessment Details'!$O$45:$P$48,2,FALSE)</f>
        <v>#N/A</v>
      </c>
      <c r="AE192" s="1" t="e">
        <f>VLOOKUP(R192,'Assessment Details'!$O$45:$P$48,2,FALSE)</f>
        <v>#N/A</v>
      </c>
      <c r="AF192" s="1" t="e">
        <f>VLOOKUP(Y192,'Assessment Details'!$O$45:$P$48,2,FALSE)</f>
        <v>#N/A</v>
      </c>
      <c r="AI192" s="56"/>
      <c r="AJ192" s="522"/>
      <c r="AK192" s="56"/>
      <c r="AL192" s="56"/>
      <c r="AM192" s="56"/>
      <c r="AN192" s="56"/>
      <c r="AO192" s="56"/>
      <c r="AP192" s="56"/>
      <c r="AS192" s="17"/>
      <c r="AT192" s="17"/>
      <c r="AU192" s="17"/>
      <c r="AV192" s="17"/>
      <c r="AW192" s="17"/>
      <c r="AX192" s="17"/>
      <c r="AZ192" s="559"/>
    </row>
    <row r="193" spans="1:52" ht="15.75" thickBot="1">
      <c r="A193" s="830">
        <v>184</v>
      </c>
      <c r="B193" s="831" t="s">
        <v>461</v>
      </c>
      <c r="C193" s="842"/>
      <c r="D193" s="653" t="s">
        <v>497</v>
      </c>
      <c r="E193" s="289" t="s">
        <v>498</v>
      </c>
      <c r="F193" s="101">
        <f>LE_Credits</f>
        <v>19</v>
      </c>
      <c r="G193" s="106"/>
      <c r="H193" s="102">
        <f>LE_cont_tot</f>
        <v>0</v>
      </c>
      <c r="I193" s="693" t="str">
        <f>"Credits achieved: "&amp;Lue_tot_user</f>
        <v>Credits achieved: 0</v>
      </c>
      <c r="J193" s="109"/>
      <c r="K193" s="234"/>
      <c r="L193" s="585"/>
      <c r="M193" s="648"/>
      <c r="N193" s="326"/>
      <c r="O193" s="102">
        <f>VLOOKUP(D193,Poeng!$B$10:$BC$252,Poeng!AF$1,FALSE)</f>
        <v>0</v>
      </c>
      <c r="P193" s="693" t="str">
        <f>"Credits achieved: "&amp;Lue_d_user</f>
        <v>Credits achieved: 0</v>
      </c>
      <c r="Q193" s="586"/>
      <c r="R193" s="587"/>
      <c r="S193" s="585"/>
      <c r="T193" s="268"/>
      <c r="U193" s="326"/>
      <c r="V193" s="102">
        <f>VLOOKUP(D193,Poeng!$B$10:$BC$252,Poeng!AG$1,FALSE)</f>
        <v>0</v>
      </c>
      <c r="W193" s="693" t="str">
        <f>"Credits achieved: "&amp;Lue_c_user</f>
        <v>Credits achieved: 0</v>
      </c>
      <c r="X193" s="325"/>
      <c r="Y193" s="111"/>
      <c r="Z193" s="585"/>
      <c r="AA193" s="108"/>
      <c r="AB193" s="496"/>
      <c r="AC193" s="17">
        <f t="shared" si="21"/>
        <v>1</v>
      </c>
      <c r="AD193" s="230">
        <v>0</v>
      </c>
      <c r="AE193" s="230">
        <v>0</v>
      </c>
      <c r="AF193" s="230">
        <v>0</v>
      </c>
      <c r="AI193" s="56"/>
      <c r="AJ193" s="522" t="s">
        <v>498</v>
      </c>
      <c r="AK193" s="56"/>
      <c r="AL193" s="56"/>
      <c r="AM193" s="56"/>
      <c r="AN193" s="56"/>
      <c r="AO193" s="56"/>
      <c r="AP193" s="56"/>
      <c r="AS193" s="17" t="str">
        <f t="shared" si="24"/>
        <v>N/A</v>
      </c>
      <c r="AT193" s="17" t="str">
        <f t="shared" si="25"/>
        <v>N/A</v>
      </c>
      <c r="AU193" s="17" t="str">
        <f t="shared" si="26"/>
        <v>N/A</v>
      </c>
      <c r="AV193" s="17"/>
      <c r="AW193" s="17"/>
      <c r="AX193" s="17"/>
      <c r="AZ193" s="496"/>
    </row>
    <row r="194" spans="1:52">
      <c r="A194" s="830">
        <v>185</v>
      </c>
      <c r="B194" s="831" t="s">
        <v>461</v>
      </c>
      <c r="C194" s="271"/>
      <c r="D194" s="653"/>
      <c r="E194" s="270"/>
      <c r="F194" s="271"/>
      <c r="G194" s="272"/>
      <c r="H194" s="271"/>
      <c r="I194" s="271"/>
      <c r="J194" s="273"/>
      <c r="K194" s="272"/>
      <c r="L194" s="588"/>
      <c r="M194" s="648"/>
      <c r="N194" s="274"/>
      <c r="O194" s="274"/>
      <c r="P194" s="588"/>
      <c r="Q194" s="588"/>
      <c r="R194" s="589"/>
      <c r="S194" s="588"/>
      <c r="T194" s="268"/>
      <c r="U194" s="274"/>
      <c r="V194" s="274"/>
      <c r="W194" s="588"/>
      <c r="X194" s="273"/>
      <c r="Y194" s="274"/>
      <c r="Z194" s="588"/>
      <c r="AA194" s="108"/>
      <c r="AB194" s="273"/>
      <c r="AC194" s="17">
        <f t="shared" si="21"/>
        <v>1</v>
      </c>
      <c r="AD194" s="231">
        <v>0</v>
      </c>
      <c r="AE194" s="231">
        <v>0</v>
      </c>
      <c r="AF194" s="231">
        <v>0</v>
      </c>
      <c r="AI194" s="56"/>
      <c r="AJ194" s="522"/>
      <c r="AK194" s="56"/>
      <c r="AL194" s="56"/>
      <c r="AM194" s="56"/>
      <c r="AN194" s="56"/>
      <c r="AO194" s="56"/>
      <c r="AP194" s="56"/>
      <c r="AS194" s="17" t="str">
        <f t="shared" si="24"/>
        <v>N/A</v>
      </c>
      <c r="AT194" s="17" t="str">
        <f t="shared" si="25"/>
        <v>N/A</v>
      </c>
      <c r="AU194" s="17" t="str">
        <f t="shared" si="26"/>
        <v>N/A</v>
      </c>
      <c r="AV194" s="17"/>
      <c r="AW194" s="17"/>
      <c r="AX194" s="17"/>
      <c r="AZ194" s="273"/>
    </row>
    <row r="195" spans="1:52" ht="18.75">
      <c r="A195" s="830">
        <v>186</v>
      </c>
      <c r="B195" s="831" t="s">
        <v>499</v>
      </c>
      <c r="C195" s="837"/>
      <c r="D195" s="653"/>
      <c r="E195" s="275" t="s">
        <v>500</v>
      </c>
      <c r="F195" s="264"/>
      <c r="G195" s="265"/>
      <c r="H195" s="284"/>
      <c r="I195" s="264"/>
      <c r="J195" s="276"/>
      <c r="K195" s="277"/>
      <c r="L195" s="591"/>
      <c r="M195" s="648"/>
      <c r="N195" s="287"/>
      <c r="O195" s="280"/>
      <c r="P195" s="581"/>
      <c r="Q195" s="592"/>
      <c r="R195" s="593"/>
      <c r="S195" s="594"/>
      <c r="T195" s="268"/>
      <c r="U195" s="287"/>
      <c r="V195" s="286"/>
      <c r="W195" s="581"/>
      <c r="X195" s="276"/>
      <c r="Y195" s="286"/>
      <c r="Z195" s="591"/>
      <c r="AA195" s="108"/>
      <c r="AB195" s="285"/>
      <c r="AC195" s="17">
        <f t="shared" si="21"/>
        <v>1</v>
      </c>
      <c r="AD195" s="229">
        <v>0</v>
      </c>
      <c r="AE195" s="229">
        <v>0</v>
      </c>
      <c r="AF195" s="229">
        <v>0</v>
      </c>
      <c r="AI195" s="56"/>
      <c r="AJ195" s="522" t="s">
        <v>500</v>
      </c>
      <c r="AK195" s="56"/>
      <c r="AL195" s="56"/>
      <c r="AM195" s="56"/>
      <c r="AN195" s="56"/>
      <c r="AO195" s="56"/>
      <c r="AP195" s="56"/>
      <c r="AS195" s="17" t="str">
        <f t="shared" si="24"/>
        <v>N/A</v>
      </c>
      <c r="AT195" s="17" t="str">
        <f t="shared" si="25"/>
        <v>N/A</v>
      </c>
      <c r="AU195" s="17" t="str">
        <f t="shared" si="26"/>
        <v>N/A</v>
      </c>
      <c r="AV195" s="17"/>
      <c r="AW195" s="17"/>
      <c r="AX195" s="17"/>
      <c r="AZ195" s="285"/>
    </row>
    <row r="196" spans="1:52">
      <c r="A196" s="830">
        <v>187</v>
      </c>
      <c r="B196" s="831" t="s">
        <v>499</v>
      </c>
      <c r="C196" s="739" t="s">
        <v>501</v>
      </c>
      <c r="D196" s="653" t="s">
        <v>501</v>
      </c>
      <c r="E196" s="686" t="str">
        <f>VLOOKUP(D196,Poeng!$B$10:$R$252,Poeng!E$1,FALSE)</f>
        <v>POL 01 Impacts of refrigerants</v>
      </c>
      <c r="F196" s="691">
        <f>VLOOKUP(D196,Poeng!$B$10:$AB$252,Poeng!AB$1,FALSE)</f>
        <v>3</v>
      </c>
      <c r="G196" s="783"/>
      <c r="H196" s="692" t="str">
        <f>VLOOKUP(D196,Poeng!$B$10:$AI$252,Poeng!AI$1,FALSE)&amp;" c. "&amp;ROUND(VLOOKUP(D196,Poeng!$B$10:$AE$252,Poeng!AE$1,FALSE)*100,1)&amp;" %"</f>
        <v>0 c. 0 %</v>
      </c>
      <c r="I196" s="738" t="str">
        <f>VLOOKUP(D196,Poeng!$B$10:$BE$252,Poeng!BE$1,FALSE)</f>
        <v>N/A</v>
      </c>
      <c r="J196" s="700"/>
      <c r="K196" s="701"/>
      <c r="L196" s="702"/>
      <c r="M196" s="648"/>
      <c r="N196" s="784"/>
      <c r="O196" s="846" t="str">
        <f>VLOOKUP(D196,Poeng!$B$10:$BC$252,Poeng!AJ$1,FALSE)&amp;" c. "&amp;ROUND(VLOOKUP(D196,Poeng!$B$10:$BC$252,Poeng!AF$1,FALSE)*100,1)&amp;" %"</f>
        <v>0 c. 0 %</v>
      </c>
      <c r="P196" s="99" t="str">
        <f>VLOOKUP(D196,Poeng!$B$10:$BH$252,Poeng!BH$1,FALSE)</f>
        <v>N/A</v>
      </c>
      <c r="Q196" s="583"/>
      <c r="R196" s="584"/>
      <c r="S196" s="577"/>
      <c r="T196" s="268"/>
      <c r="U196" s="784"/>
      <c r="V196" s="703" t="str">
        <f>VLOOKUP(D196,Poeng!$B$10:$BC$252,Poeng!AK$1,FALSE)&amp;" c. "&amp;ROUND(VLOOKUP(D196,Poeng!$B$10:$BC$252,Poeng!AG$1,FALSE)*100,1)&amp;" %"</f>
        <v>0 c. 0 %</v>
      </c>
      <c r="W196" s="99" t="str">
        <f>VLOOKUP(D196,Poeng!$B$10:$BK$252,Poeng!BK$1,FALSE)</f>
        <v>N/A</v>
      </c>
      <c r="X196" s="67"/>
      <c r="Y196" s="66"/>
      <c r="Z196" s="577"/>
      <c r="AA196" s="108"/>
      <c r="AB196" s="495" t="s">
        <v>127</v>
      </c>
      <c r="AC196" s="17">
        <f t="shared" si="21"/>
        <v>1</v>
      </c>
      <c r="AD196" s="1" t="e">
        <f>VLOOKUP(K196,'Assessment Details'!$O$45:$P$48,2,FALSE)</f>
        <v>#N/A</v>
      </c>
      <c r="AE196" s="1" t="e">
        <f>VLOOKUP(R196,'Assessment Details'!$O$45:$P$48,2,FALSE)</f>
        <v>#N/A</v>
      </c>
      <c r="AF196" s="1" t="e">
        <f>VLOOKUP(Y196,'Assessment Details'!$O$45:$P$48,2,FALSE)</f>
        <v>#N/A</v>
      </c>
      <c r="AI196" s="56" t="str">
        <f>ais_ja</f>
        <v>Ja</v>
      </c>
      <c r="AJ196" s="522" t="s">
        <v>502</v>
      </c>
      <c r="AK196" s="501" t="s">
        <v>273</v>
      </c>
      <c r="AL196" s="501" t="s">
        <v>315</v>
      </c>
      <c r="AM196" s="501" t="s">
        <v>275</v>
      </c>
      <c r="AN196" s="505" t="s">
        <v>503</v>
      </c>
      <c r="AO196" s="56"/>
      <c r="AP196" s="56"/>
      <c r="AR196" s="1" t="s">
        <v>127</v>
      </c>
      <c r="AS196" s="17" t="str">
        <f t="shared" si="24"/>
        <v>N/A</v>
      </c>
      <c r="AT196" s="17" t="str">
        <f t="shared" si="25"/>
        <v>N/A</v>
      </c>
      <c r="AU196" s="17" t="str">
        <f t="shared" si="26"/>
        <v>N/A</v>
      </c>
      <c r="AV196" s="17" t="str">
        <f t="shared" si="26"/>
        <v>N/A</v>
      </c>
      <c r="AW196" s="17"/>
      <c r="AX196" s="17"/>
      <c r="AZ196" s="495"/>
    </row>
    <row r="197" spans="1:52">
      <c r="A197" s="830">
        <v>188</v>
      </c>
      <c r="B197" s="831" t="s">
        <v>499</v>
      </c>
      <c r="C197" s="100" t="str">
        <f t="shared" si="19"/>
        <v>POL 01</v>
      </c>
      <c r="D197" s="653" t="s">
        <v>504</v>
      </c>
      <c r="E197" s="687" t="str">
        <f>VLOOKUP(D197,Poeng!$B$10:$R$252,Poeng!E$1,FALSE)</f>
        <v>No refrigerants in the building</v>
      </c>
      <c r="F197" s="98">
        <f>VLOOKUP(D197,Poeng!$B$10:$AB$252,Poeng!AB$1,FALSE)</f>
        <v>3</v>
      </c>
      <c r="G197" s="29"/>
      <c r="H197" s="99">
        <f>VLOOKUP(D197,Poeng!$B$10:$AE$252,Poeng!AE$1,FALSE)</f>
        <v>0</v>
      </c>
      <c r="I197" s="100" t="str">
        <f>VLOOKUP(D197,Poeng!$B$10:$BE$252,Poeng!BE$1,FALSE)</f>
        <v>N/A</v>
      </c>
      <c r="J197" s="66"/>
      <c r="K197" s="233"/>
      <c r="L197" s="633"/>
      <c r="M197" s="648"/>
      <c r="N197" s="69"/>
      <c r="O197" s="99">
        <f>VLOOKUP(D197,Poeng!$B$10:$BC$252,Poeng!AF$1,FALSE)</f>
        <v>0</v>
      </c>
      <c r="P197" s="99" t="str">
        <f>VLOOKUP(D197,Poeng!$B$10:$BH$252,Poeng!BH$1,FALSE)</f>
        <v>N/A</v>
      </c>
      <c r="Q197" s="583"/>
      <c r="R197" s="584"/>
      <c r="S197" s="577"/>
      <c r="T197" s="268"/>
      <c r="U197" s="69"/>
      <c r="V197" s="99">
        <f>VLOOKUP(D197,Poeng!$B$10:$BC$252,Poeng!AG$1,FALSE)</f>
        <v>0</v>
      </c>
      <c r="W197" s="99" t="str">
        <f>VLOOKUP(D197,Poeng!$B$10:$BK$252,Poeng!BK$1,FALSE)</f>
        <v>N/A</v>
      </c>
      <c r="X197" s="67"/>
      <c r="Y197" s="66"/>
      <c r="Z197" s="577"/>
      <c r="AA197" s="108"/>
      <c r="AB197" s="495"/>
      <c r="AC197" s="17">
        <f t="shared" si="21"/>
        <v>1</v>
      </c>
      <c r="AD197" s="1" t="e">
        <f>VLOOKUP(K197,'Assessment Details'!$O$45:$P$48,2,FALSE)</f>
        <v>#N/A</v>
      </c>
      <c r="AE197" s="1" t="e">
        <f>VLOOKUP(R197,'Assessment Details'!$O$45:$P$48,2,FALSE)</f>
        <v>#N/A</v>
      </c>
      <c r="AF197" s="1" t="e">
        <f>VLOOKUP(Y197,'Assessment Details'!$O$45:$P$48,2,FALSE)</f>
        <v>#N/A</v>
      </c>
      <c r="AI197" s="56"/>
      <c r="AJ197" s="522"/>
      <c r="AK197" s="501"/>
      <c r="AL197" s="501"/>
      <c r="AM197" s="501"/>
      <c r="AN197" s="505"/>
      <c r="AO197" s="56"/>
      <c r="AP197" s="56"/>
      <c r="AS197" s="17"/>
      <c r="AT197" s="17"/>
      <c r="AU197" s="17"/>
      <c r="AV197" s="17"/>
      <c r="AW197" s="17"/>
      <c r="AX197" s="17"/>
      <c r="AZ197" s="495"/>
    </row>
    <row r="198" spans="1:52">
      <c r="A198" s="830">
        <v>189</v>
      </c>
      <c r="B198" s="831" t="s">
        <v>499</v>
      </c>
      <c r="C198" s="100" t="str">
        <f t="shared" si="19"/>
        <v>POL 01</v>
      </c>
      <c r="D198" s="653" t="s">
        <v>505</v>
      </c>
      <c r="E198" s="687" t="str">
        <f>VLOOKUP(D198,Poeng!$B$10:$R$252,Poeng!E$1,FALSE)</f>
        <v>Pre-requisite: impact of refrigerants</v>
      </c>
      <c r="F198" s="98">
        <f>VLOOKUP(D198,Poeng!$B$10:$AB$252,Poeng!AB$1,FALSE)</f>
        <v>0</v>
      </c>
      <c r="G198" s="29"/>
      <c r="H198" s="99" t="str">
        <f>VLOOKUP(D198,Poeng!$B$10:$AE$252,Poeng!AE$1,FALSE)</f>
        <v>-</v>
      </c>
      <c r="I198" s="100" t="str">
        <f>VLOOKUP(D198,Poeng!$B$10:$BE$252,Poeng!BE$1,FALSE)</f>
        <v>N/A</v>
      </c>
      <c r="J198" s="66"/>
      <c r="K198" s="233"/>
      <c r="L198" s="633"/>
      <c r="M198" s="648"/>
      <c r="N198" s="69"/>
      <c r="O198" s="99" t="str">
        <f>VLOOKUP(D198,Poeng!$B$10:$BC$252,Poeng!AF$1,FALSE)</f>
        <v>-</v>
      </c>
      <c r="P198" s="99" t="str">
        <f>VLOOKUP(D198,Poeng!$B$10:$BH$252,Poeng!BH$1,FALSE)</f>
        <v>N/A</v>
      </c>
      <c r="Q198" s="583"/>
      <c r="R198" s="584"/>
      <c r="S198" s="577"/>
      <c r="T198" s="268"/>
      <c r="U198" s="69"/>
      <c r="V198" s="99" t="str">
        <f>VLOOKUP(D198,Poeng!$B$10:$BC$252,Poeng!AG$1,FALSE)</f>
        <v>-</v>
      </c>
      <c r="W198" s="99" t="str">
        <f>VLOOKUP(D198,Poeng!$B$10:$BK$252,Poeng!BK$1,FALSE)</f>
        <v>N/A</v>
      </c>
      <c r="X198" s="67"/>
      <c r="Y198" s="66"/>
      <c r="Z198" s="577"/>
      <c r="AA198" s="108"/>
      <c r="AB198" s="495"/>
      <c r="AC198" s="17">
        <f t="shared" si="21"/>
        <v>2</v>
      </c>
      <c r="AD198" s="1" t="e">
        <f>VLOOKUP(K198,'Assessment Details'!$O$45:$P$48,2,FALSE)</f>
        <v>#N/A</v>
      </c>
      <c r="AE198" s="1" t="e">
        <f>VLOOKUP(R198,'Assessment Details'!$O$45:$P$48,2,FALSE)</f>
        <v>#N/A</v>
      </c>
      <c r="AF198" s="1" t="e">
        <f>VLOOKUP(Y198,'Assessment Details'!$O$45:$P$48,2,FALSE)</f>
        <v>#N/A</v>
      </c>
      <c r="AI198" s="56"/>
      <c r="AJ198" s="522"/>
      <c r="AK198" s="501"/>
      <c r="AL198" s="501"/>
      <c r="AM198" s="501"/>
      <c r="AN198" s="505"/>
      <c r="AO198" s="56"/>
      <c r="AP198" s="56"/>
      <c r="AS198" s="17"/>
      <c r="AT198" s="17"/>
      <c r="AU198" s="17"/>
      <c r="AV198" s="17"/>
      <c r="AW198" s="17"/>
      <c r="AX198" s="17"/>
      <c r="AZ198" s="495"/>
    </row>
    <row r="199" spans="1:52">
      <c r="A199" s="830">
        <v>190</v>
      </c>
      <c r="B199" s="831" t="s">
        <v>499</v>
      </c>
      <c r="C199" s="100" t="str">
        <f t="shared" si="19"/>
        <v>POL 01</v>
      </c>
      <c r="D199" s="653" t="s">
        <v>506</v>
      </c>
      <c r="E199" s="687" t="str">
        <f>VLOOKUP(D199,Poeng!$B$10:$R$252,Poeng!E$1,FALSE)</f>
        <v>Impact of refrigerants</v>
      </c>
      <c r="F199" s="98">
        <f>VLOOKUP(D199,Poeng!$B$10:$AB$252,Poeng!AB$1,FALSE)</f>
        <v>0</v>
      </c>
      <c r="G199" s="29"/>
      <c r="H199" s="99">
        <f>VLOOKUP(D199,Poeng!$B$10:$AE$252,Poeng!AE$1,FALSE)</f>
        <v>0</v>
      </c>
      <c r="I199" s="100" t="str">
        <f>VLOOKUP(D199,Poeng!$B$10:$BE$252,Poeng!BE$1,FALSE)</f>
        <v>N/A</v>
      </c>
      <c r="J199" s="66"/>
      <c r="K199" s="233"/>
      <c r="L199" s="633"/>
      <c r="M199" s="648"/>
      <c r="N199" s="69"/>
      <c r="O199" s="99">
        <f>VLOOKUP(D199,Poeng!$B$10:$BC$252,Poeng!AF$1,FALSE)</f>
        <v>0</v>
      </c>
      <c r="P199" s="99" t="str">
        <f>VLOOKUP(D199,Poeng!$B$10:$BH$252,Poeng!BH$1,FALSE)</f>
        <v>N/A</v>
      </c>
      <c r="Q199" s="583"/>
      <c r="R199" s="584"/>
      <c r="S199" s="577"/>
      <c r="T199" s="268"/>
      <c r="U199" s="69"/>
      <c r="V199" s="99">
        <f>VLOOKUP(D199,Poeng!$B$10:$BC$252,Poeng!AG$1,FALSE)</f>
        <v>0</v>
      </c>
      <c r="W199" s="99" t="str">
        <f>VLOOKUP(D199,Poeng!$B$10:$BK$252,Poeng!BK$1,FALSE)</f>
        <v>N/A</v>
      </c>
      <c r="X199" s="67"/>
      <c r="Y199" s="66"/>
      <c r="Z199" s="577"/>
      <c r="AA199" s="108"/>
      <c r="AB199" s="495"/>
      <c r="AC199" s="17">
        <f t="shared" si="21"/>
        <v>2</v>
      </c>
      <c r="AD199" s="1" t="e">
        <f>VLOOKUP(K199,'Assessment Details'!$O$45:$P$48,2,FALSE)</f>
        <v>#N/A</v>
      </c>
      <c r="AE199" s="1" t="e">
        <f>VLOOKUP(R199,'Assessment Details'!$O$45:$P$48,2,FALSE)</f>
        <v>#N/A</v>
      </c>
      <c r="AF199" s="1" t="e">
        <f>VLOOKUP(Y199,'Assessment Details'!$O$45:$P$48,2,FALSE)</f>
        <v>#N/A</v>
      </c>
      <c r="AI199" s="56"/>
      <c r="AJ199" s="522"/>
      <c r="AK199" s="501"/>
      <c r="AL199" s="501"/>
      <c r="AM199" s="501"/>
      <c r="AN199" s="505"/>
      <c r="AO199" s="56"/>
      <c r="AP199" s="56"/>
      <c r="AS199" s="17"/>
      <c r="AT199" s="17"/>
      <c r="AU199" s="17"/>
      <c r="AV199" s="17"/>
      <c r="AW199" s="17"/>
      <c r="AX199" s="17"/>
      <c r="AZ199" s="495"/>
    </row>
    <row r="200" spans="1:52">
      <c r="A200" s="830">
        <v>191</v>
      </c>
      <c r="B200" s="831" t="s">
        <v>499</v>
      </c>
      <c r="C200" s="100" t="str">
        <f>C198</f>
        <v>POL 01</v>
      </c>
      <c r="D200" s="653" t="s">
        <v>507</v>
      </c>
      <c r="E200" s="687" t="str">
        <f>VLOOKUP(D200,Poeng!$B$10:$R$252,Poeng!E$1,FALSE)</f>
        <v>Leak detection</v>
      </c>
      <c r="F200" s="98">
        <f>VLOOKUP(D200,Poeng!$B$10:$AB$252,Poeng!AB$1,FALSE)</f>
        <v>0</v>
      </c>
      <c r="G200" s="29"/>
      <c r="H200" s="99">
        <f>VLOOKUP(D200,Poeng!$B$10:$AE$252,Poeng!AE$1,FALSE)</f>
        <v>0</v>
      </c>
      <c r="I200" s="100" t="str">
        <f>VLOOKUP(D200,Poeng!$B$10:$BE$252,Poeng!BE$1,FALSE)</f>
        <v>N/A</v>
      </c>
      <c r="J200" s="66"/>
      <c r="K200" s="233"/>
      <c r="L200" s="633"/>
      <c r="M200" s="648"/>
      <c r="N200" s="69"/>
      <c r="O200" s="99">
        <f>VLOOKUP(D200,Poeng!$B$10:$BC$252,Poeng!AF$1,FALSE)</f>
        <v>0</v>
      </c>
      <c r="P200" s="99" t="str">
        <f>VLOOKUP(D200,Poeng!$B$10:$BH$252,Poeng!BH$1,FALSE)</f>
        <v>N/A</v>
      </c>
      <c r="Q200" s="583"/>
      <c r="R200" s="584"/>
      <c r="S200" s="577"/>
      <c r="T200" s="268"/>
      <c r="U200" s="69"/>
      <c r="V200" s="99">
        <f>VLOOKUP(D200,Poeng!$B$10:$BC$252,Poeng!AG$1,FALSE)</f>
        <v>0</v>
      </c>
      <c r="W200" s="99" t="str">
        <f>VLOOKUP(D200,Poeng!$B$10:$BK$252,Poeng!BK$1,FALSE)</f>
        <v>N/A</v>
      </c>
      <c r="X200" s="67"/>
      <c r="Y200" s="66"/>
      <c r="Z200" s="577"/>
      <c r="AA200" s="108"/>
      <c r="AB200" s="495"/>
      <c r="AC200" s="17">
        <f t="shared" si="21"/>
        <v>2</v>
      </c>
      <c r="AD200" s="1" t="e">
        <f>VLOOKUP(K200,'Assessment Details'!$O$45:$P$48,2,FALSE)</f>
        <v>#N/A</v>
      </c>
      <c r="AE200" s="1" t="e">
        <f>VLOOKUP(R200,'Assessment Details'!$O$45:$P$48,2,FALSE)</f>
        <v>#N/A</v>
      </c>
      <c r="AF200" s="1" t="e">
        <f>VLOOKUP(Y200,'Assessment Details'!$O$45:$P$48,2,FALSE)</f>
        <v>#N/A</v>
      </c>
      <c r="AI200" s="56"/>
      <c r="AJ200" s="522"/>
      <c r="AK200" s="501"/>
      <c r="AL200" s="501"/>
      <c r="AM200" s="501"/>
      <c r="AN200" s="505"/>
      <c r="AO200" s="56"/>
      <c r="AP200" s="56"/>
      <c r="AS200" s="17"/>
      <c r="AT200" s="17"/>
      <c r="AU200" s="17"/>
      <c r="AV200" s="17"/>
      <c r="AW200" s="17"/>
      <c r="AX200" s="17"/>
      <c r="AZ200" s="495"/>
    </row>
    <row r="201" spans="1:52">
      <c r="A201" s="830">
        <v>192</v>
      </c>
      <c r="B201" s="831" t="s">
        <v>499</v>
      </c>
      <c r="C201" s="739" t="s">
        <v>508</v>
      </c>
      <c r="D201" s="653" t="s">
        <v>508</v>
      </c>
      <c r="E201" s="686" t="str">
        <f>VLOOKUP(D201,Poeng!$B$10:$R$252,Poeng!E$1,FALSE)</f>
        <v>POL 02 Local air quality</v>
      </c>
      <c r="F201" s="691">
        <f>VLOOKUP(D201,Poeng!$B$10:$AB$252,Poeng!AB$1,FALSE)</f>
        <v>2</v>
      </c>
      <c r="G201" s="784"/>
      <c r="H201" s="692" t="str">
        <f>VLOOKUP(D201,Poeng!$B$10:$AI$252,Poeng!AI$1,FALSE)&amp;" c. "&amp;ROUND(VLOOKUP(D201,Poeng!$B$10:$AE$252,Poeng!AE$1,FALSE)*100,1)&amp;" %"</f>
        <v>0 c. 0 %</v>
      </c>
      <c r="I201" s="739" t="str">
        <f>VLOOKUP(D201,Poeng!$B$10:$BE$252,Poeng!BE$1,FALSE)</f>
        <v>N/A</v>
      </c>
      <c r="J201" s="66"/>
      <c r="K201" s="233"/>
      <c r="L201" s="633"/>
      <c r="M201" s="648"/>
      <c r="N201" s="784"/>
      <c r="O201" s="703" t="str">
        <f>VLOOKUP(D201,Poeng!$B$10:$BC$252,Poeng!AJ$1,FALSE)&amp;" c. "&amp;ROUND(VLOOKUP(D201,Poeng!$B$10:$BC$252,Poeng!AF$1,FALSE)*100,1)&amp;" %"</f>
        <v>0 c. 0 %</v>
      </c>
      <c r="P201" s="99" t="str">
        <f>VLOOKUP(D201,Poeng!$B$10:$BH$252,Poeng!BH$1,FALSE)</f>
        <v>N/A</v>
      </c>
      <c r="Q201" s="583"/>
      <c r="R201" s="584"/>
      <c r="S201" s="577"/>
      <c r="T201" s="268"/>
      <c r="U201" s="784"/>
      <c r="V201" s="703" t="str">
        <f>VLOOKUP(D201,Poeng!$B$10:$BC$252,Poeng!AK$1,FALSE)&amp;" c. "&amp;ROUND(VLOOKUP(D201,Poeng!$B$10:$BC$252,Poeng!AG$1,FALSE)*100,1)&amp;" %"</f>
        <v>0 c. 0 %</v>
      </c>
      <c r="W201" s="99" t="str">
        <f>VLOOKUP(D201,Poeng!$B$10:$BK$252,Poeng!BK$1,FALSE)</f>
        <v>N/A</v>
      </c>
      <c r="X201" s="67"/>
      <c r="Y201" s="66"/>
      <c r="Z201" s="577"/>
      <c r="AA201" s="108"/>
      <c r="AB201" s="495" t="s">
        <v>127</v>
      </c>
      <c r="AC201" s="17">
        <f t="shared" si="21"/>
        <v>1</v>
      </c>
      <c r="AD201" s="1" t="e">
        <f>VLOOKUP(K201,'Assessment Details'!$O$45:$P$48,2,FALSE)</f>
        <v>#N/A</v>
      </c>
      <c r="AE201" s="1" t="e">
        <f>VLOOKUP(R201,'Assessment Details'!$O$45:$P$48,2,FALSE)</f>
        <v>#N/A</v>
      </c>
      <c r="AF201" s="1" t="e">
        <f>VLOOKUP(Y201,'Assessment Details'!$O$45:$P$48,2,FALSE)</f>
        <v>#N/A</v>
      </c>
      <c r="AI201" s="56" t="str">
        <f>ais_ja</f>
        <v>Ja</v>
      </c>
      <c r="AJ201" s="522" t="s">
        <v>509</v>
      </c>
      <c r="AK201" s="501" t="s">
        <v>273</v>
      </c>
      <c r="AL201" s="501" t="s">
        <v>315</v>
      </c>
      <c r="AM201" s="501" t="s">
        <v>275</v>
      </c>
      <c r="AN201" s="56"/>
      <c r="AO201" s="56"/>
      <c r="AP201" s="56"/>
      <c r="AR201" s="1" t="s">
        <v>127</v>
      </c>
      <c r="AS201" s="17" t="str">
        <f t="shared" si="24"/>
        <v>N/A</v>
      </c>
      <c r="AT201" s="17" t="str">
        <f t="shared" si="25"/>
        <v>N/A</v>
      </c>
      <c r="AU201" s="17" t="str">
        <f t="shared" si="26"/>
        <v>N/A</v>
      </c>
      <c r="AV201" s="17"/>
      <c r="AW201" s="17"/>
      <c r="AX201" s="17"/>
      <c r="AZ201" s="495"/>
    </row>
    <row r="202" spans="1:52">
      <c r="A202" s="830">
        <v>193</v>
      </c>
      <c r="B202" s="831" t="s">
        <v>499</v>
      </c>
      <c r="C202" s="100" t="str">
        <f t="shared" si="19"/>
        <v>POL 02</v>
      </c>
      <c r="D202" s="653" t="s">
        <v>510</v>
      </c>
      <c r="E202" s="687" t="str">
        <f>VLOOKUP(D202,Poeng!$B$10:$R$252,Poeng!E$1,FALSE)</f>
        <v>Non-combustion heating and hot water system</v>
      </c>
      <c r="F202" s="98">
        <f>VLOOKUP(D202,Poeng!$B$10:$AB$252,Poeng!AB$1,FALSE)</f>
        <v>2</v>
      </c>
      <c r="G202" s="29"/>
      <c r="H202" s="99">
        <f>VLOOKUP(D202,Poeng!$B$10:$AE$252,Poeng!AE$1,FALSE)</f>
        <v>0</v>
      </c>
      <c r="I202" s="100" t="str">
        <f>VLOOKUP(D202,Poeng!$B$10:$BE$252,Poeng!BE$1,FALSE)</f>
        <v>N/A</v>
      </c>
      <c r="J202" s="66"/>
      <c r="K202" s="233"/>
      <c r="L202" s="633"/>
      <c r="M202" s="648"/>
      <c r="N202" s="69"/>
      <c r="O202" s="99">
        <f>VLOOKUP(D202,Poeng!$B$10:$BC$252,Poeng!AF$1,FALSE)</f>
        <v>0</v>
      </c>
      <c r="P202" s="99" t="str">
        <f>VLOOKUP(D202,Poeng!$B$10:$BH$252,Poeng!BH$1,FALSE)</f>
        <v>N/A</v>
      </c>
      <c r="Q202" s="583"/>
      <c r="R202" s="584"/>
      <c r="S202" s="577"/>
      <c r="T202" s="268"/>
      <c r="U202" s="69"/>
      <c r="V202" s="99">
        <f>VLOOKUP(D202,Poeng!$B$10:$BC$252,Poeng!AG$1,FALSE)</f>
        <v>0</v>
      </c>
      <c r="W202" s="99" t="str">
        <f>VLOOKUP(D202,Poeng!$B$10:$BK$252,Poeng!BK$1,FALSE)</f>
        <v>N/A</v>
      </c>
      <c r="X202" s="67"/>
      <c r="Y202" s="66"/>
      <c r="Z202" s="577"/>
      <c r="AA202" s="108"/>
      <c r="AB202" s="495"/>
      <c r="AC202" s="17">
        <f t="shared" si="21"/>
        <v>1</v>
      </c>
      <c r="AD202" s="1" t="e">
        <f>VLOOKUP(K202,'Assessment Details'!$O$45:$P$48,2,FALSE)</f>
        <v>#N/A</v>
      </c>
      <c r="AE202" s="1" t="e">
        <f>VLOOKUP(R202,'Assessment Details'!$O$45:$P$48,2,FALSE)</f>
        <v>#N/A</v>
      </c>
      <c r="AF202" s="1" t="e">
        <f>VLOOKUP(Y202,'Assessment Details'!$O$45:$P$48,2,FALSE)</f>
        <v>#N/A</v>
      </c>
      <c r="AI202" s="56"/>
      <c r="AJ202" s="522"/>
      <c r="AK202" s="501"/>
      <c r="AL202" s="501"/>
      <c r="AM202" s="501"/>
      <c r="AN202" s="56"/>
      <c r="AO202" s="56"/>
      <c r="AP202" s="56"/>
      <c r="AS202" s="17"/>
      <c r="AT202" s="17"/>
      <c r="AU202" s="17"/>
      <c r="AV202" s="17"/>
      <c r="AW202" s="17"/>
      <c r="AX202" s="17"/>
      <c r="AZ202" s="495"/>
    </row>
    <row r="203" spans="1:52">
      <c r="A203" s="830">
        <v>194</v>
      </c>
      <c r="B203" s="831" t="s">
        <v>499</v>
      </c>
      <c r="C203" s="100" t="str">
        <f t="shared" si="19"/>
        <v>POL 02</v>
      </c>
      <c r="D203" s="653" t="s">
        <v>511</v>
      </c>
      <c r="E203" s="687" t="str">
        <f>VLOOKUP(D203,Poeng!$B$10:$R$252,Poeng!E$1,FALSE)</f>
        <v>Combustion-powered heating and hot water</v>
      </c>
      <c r="F203" s="98">
        <f>VLOOKUP(D203,Poeng!$B$10:$AB$252,Poeng!AB$1,FALSE)</f>
        <v>0</v>
      </c>
      <c r="G203" s="29"/>
      <c r="H203" s="99">
        <f>VLOOKUP(D203,Poeng!$B$10:$AE$252,Poeng!AE$1,FALSE)</f>
        <v>0</v>
      </c>
      <c r="I203" s="100" t="str">
        <f>VLOOKUP(D203,Poeng!$B$10:$BE$252,Poeng!BE$1,FALSE)</f>
        <v>N/A</v>
      </c>
      <c r="J203" s="66"/>
      <c r="K203" s="233"/>
      <c r="L203" s="633"/>
      <c r="M203" s="648"/>
      <c r="N203" s="69"/>
      <c r="O203" s="99">
        <f>VLOOKUP(D203,Poeng!$B$10:$BC$252,Poeng!AF$1,FALSE)</f>
        <v>0</v>
      </c>
      <c r="P203" s="99" t="str">
        <f>VLOOKUP(D203,Poeng!$B$10:$BH$252,Poeng!BH$1,FALSE)</f>
        <v>N/A</v>
      </c>
      <c r="Q203" s="583"/>
      <c r="R203" s="584"/>
      <c r="S203" s="577"/>
      <c r="T203" s="268"/>
      <c r="U203" s="69"/>
      <c r="V203" s="99">
        <f>VLOOKUP(D203,Poeng!$B$10:$BC$252,Poeng!AG$1,FALSE)</f>
        <v>0</v>
      </c>
      <c r="W203" s="99" t="str">
        <f>VLOOKUP(D203,Poeng!$B$10:$BK$252,Poeng!BK$1,FALSE)</f>
        <v>N/A</v>
      </c>
      <c r="X203" s="67"/>
      <c r="Y203" s="66"/>
      <c r="Z203" s="577"/>
      <c r="AA203" s="108"/>
      <c r="AB203" s="495"/>
      <c r="AC203" s="17">
        <f t="shared" si="21"/>
        <v>2</v>
      </c>
      <c r="AD203" s="1" t="e">
        <f>VLOOKUP(K203,'Assessment Details'!$O$45:$P$48,2,FALSE)</f>
        <v>#N/A</v>
      </c>
      <c r="AE203" s="1" t="e">
        <f>VLOOKUP(R203,'Assessment Details'!$O$45:$P$48,2,FALSE)</f>
        <v>#N/A</v>
      </c>
      <c r="AF203" s="1" t="e">
        <f>VLOOKUP(Y203,'Assessment Details'!$O$45:$P$48,2,FALSE)</f>
        <v>#N/A</v>
      </c>
      <c r="AI203" s="56"/>
      <c r="AJ203" s="522"/>
      <c r="AK203" s="501"/>
      <c r="AL203" s="501"/>
      <c r="AM203" s="501"/>
      <c r="AN203" s="56"/>
      <c r="AO203" s="56"/>
      <c r="AP203" s="56"/>
      <c r="AS203" s="17"/>
      <c r="AT203" s="17"/>
      <c r="AU203" s="17"/>
      <c r="AV203" s="17"/>
      <c r="AW203" s="17"/>
      <c r="AX203" s="17"/>
      <c r="AZ203" s="495"/>
    </row>
    <row r="204" spans="1:52">
      <c r="A204" s="830">
        <v>195</v>
      </c>
      <c r="B204" s="831" t="s">
        <v>499</v>
      </c>
      <c r="C204" s="739" t="s">
        <v>512</v>
      </c>
      <c r="D204" s="653" t="s">
        <v>512</v>
      </c>
      <c r="E204" s="686" t="str">
        <f>VLOOKUP(D204,Poeng!$B$10:$R$252,Poeng!E$1,FALSE)</f>
        <v>POL 04 Reduction of night time light pollution</v>
      </c>
      <c r="F204" s="691">
        <f>VLOOKUP(D204,Poeng!$B$10:$AB$252,Poeng!AB$1,FALSE)</f>
        <v>1</v>
      </c>
      <c r="G204" s="784"/>
      <c r="H204" s="692" t="str">
        <f>VLOOKUP(D204,Poeng!$B$10:$AI$252,Poeng!AI$1,FALSE)&amp;" c. "&amp;ROUND(VLOOKUP(D204,Poeng!$B$10:$AE$252,Poeng!AE$1,FALSE)*100,1)&amp;" %"</f>
        <v>0 c. 0 %</v>
      </c>
      <c r="I204" s="739" t="str">
        <f>VLOOKUP(D204,Poeng!$B$10:$BE$252,Poeng!BE$1,FALSE)</f>
        <v>N/A</v>
      </c>
      <c r="J204" s="66"/>
      <c r="K204" s="233"/>
      <c r="L204" s="633"/>
      <c r="M204" s="648"/>
      <c r="N204" s="784"/>
      <c r="O204" s="703" t="str">
        <f>VLOOKUP(D204,Poeng!$B$10:$BC$252,Poeng!AJ$1,FALSE)&amp;" c. "&amp;ROUND(VLOOKUP(D204,Poeng!$B$10:$BC$252,Poeng!AF$1,FALSE)*100,1)&amp;" %"</f>
        <v>0 c. 0 %</v>
      </c>
      <c r="P204" s="99" t="str">
        <f>VLOOKUP(D204,Poeng!$B$10:$BH$252,Poeng!BH$1,FALSE)</f>
        <v>N/A</v>
      </c>
      <c r="Q204" s="583"/>
      <c r="R204" s="584"/>
      <c r="S204" s="577"/>
      <c r="T204" s="268"/>
      <c r="U204" s="784"/>
      <c r="V204" s="703" t="str">
        <f>VLOOKUP(D204,Poeng!$B$10:$BC$252,Poeng!AK$1,FALSE)&amp;" c. "&amp;ROUND(VLOOKUP(D204,Poeng!$B$10:$BC$252,Poeng!AG$1,FALSE)*100,1)&amp;" %"</f>
        <v>0 c. 0 %</v>
      </c>
      <c r="W204" s="99" t="str">
        <f>VLOOKUP(D204,Poeng!$B$10:$BK$252,Poeng!BK$1,FALSE)</f>
        <v>N/A</v>
      </c>
      <c r="X204" s="67"/>
      <c r="Y204" s="66"/>
      <c r="Z204" s="577"/>
      <c r="AA204" s="108"/>
      <c r="AB204" s="495" t="s">
        <v>127</v>
      </c>
      <c r="AC204" s="17">
        <f t="shared" si="21"/>
        <v>1</v>
      </c>
      <c r="AD204" s="1" t="e">
        <f>VLOOKUP(K204,'Assessment Details'!$O$45:$P$48,2,FALSE)</f>
        <v>#N/A</v>
      </c>
      <c r="AE204" s="1" t="e">
        <f>VLOOKUP(R204,'Assessment Details'!$O$45:$P$48,2,FALSE)</f>
        <v>#N/A</v>
      </c>
      <c r="AF204" s="1" t="e">
        <f>VLOOKUP(Y204,'Assessment Details'!$O$45:$P$48,2,FALSE)</f>
        <v>#N/A</v>
      </c>
      <c r="AI204" s="56" t="str">
        <f>ais_ja</f>
        <v>Ja</v>
      </c>
      <c r="AJ204" s="522" t="s">
        <v>513</v>
      </c>
      <c r="AK204" s="501" t="s">
        <v>273</v>
      </c>
      <c r="AL204" s="501" t="s">
        <v>315</v>
      </c>
      <c r="AM204" s="501" t="s">
        <v>275</v>
      </c>
      <c r="AN204" s="56"/>
      <c r="AO204" s="56"/>
      <c r="AP204" s="56"/>
      <c r="AR204" s="1" t="s">
        <v>127</v>
      </c>
      <c r="AS204" s="17" t="str">
        <f t="shared" si="24"/>
        <v>N/A</v>
      </c>
      <c r="AT204" s="17" t="str">
        <f t="shared" si="25"/>
        <v>N/A</v>
      </c>
      <c r="AU204" s="17" t="str">
        <f t="shared" si="26"/>
        <v>N/A</v>
      </c>
      <c r="AV204" s="17"/>
      <c r="AW204" s="17"/>
      <c r="AX204" s="17"/>
      <c r="AZ204" s="495"/>
    </row>
    <row r="205" spans="1:52">
      <c r="A205" s="830">
        <v>196</v>
      </c>
      <c r="B205" s="831" t="s">
        <v>499</v>
      </c>
      <c r="C205" s="100" t="str">
        <f t="shared" si="19"/>
        <v>POL 04</v>
      </c>
      <c r="D205" s="653" t="s">
        <v>514</v>
      </c>
      <c r="E205" s="687" t="str">
        <f>VLOOKUP(D205,Poeng!$B$10:$R$252,Poeng!E$1,FALSE)</f>
        <v xml:space="preserve">No external lighting pollution </v>
      </c>
      <c r="F205" s="98">
        <f>VLOOKUP(D205,Poeng!$B$10:$AB$252,Poeng!AB$1,FALSE)</f>
        <v>1</v>
      </c>
      <c r="G205" s="29"/>
      <c r="H205" s="99">
        <f>VLOOKUP(D205,Poeng!$B$10:$AE$252,Poeng!AE$1,FALSE)</f>
        <v>0</v>
      </c>
      <c r="I205" s="100" t="str">
        <f>VLOOKUP(D205,Poeng!$B$10:$BE$252,Poeng!BE$1,FALSE)</f>
        <v>N/A</v>
      </c>
      <c r="J205" s="66"/>
      <c r="K205" s="233"/>
      <c r="L205" s="633"/>
      <c r="M205" s="648"/>
      <c r="N205" s="69"/>
      <c r="O205" s="99">
        <f>VLOOKUP(D205,Poeng!$B$10:$BC$252,Poeng!AF$1,FALSE)</f>
        <v>0</v>
      </c>
      <c r="P205" s="99" t="str">
        <f>VLOOKUP(D205,Poeng!$B$10:$BH$252,Poeng!BH$1,FALSE)</f>
        <v>N/A</v>
      </c>
      <c r="Q205" s="583"/>
      <c r="R205" s="584"/>
      <c r="S205" s="577"/>
      <c r="T205" s="268"/>
      <c r="U205" s="69"/>
      <c r="V205" s="99">
        <f>VLOOKUP(D205,Poeng!$B$10:$BC$252,Poeng!AG$1,FALSE)</f>
        <v>0</v>
      </c>
      <c r="W205" s="99" t="str">
        <f>VLOOKUP(D205,Poeng!$B$10:$BK$252,Poeng!BK$1,FALSE)</f>
        <v>N/A</v>
      </c>
      <c r="X205" s="67"/>
      <c r="Y205" s="66"/>
      <c r="Z205" s="577"/>
      <c r="AA205" s="108"/>
      <c r="AB205" s="495"/>
      <c r="AC205" s="17">
        <f t="shared" si="21"/>
        <v>1</v>
      </c>
      <c r="AD205" s="1" t="e">
        <f>VLOOKUP(K205,'Assessment Details'!$O$45:$P$48,2,FALSE)</f>
        <v>#N/A</v>
      </c>
      <c r="AE205" s="1" t="e">
        <f>VLOOKUP(R205,'Assessment Details'!$O$45:$P$48,2,FALSE)</f>
        <v>#N/A</v>
      </c>
      <c r="AF205" s="1" t="e">
        <f>VLOOKUP(Y205,'Assessment Details'!$O$45:$P$48,2,FALSE)</f>
        <v>#N/A</v>
      </c>
      <c r="AI205" s="56"/>
      <c r="AJ205" s="522"/>
      <c r="AK205" s="501"/>
      <c r="AL205" s="501"/>
      <c r="AM205" s="501"/>
      <c r="AN205" s="56"/>
      <c r="AO205" s="56"/>
      <c r="AP205" s="56"/>
      <c r="AS205" s="17"/>
      <c r="AT205" s="17"/>
      <c r="AU205" s="17"/>
      <c r="AV205" s="17"/>
      <c r="AW205" s="17"/>
      <c r="AX205" s="17"/>
      <c r="AZ205" s="495"/>
    </row>
    <row r="206" spans="1:52">
      <c r="A206" s="830">
        <v>197</v>
      </c>
      <c r="B206" s="831" t="s">
        <v>499</v>
      </c>
      <c r="C206" s="100" t="str">
        <f t="shared" si="19"/>
        <v>POL 04</v>
      </c>
      <c r="D206" s="653" t="s">
        <v>515</v>
      </c>
      <c r="E206" s="687" t="str">
        <f>VLOOKUP(D206,Poeng!$B$10:$R$252,Poeng!E$1,FALSE)</f>
        <v>Minimizing external light pollution</v>
      </c>
      <c r="F206" s="98">
        <f>VLOOKUP(D206,Poeng!$B$10:$AB$252,Poeng!AB$1,FALSE)</f>
        <v>0</v>
      </c>
      <c r="G206" s="29"/>
      <c r="H206" s="99">
        <f>VLOOKUP(D206,Poeng!$B$10:$AE$252,Poeng!AE$1,FALSE)</f>
        <v>0</v>
      </c>
      <c r="I206" s="100" t="str">
        <f>VLOOKUP(D206,Poeng!$B$10:$BE$252,Poeng!BE$1,FALSE)</f>
        <v>N/A</v>
      </c>
      <c r="J206" s="66"/>
      <c r="K206" s="233"/>
      <c r="L206" s="633"/>
      <c r="M206" s="648"/>
      <c r="N206" s="69"/>
      <c r="O206" s="99">
        <f>VLOOKUP(D206,Poeng!$B$10:$BC$252,Poeng!AF$1,FALSE)</f>
        <v>0</v>
      </c>
      <c r="P206" s="99" t="str">
        <f>VLOOKUP(D206,Poeng!$B$10:$BH$252,Poeng!BH$1,FALSE)</f>
        <v>N/A</v>
      </c>
      <c r="Q206" s="583"/>
      <c r="R206" s="584"/>
      <c r="S206" s="577"/>
      <c r="T206" s="268"/>
      <c r="U206" s="69"/>
      <c r="V206" s="99">
        <f>VLOOKUP(D206,Poeng!$B$10:$BC$252,Poeng!AG$1,FALSE)</f>
        <v>0</v>
      </c>
      <c r="W206" s="99" t="str">
        <f>VLOOKUP(D206,Poeng!$B$10:$BK$252,Poeng!BK$1,FALSE)</f>
        <v>N/A</v>
      </c>
      <c r="X206" s="67"/>
      <c r="Y206" s="66"/>
      <c r="Z206" s="577"/>
      <c r="AA206" s="108"/>
      <c r="AB206" s="495"/>
      <c r="AC206" s="17">
        <f t="shared" si="21"/>
        <v>2</v>
      </c>
      <c r="AD206" s="1" t="e">
        <f>VLOOKUP(K206,'Assessment Details'!$O$45:$P$48,2,FALSE)</f>
        <v>#N/A</v>
      </c>
      <c r="AE206" s="1" t="e">
        <f>VLOOKUP(R206,'Assessment Details'!$O$45:$P$48,2,FALSE)</f>
        <v>#N/A</v>
      </c>
      <c r="AF206" s="1" t="e">
        <f>VLOOKUP(Y206,'Assessment Details'!$O$45:$P$48,2,FALSE)</f>
        <v>#N/A</v>
      </c>
      <c r="AI206" s="56"/>
      <c r="AJ206" s="522"/>
      <c r="AK206" s="501"/>
      <c r="AL206" s="501"/>
      <c r="AM206" s="501"/>
      <c r="AN206" s="56"/>
      <c r="AO206" s="56"/>
      <c r="AP206" s="56"/>
      <c r="AS206" s="17"/>
      <c r="AT206" s="17"/>
      <c r="AU206" s="17"/>
      <c r="AV206" s="17"/>
      <c r="AW206" s="17"/>
      <c r="AX206" s="17"/>
      <c r="AZ206" s="495"/>
    </row>
    <row r="207" spans="1:52">
      <c r="A207" s="830">
        <v>198</v>
      </c>
      <c r="B207" s="831" t="s">
        <v>499</v>
      </c>
      <c r="C207" s="739" t="s">
        <v>516</v>
      </c>
      <c r="D207" s="653" t="s">
        <v>516</v>
      </c>
      <c r="E207" s="686" t="str">
        <f>VLOOKUP(D207,Poeng!$B$10:$R$252,Poeng!E$1,FALSE)</f>
        <v>POL 05 Reduction of noise pollution</v>
      </c>
      <c r="F207" s="691">
        <f>VLOOKUP(D207,Poeng!$B$10:$AB$252,Poeng!AB$1,FALSE)</f>
        <v>1</v>
      </c>
      <c r="G207" s="784"/>
      <c r="H207" s="692" t="str">
        <f>VLOOKUP(D207,Poeng!$B$10:$AI$252,Poeng!AI$1,FALSE)&amp;" c. "&amp;ROUND(VLOOKUP(D207,Poeng!$B$10:$AE$252,Poeng!AE$1,FALSE)*100,1)&amp;" %"</f>
        <v>0 c. 0 %</v>
      </c>
      <c r="I207" s="739" t="str">
        <f>VLOOKUP(D207,Poeng!$B$10:$BE$252,Poeng!BE$1,FALSE)</f>
        <v>N/A</v>
      </c>
      <c r="J207" s="66"/>
      <c r="K207" s="233"/>
      <c r="L207" s="633"/>
      <c r="M207" s="648"/>
      <c r="N207" s="784"/>
      <c r="O207" s="703" t="str">
        <f>VLOOKUP(D207,Poeng!$B$10:$BC$252,Poeng!AJ$1,FALSE)&amp;" c. "&amp;ROUND(VLOOKUP(D207,Poeng!$B$10:$BC$252,Poeng!AF$1,FALSE)*100,1)&amp;" %"</f>
        <v>0 c. 0 %</v>
      </c>
      <c r="P207" s="99" t="str">
        <f>VLOOKUP(D207,Poeng!$B$10:$BH$252,Poeng!BH$1,FALSE)</f>
        <v>N/A</v>
      </c>
      <c r="Q207" s="583"/>
      <c r="R207" s="584"/>
      <c r="S207" s="577"/>
      <c r="T207" s="268"/>
      <c r="U207" s="784"/>
      <c r="V207" s="703" t="str">
        <f>VLOOKUP(D207,Poeng!$B$10:$BC$252,Poeng!AK$1,FALSE)&amp;" c. "&amp;ROUND(VLOOKUP(D207,Poeng!$B$10:$BC$252,Poeng!AG$1,FALSE)*100,1)&amp;" %"</f>
        <v>0 c. 0 %</v>
      </c>
      <c r="W207" s="99" t="str">
        <f>VLOOKUP(D207,Poeng!$B$10:$BK$252,Poeng!BK$1,FALSE)</f>
        <v>N/A</v>
      </c>
      <c r="X207" s="67"/>
      <c r="Y207" s="66"/>
      <c r="Z207" s="577"/>
      <c r="AA207" s="108"/>
      <c r="AB207" s="495" t="s">
        <v>127</v>
      </c>
      <c r="AC207" s="17">
        <f t="shared" si="21"/>
        <v>1</v>
      </c>
      <c r="AD207" s="1" t="e">
        <f>VLOOKUP(K207,'Assessment Details'!$O$45:$P$48,2,FALSE)</f>
        <v>#N/A</v>
      </c>
      <c r="AE207" s="1" t="e">
        <f>VLOOKUP(R207,'Assessment Details'!$O$45:$P$48,2,FALSE)</f>
        <v>#N/A</v>
      </c>
      <c r="AF207" s="1" t="e">
        <f>VLOOKUP(Y207,'Assessment Details'!$O$45:$P$48,2,FALSE)</f>
        <v>#N/A</v>
      </c>
      <c r="AI207" s="56" t="str">
        <f>ais_ja</f>
        <v>Ja</v>
      </c>
      <c r="AJ207" s="522" t="s">
        <v>517</v>
      </c>
      <c r="AK207" s="501" t="s">
        <v>273</v>
      </c>
      <c r="AL207" s="501" t="s">
        <v>315</v>
      </c>
      <c r="AM207" s="501" t="s">
        <v>275</v>
      </c>
      <c r="AN207" s="56"/>
      <c r="AO207" s="56"/>
      <c r="AP207" s="56"/>
      <c r="AR207" s="1" t="s">
        <v>127</v>
      </c>
      <c r="AS207" s="17" t="str">
        <f t="shared" si="24"/>
        <v>N/A</v>
      </c>
      <c r="AT207" s="17" t="str">
        <f t="shared" si="25"/>
        <v>N/A</v>
      </c>
      <c r="AU207" s="17" t="str">
        <f t="shared" si="26"/>
        <v>N/A</v>
      </c>
      <c r="AV207" s="17"/>
      <c r="AW207" s="17"/>
      <c r="AX207" s="17"/>
      <c r="AZ207" s="495"/>
    </row>
    <row r="208" spans="1:52">
      <c r="A208" s="830">
        <v>199</v>
      </c>
      <c r="B208" s="831" t="s">
        <v>499</v>
      </c>
      <c r="C208" s="100" t="str">
        <f t="shared" si="19"/>
        <v>POL 05</v>
      </c>
      <c r="D208" s="653" t="s">
        <v>518</v>
      </c>
      <c r="E208" s="687" t="str">
        <f>VLOOKUP(D208,Poeng!$B$10:$R$252,Poeng!E$1,FALSE)</f>
        <v>No noise-sensitive areas</v>
      </c>
      <c r="F208" s="98">
        <f>VLOOKUP(D208,Poeng!$B$10:$AB$252,Poeng!AB$1,FALSE)</f>
        <v>1</v>
      </c>
      <c r="G208" s="29"/>
      <c r="H208" s="99">
        <f>VLOOKUP(D208,Poeng!$B$10:$AE$252,Poeng!AE$1,FALSE)</f>
        <v>0</v>
      </c>
      <c r="I208" s="100" t="str">
        <f>VLOOKUP(D208,Poeng!$B$10:$BE$252,Poeng!BE$1,FALSE)</f>
        <v>N/A</v>
      </c>
      <c r="J208" s="66"/>
      <c r="K208" s="233"/>
      <c r="L208" s="633"/>
      <c r="M208" s="648"/>
      <c r="N208" s="69"/>
      <c r="O208" s="99">
        <f>VLOOKUP(D208,Poeng!$B$10:$BC$252,Poeng!AF$1,FALSE)</f>
        <v>0</v>
      </c>
      <c r="P208" s="99" t="str">
        <f>VLOOKUP(D208,Poeng!$B$10:$BH$252,Poeng!BH$1,FALSE)</f>
        <v>N/A</v>
      </c>
      <c r="Q208" s="583"/>
      <c r="R208" s="584"/>
      <c r="S208" s="577"/>
      <c r="T208" s="268"/>
      <c r="U208" s="69"/>
      <c r="V208" s="99">
        <f>VLOOKUP(D208,Poeng!$B$10:$BC$252,Poeng!AG$1,FALSE)</f>
        <v>0</v>
      </c>
      <c r="W208" s="99" t="str">
        <f>VLOOKUP(D208,Poeng!$B$10:$BK$252,Poeng!BK$1,FALSE)</f>
        <v>N/A</v>
      </c>
      <c r="X208" s="67"/>
      <c r="Y208" s="66"/>
      <c r="Z208" s="577"/>
      <c r="AA208" s="108"/>
      <c r="AB208" s="559"/>
      <c r="AC208" s="17">
        <f t="shared" si="21"/>
        <v>1</v>
      </c>
      <c r="AD208" s="1" t="e">
        <f>VLOOKUP(K208,'Assessment Details'!$O$45:$P$48,2,FALSE)</f>
        <v>#N/A</v>
      </c>
      <c r="AE208" s="1" t="e">
        <f>VLOOKUP(R208,'Assessment Details'!$O$45:$P$48,2,FALSE)</f>
        <v>#N/A</v>
      </c>
      <c r="AF208" s="1" t="e">
        <f>VLOOKUP(Y208,'Assessment Details'!$O$45:$P$48,2,FALSE)</f>
        <v>#N/A</v>
      </c>
      <c r="AI208" s="56"/>
      <c r="AJ208" s="522"/>
      <c r="AK208" s="501"/>
      <c r="AL208" s="501"/>
      <c r="AM208" s="501"/>
      <c r="AN208" s="56"/>
      <c r="AO208" s="56"/>
      <c r="AP208" s="56"/>
      <c r="AS208" s="17"/>
      <c r="AT208" s="17"/>
      <c r="AU208" s="17"/>
      <c r="AV208" s="17"/>
      <c r="AW208" s="17"/>
      <c r="AX208" s="17"/>
      <c r="AZ208" s="559"/>
    </row>
    <row r="209" spans="1:52">
      <c r="A209" s="830">
        <v>200</v>
      </c>
      <c r="B209" s="831" t="s">
        <v>499</v>
      </c>
      <c r="C209" s="100" t="str">
        <f t="shared" si="19"/>
        <v>POL 05</v>
      </c>
      <c r="D209" s="653" t="s">
        <v>519</v>
      </c>
      <c r="E209" s="687" t="str">
        <f>VLOOKUP(D209,Poeng!$B$10:$R$252,Poeng!E$1,FALSE)</f>
        <v>Minimizing noise pollution in noise-sensitive areas</v>
      </c>
      <c r="F209" s="98">
        <f>VLOOKUP(D209,Poeng!$B$10:$AB$252,Poeng!AB$1,FALSE)</f>
        <v>0</v>
      </c>
      <c r="G209" s="29"/>
      <c r="H209" s="99">
        <f>VLOOKUP(D209,Poeng!$B$10:$AE$252,Poeng!AE$1,FALSE)</f>
        <v>0</v>
      </c>
      <c r="I209" s="100" t="str">
        <f>VLOOKUP(D209,Poeng!$B$10:$BE$252,Poeng!BE$1,FALSE)</f>
        <v>N/A</v>
      </c>
      <c r="J209" s="66"/>
      <c r="K209" s="233"/>
      <c r="L209" s="633"/>
      <c r="M209" s="648"/>
      <c r="N209" s="69"/>
      <c r="O209" s="99">
        <f>VLOOKUP(D209,Poeng!$B$10:$BC$252,Poeng!AF$1,FALSE)</f>
        <v>0</v>
      </c>
      <c r="P209" s="99" t="str">
        <f>VLOOKUP(D209,Poeng!$B$10:$BH$252,Poeng!BH$1,FALSE)</f>
        <v>N/A</v>
      </c>
      <c r="Q209" s="583"/>
      <c r="R209" s="584"/>
      <c r="S209" s="577"/>
      <c r="T209" s="268"/>
      <c r="U209" s="69"/>
      <c r="V209" s="99">
        <f>VLOOKUP(D209,Poeng!$B$10:$BC$252,Poeng!AG$1,FALSE)</f>
        <v>0</v>
      </c>
      <c r="W209" s="99" t="str">
        <f>VLOOKUP(D209,Poeng!$B$10:$BK$252,Poeng!BK$1,FALSE)</f>
        <v>N/A</v>
      </c>
      <c r="X209" s="67"/>
      <c r="Y209" s="66"/>
      <c r="Z209" s="577"/>
      <c r="AA209" s="108"/>
      <c r="AB209" s="559"/>
      <c r="AC209" s="17">
        <f t="shared" si="21"/>
        <v>2</v>
      </c>
      <c r="AD209" s="1" t="e">
        <f>VLOOKUP(K209,'Assessment Details'!$O$45:$P$48,2,FALSE)</f>
        <v>#N/A</v>
      </c>
      <c r="AE209" s="1" t="e">
        <f>VLOOKUP(R209,'Assessment Details'!$O$45:$P$48,2,FALSE)</f>
        <v>#N/A</v>
      </c>
      <c r="AF209" s="1" t="e">
        <f>VLOOKUP(Y209,'Assessment Details'!$O$45:$P$48,2,FALSE)</f>
        <v>#N/A</v>
      </c>
      <c r="AI209" s="56"/>
      <c r="AJ209" s="522"/>
      <c r="AK209" s="501"/>
      <c r="AL209" s="501"/>
      <c r="AM209" s="501"/>
      <c r="AN209" s="56"/>
      <c r="AO209" s="56"/>
      <c r="AP209" s="56"/>
      <c r="AS209" s="17"/>
      <c r="AT209" s="17"/>
      <c r="AU209" s="17"/>
      <c r="AV209" s="17"/>
      <c r="AW209" s="17"/>
      <c r="AX209" s="17"/>
      <c r="AZ209" s="559"/>
    </row>
    <row r="210" spans="1:52" ht="15.75" thickBot="1">
      <c r="A210" s="830">
        <v>201</v>
      </c>
      <c r="B210" s="831" t="s">
        <v>499</v>
      </c>
      <c r="C210" s="836"/>
      <c r="D210" s="653" t="s">
        <v>520</v>
      </c>
      <c r="E210" s="269" t="s">
        <v>521</v>
      </c>
      <c r="F210" s="101">
        <f>Pol_Credits</f>
        <v>7</v>
      </c>
      <c r="G210" s="106"/>
      <c r="H210" s="102">
        <f>Pol_cont_tot</f>
        <v>0</v>
      </c>
      <c r="I210" s="693" t="str">
        <f>"Credits achieved: "&amp;Pol_tot_user</f>
        <v>Credits achieved: 0</v>
      </c>
      <c r="J210" s="109"/>
      <c r="K210" s="234"/>
      <c r="L210" s="585"/>
      <c r="M210" s="648"/>
      <c r="N210" s="326"/>
      <c r="O210" s="102">
        <f>VLOOKUP(D210,Poeng!$B$10:$BC$252,Poeng!AF$1,FALSE)</f>
        <v>0</v>
      </c>
      <c r="P210" s="693" t="str">
        <f>"Credits achieved: "&amp;Pol_d_user</f>
        <v>Credits achieved: 0</v>
      </c>
      <c r="Q210" s="586"/>
      <c r="R210" s="587"/>
      <c r="S210" s="585"/>
      <c r="T210" s="268"/>
      <c r="U210" s="326"/>
      <c r="V210" s="102">
        <f>VLOOKUP(D210,Poeng!$B$10:$BC$252,Poeng!AG$1,FALSE)</f>
        <v>0</v>
      </c>
      <c r="W210" s="693" t="str">
        <f>"Credits achieved: "&amp;Pol_c_user</f>
        <v>Credits achieved: 0</v>
      </c>
      <c r="X210" s="325"/>
      <c r="Y210" s="111"/>
      <c r="Z210" s="585"/>
      <c r="AA210" s="108"/>
      <c r="AB210" s="496"/>
      <c r="AC210" s="17">
        <f t="shared" si="21"/>
        <v>1</v>
      </c>
      <c r="AD210" s="230">
        <v>0</v>
      </c>
      <c r="AE210" s="230">
        <v>0</v>
      </c>
      <c r="AF210" s="230">
        <v>0</v>
      </c>
      <c r="AI210" s="56"/>
      <c r="AJ210" s="522" t="s">
        <v>521</v>
      </c>
      <c r="AK210" s="56"/>
      <c r="AL210" s="56"/>
      <c r="AM210" s="56"/>
      <c r="AN210" s="56"/>
      <c r="AO210" s="56"/>
      <c r="AP210" s="56"/>
      <c r="AS210" s="17" t="str">
        <f t="shared" si="24"/>
        <v>N/A</v>
      </c>
      <c r="AT210" s="17" t="str">
        <f t="shared" si="25"/>
        <v>N/A</v>
      </c>
      <c r="AU210" s="17" t="str">
        <f t="shared" si="26"/>
        <v>N/A</v>
      </c>
      <c r="AV210" s="17"/>
      <c r="AW210" s="17"/>
      <c r="AX210" s="17"/>
      <c r="AZ210" s="496"/>
    </row>
    <row r="211" spans="1:52">
      <c r="A211" s="830">
        <v>202</v>
      </c>
      <c r="B211" s="831" t="s">
        <v>499</v>
      </c>
      <c r="C211" s="271"/>
      <c r="D211" s="653"/>
      <c r="E211" s="270"/>
      <c r="F211" s="271"/>
      <c r="G211" s="272"/>
      <c r="H211" s="271"/>
      <c r="I211" s="271"/>
      <c r="J211" s="273"/>
      <c r="K211" s="272"/>
      <c r="L211" s="588"/>
      <c r="M211" s="648"/>
      <c r="N211" s="274"/>
      <c r="O211" s="274"/>
      <c r="P211" s="588"/>
      <c r="Q211" s="588"/>
      <c r="R211" s="589"/>
      <c r="S211" s="588"/>
      <c r="T211" s="268"/>
      <c r="U211" s="274"/>
      <c r="V211" s="274"/>
      <c r="W211" s="588"/>
      <c r="X211" s="273"/>
      <c r="Y211" s="274"/>
      <c r="Z211" s="588"/>
      <c r="AA211" s="108"/>
      <c r="AB211" s="273"/>
      <c r="AC211" s="17">
        <f t="shared" si="21"/>
        <v>1</v>
      </c>
      <c r="AD211" s="231">
        <v>0</v>
      </c>
      <c r="AE211" s="231">
        <v>0</v>
      </c>
      <c r="AF211" s="231">
        <v>0</v>
      </c>
      <c r="AI211" s="56"/>
      <c r="AJ211" s="522"/>
      <c r="AK211" s="56"/>
      <c r="AL211" s="56"/>
      <c r="AM211" s="56"/>
      <c r="AN211" s="56"/>
      <c r="AO211" s="56"/>
      <c r="AP211" s="56"/>
      <c r="AS211" s="17" t="str">
        <f t="shared" si="24"/>
        <v>N/A</v>
      </c>
      <c r="AT211" s="17" t="str">
        <f t="shared" si="25"/>
        <v>N/A</v>
      </c>
      <c r="AU211" s="17" t="str">
        <f t="shared" si="26"/>
        <v>N/A</v>
      </c>
      <c r="AV211" s="17"/>
      <c r="AW211" s="17"/>
      <c r="AX211" s="17"/>
      <c r="AZ211" s="273"/>
    </row>
    <row r="212" spans="1:52" ht="18.75">
      <c r="A212" s="830">
        <v>203</v>
      </c>
      <c r="B212" s="831" t="s">
        <v>522</v>
      </c>
      <c r="C212" s="837"/>
      <c r="D212" s="653"/>
      <c r="E212" s="275" t="s">
        <v>523</v>
      </c>
      <c r="F212" s="264"/>
      <c r="G212" s="265"/>
      <c r="H212" s="284"/>
      <c r="I212" s="264"/>
      <c r="J212" s="276"/>
      <c r="K212" s="277"/>
      <c r="L212" s="591"/>
      <c r="M212" s="648"/>
      <c r="N212" s="287"/>
      <c r="O212" s="280"/>
      <c r="P212" s="581"/>
      <c r="Q212" s="592"/>
      <c r="R212" s="593"/>
      <c r="S212" s="594"/>
      <c r="T212" s="268"/>
      <c r="U212" s="287"/>
      <c r="V212" s="286"/>
      <c r="W212" s="581"/>
      <c r="X212" s="276"/>
      <c r="Y212" s="286"/>
      <c r="Z212" s="591"/>
      <c r="AA212" s="108"/>
      <c r="AB212" s="285"/>
      <c r="AC212" s="17">
        <f t="shared" si="21"/>
        <v>1</v>
      </c>
      <c r="AD212" s="229">
        <v>0</v>
      </c>
      <c r="AE212" s="229">
        <v>0</v>
      </c>
      <c r="AF212" s="229">
        <v>0</v>
      </c>
      <c r="AI212" s="56"/>
      <c r="AJ212" s="522" t="s">
        <v>523</v>
      </c>
      <c r="AK212" s="56"/>
      <c r="AL212" s="56"/>
      <c r="AM212" s="56"/>
      <c r="AN212" s="56"/>
      <c r="AO212" s="56"/>
      <c r="AP212" s="56"/>
      <c r="AS212" s="17" t="str">
        <f t="shared" si="24"/>
        <v>N/A</v>
      </c>
      <c r="AT212" s="17" t="str">
        <f t="shared" si="25"/>
        <v>N/A</v>
      </c>
      <c r="AU212" s="17" t="str">
        <f t="shared" si="26"/>
        <v>N/A</v>
      </c>
      <c r="AV212" s="17"/>
      <c r="AW212" s="17"/>
      <c r="AX212" s="17"/>
      <c r="AZ212" s="285"/>
    </row>
    <row r="213" spans="1:52">
      <c r="A213" s="830">
        <v>204</v>
      </c>
      <c r="B213" s="831" t="s">
        <v>522</v>
      </c>
      <c r="C213" s="843" t="s">
        <v>522</v>
      </c>
      <c r="D213" s="653" t="s">
        <v>524</v>
      </c>
      <c r="E213" s="267" t="str">
        <f>VLOOKUP(D213,Poeng!$B$10:$R$252,Poeng!E$1,FALSE)</f>
        <v xml:space="preserve">Inn 01 - Man 03: Reduction of direct emissions from construction sites </v>
      </c>
      <c r="F213" s="98">
        <f>Inn01_credits</f>
        <v>1</v>
      </c>
      <c r="G213" s="29"/>
      <c r="H213" s="99">
        <f>Inn01_cont</f>
        <v>0</v>
      </c>
      <c r="I213" s="105" t="str">
        <f>Inn01_minstd</f>
        <v>N/A</v>
      </c>
      <c r="J213" s="66"/>
      <c r="K213" s="233"/>
      <c r="L213" s="577"/>
      <c r="M213" s="648"/>
      <c r="N213" s="69"/>
      <c r="O213" s="845">
        <f>VLOOKUP(D213,Poeng!$B$10:$BC$252,Poeng!AF$1,FALSE)</f>
        <v>0</v>
      </c>
      <c r="P213" s="99" t="str">
        <f>VLOOKUP(D213,Poeng!$B$10:$BH$252,Poeng!BH$1,FALSE)</f>
        <v>N/A</v>
      </c>
      <c r="Q213" s="583"/>
      <c r="R213" s="584"/>
      <c r="S213" s="577"/>
      <c r="T213" s="268"/>
      <c r="U213" s="69"/>
      <c r="V213" s="99">
        <f>VLOOKUP(D213,Poeng!$B$10:$BC$252,Poeng!AG$1,FALSE)</f>
        <v>0</v>
      </c>
      <c r="W213" s="99" t="str">
        <f>VLOOKUP(D213,Poeng!$B$10:$BK$252,Poeng!BK$1,FALSE)</f>
        <v>N/A</v>
      </c>
      <c r="X213" s="67"/>
      <c r="Y213" s="66"/>
      <c r="Z213" s="577"/>
      <c r="AA213" s="108"/>
      <c r="AB213" s="495" t="s">
        <v>216</v>
      </c>
      <c r="AC213" s="17">
        <f t="shared" ref="AC213:AC227" si="30">IF(F213="",1,IF(F213=0,2,1))</f>
        <v>1</v>
      </c>
      <c r="AD213" s="1" t="e">
        <f>VLOOKUP(K213,'Assessment Details'!$O$45:$P$48,2,FALSE)</f>
        <v>#N/A</v>
      </c>
      <c r="AE213" s="1" t="e">
        <f>VLOOKUP(R213,'Assessment Details'!$O$45:$P$48,2,FALSE)</f>
        <v>#N/A</v>
      </c>
      <c r="AF213" s="1" t="e">
        <f>VLOOKUP(Y213,'Assessment Details'!$O$45:$P$48,2,FALSE)</f>
        <v>#N/A</v>
      </c>
      <c r="AI213" s="56"/>
      <c r="AJ213" s="522" t="s">
        <v>525</v>
      </c>
      <c r="AK213" s="56"/>
      <c r="AL213" s="56"/>
      <c r="AM213" s="56"/>
      <c r="AN213" s="56"/>
      <c r="AO213" s="56"/>
      <c r="AP213" s="56"/>
      <c r="AS213" s="17" t="str">
        <f t="shared" si="24"/>
        <v>N/A</v>
      </c>
      <c r="AT213" s="17" t="str">
        <f t="shared" si="25"/>
        <v>N/A</v>
      </c>
      <c r="AU213" s="17" t="str">
        <f t="shared" si="26"/>
        <v>N/A</v>
      </c>
      <c r="AV213" s="17"/>
      <c r="AW213" s="17"/>
      <c r="AX213" s="17"/>
      <c r="AZ213" s="495"/>
    </row>
    <row r="214" spans="1:52">
      <c r="A214" s="830">
        <v>205</v>
      </c>
      <c r="B214" s="831" t="s">
        <v>522</v>
      </c>
      <c r="C214" s="843" t="s">
        <v>522</v>
      </c>
      <c r="D214" s="653" t="s">
        <v>526</v>
      </c>
      <c r="E214" s="267" t="str">
        <f>VLOOKUP(D214,Poeng!$B$10:$R$252,Poeng!E$1,FALSE)</f>
        <v xml:space="preserve">Inn 02 - Hea 01: View out, high level </v>
      </c>
      <c r="F214" s="98">
        <f>Inn02_credits</f>
        <v>1</v>
      </c>
      <c r="G214" s="29"/>
      <c r="H214" s="99">
        <f>Inn02_cont</f>
        <v>0</v>
      </c>
      <c r="I214" s="105" t="str">
        <f>Inn02_minstd</f>
        <v>N/A</v>
      </c>
      <c r="J214" s="66"/>
      <c r="K214" s="233"/>
      <c r="L214" s="577"/>
      <c r="M214" s="648"/>
      <c r="N214" s="69"/>
      <c r="O214" s="99">
        <f>VLOOKUP(D214,Poeng!$B$10:$BC$252,Poeng!AF$1,FALSE)</f>
        <v>0</v>
      </c>
      <c r="P214" s="99" t="str">
        <f>VLOOKUP(D214,Poeng!$B$10:$BH$252,Poeng!BH$1,FALSE)</f>
        <v>N/A</v>
      </c>
      <c r="Q214" s="583"/>
      <c r="R214" s="584"/>
      <c r="S214" s="577"/>
      <c r="T214" s="268"/>
      <c r="U214" s="69"/>
      <c r="V214" s="99">
        <f>VLOOKUP(D214,Poeng!$B$10:$BC$252,Poeng!AG$1,FALSE)</f>
        <v>0</v>
      </c>
      <c r="W214" s="99" t="str">
        <f>VLOOKUP(D214,Poeng!$B$10:$BK$252,Poeng!BK$1,FALSE)</f>
        <v>N/A</v>
      </c>
      <c r="X214" s="67"/>
      <c r="Y214" s="66"/>
      <c r="Z214" s="577"/>
      <c r="AA214" s="108"/>
      <c r="AB214" s="495" t="s">
        <v>216</v>
      </c>
      <c r="AC214" s="17">
        <f t="shared" si="30"/>
        <v>1</v>
      </c>
      <c r="AD214" s="1" t="e">
        <f>VLOOKUP(K214,'Assessment Details'!$O$45:$P$48,2,FALSE)</f>
        <v>#N/A</v>
      </c>
      <c r="AE214" s="1" t="e">
        <f>VLOOKUP(R214,'Assessment Details'!$O$45:$P$48,2,FALSE)</f>
        <v>#N/A</v>
      </c>
      <c r="AF214" s="1" t="e">
        <f>VLOOKUP(Y214,'Assessment Details'!$O$45:$P$48,2,FALSE)</f>
        <v>#N/A</v>
      </c>
      <c r="AI214" s="56"/>
      <c r="AJ214" s="522" t="s">
        <v>527</v>
      </c>
      <c r="AK214" s="56"/>
      <c r="AL214" s="56"/>
      <c r="AM214" s="56"/>
      <c r="AN214" s="56"/>
      <c r="AO214" s="56"/>
      <c r="AP214" s="56"/>
      <c r="AS214" s="17" t="str">
        <f t="shared" si="24"/>
        <v>N/A</v>
      </c>
      <c r="AT214" s="17" t="str">
        <f t="shared" si="25"/>
        <v>N/A</v>
      </c>
      <c r="AU214" s="17" t="str">
        <f t="shared" si="26"/>
        <v>N/A</v>
      </c>
      <c r="AV214" s="17"/>
      <c r="AW214" s="17"/>
      <c r="AX214" s="17"/>
      <c r="AZ214" s="495"/>
    </row>
    <row r="215" spans="1:52">
      <c r="A215" s="830">
        <v>206</v>
      </c>
      <c r="B215" s="831" t="s">
        <v>522</v>
      </c>
      <c r="C215" s="843" t="s">
        <v>522</v>
      </c>
      <c r="D215" s="653" t="s">
        <v>528</v>
      </c>
      <c r="E215" s="267" t="str">
        <f>VLOOKUP(D215,Poeng!$B$10:$R$252,Poeng!E$1,FALSE)</f>
        <v>Inn 03 - Hea 02: Emissions from construction products</v>
      </c>
      <c r="F215" s="98">
        <f>Inn03_credits</f>
        <v>1</v>
      </c>
      <c r="G215" s="29"/>
      <c r="H215" s="99">
        <f>Inn03_cont</f>
        <v>0</v>
      </c>
      <c r="I215" s="105" t="str">
        <f>Inn03_minstd</f>
        <v>N/A</v>
      </c>
      <c r="J215" s="66"/>
      <c r="K215" s="233"/>
      <c r="L215" s="577"/>
      <c r="M215" s="648"/>
      <c r="N215" s="69"/>
      <c r="O215" s="99">
        <f>VLOOKUP(D215,Poeng!$B$10:$BC$252,Poeng!AF$1,FALSE)</f>
        <v>0</v>
      </c>
      <c r="P215" s="99" t="str">
        <f>VLOOKUP(D215,Poeng!$B$10:$BH$252,Poeng!BH$1,FALSE)</f>
        <v>N/A</v>
      </c>
      <c r="Q215" s="583"/>
      <c r="R215" s="584"/>
      <c r="S215" s="577"/>
      <c r="T215" s="268"/>
      <c r="U215" s="69"/>
      <c r="V215" s="99">
        <f>VLOOKUP(D215,Poeng!$B$10:$BC$252,Poeng!AG$1,FALSE)</f>
        <v>0</v>
      </c>
      <c r="W215" s="99" t="str">
        <f>VLOOKUP(D215,Poeng!$B$10:$BK$252,Poeng!BK$1,FALSE)</f>
        <v>N/A</v>
      </c>
      <c r="X215" s="67"/>
      <c r="Y215" s="66"/>
      <c r="Z215" s="577"/>
      <c r="AA215" s="108"/>
      <c r="AB215" s="495" t="s">
        <v>216</v>
      </c>
      <c r="AC215" s="17">
        <f t="shared" si="30"/>
        <v>1</v>
      </c>
      <c r="AD215" s="1" t="e">
        <f>VLOOKUP(K215,'Assessment Details'!$O$45:$P$48,2,FALSE)</f>
        <v>#N/A</v>
      </c>
      <c r="AE215" s="1" t="e">
        <f>VLOOKUP(R215,'Assessment Details'!$O$45:$P$48,2,FALSE)</f>
        <v>#N/A</v>
      </c>
      <c r="AF215" s="1" t="e">
        <f>VLOOKUP(Y215,'Assessment Details'!$O$45:$P$48,2,FALSE)</f>
        <v>#N/A</v>
      </c>
      <c r="AI215" s="56"/>
      <c r="AJ215" s="522" t="s">
        <v>529</v>
      </c>
      <c r="AK215" s="56"/>
      <c r="AL215" s="56"/>
      <c r="AM215" s="56"/>
      <c r="AN215" s="56"/>
      <c r="AO215" s="56"/>
      <c r="AP215" s="56"/>
      <c r="AS215" s="17" t="str">
        <f t="shared" si="24"/>
        <v>N/A</v>
      </c>
      <c r="AT215" s="17" t="str">
        <f t="shared" si="25"/>
        <v>N/A</v>
      </c>
      <c r="AU215" s="17" t="str">
        <f t="shared" si="26"/>
        <v>N/A</v>
      </c>
      <c r="AV215" s="17"/>
      <c r="AW215" s="17"/>
      <c r="AX215" s="17"/>
      <c r="AZ215" s="495"/>
    </row>
    <row r="216" spans="1:52">
      <c r="A216" s="830">
        <v>207</v>
      </c>
      <c r="B216" s="831" t="s">
        <v>522</v>
      </c>
      <c r="C216" s="843" t="s">
        <v>522</v>
      </c>
      <c r="D216" s="653" t="s">
        <v>530</v>
      </c>
      <c r="E216" s="267" t="str">
        <f>VLOOKUP(D216,Poeng!$B$10:$R$252,Poeng!E$1,FALSE)</f>
        <v xml:space="preserve">Inn 04 - Hea 06: Biofilik design </v>
      </c>
      <c r="F216" s="98">
        <f>Inn04_credits</f>
        <v>1</v>
      </c>
      <c r="G216" s="29"/>
      <c r="H216" s="99">
        <f>Inn04_cont</f>
        <v>0</v>
      </c>
      <c r="I216" s="105" t="str">
        <f>Inn04_minstd</f>
        <v>N/A</v>
      </c>
      <c r="J216" s="66"/>
      <c r="K216" s="233"/>
      <c r="L216" s="577"/>
      <c r="M216" s="648"/>
      <c r="N216" s="69"/>
      <c r="O216" s="99">
        <f>VLOOKUP(D216,Poeng!$B$10:$BC$252,Poeng!AF$1,FALSE)</f>
        <v>0</v>
      </c>
      <c r="P216" s="99" t="str">
        <f>VLOOKUP(D216,Poeng!$B$10:$BH$252,Poeng!BH$1,FALSE)</f>
        <v>N/A</v>
      </c>
      <c r="Q216" s="583"/>
      <c r="R216" s="584"/>
      <c r="S216" s="577"/>
      <c r="T216" s="268"/>
      <c r="U216" s="69"/>
      <c r="V216" s="99">
        <f>VLOOKUP(D216,Poeng!$B$10:$BC$252,Poeng!AG$1,FALSE)</f>
        <v>0</v>
      </c>
      <c r="W216" s="99" t="str">
        <f>VLOOKUP(D216,Poeng!$B$10:$BK$252,Poeng!BK$1,FALSE)</f>
        <v>N/A</v>
      </c>
      <c r="X216" s="67"/>
      <c r="Y216" s="66"/>
      <c r="Z216" s="577"/>
      <c r="AA216" s="108"/>
      <c r="AB216" s="495" t="s">
        <v>216</v>
      </c>
      <c r="AC216" s="17">
        <f t="shared" si="30"/>
        <v>1</v>
      </c>
      <c r="AD216" s="1" t="e">
        <f>VLOOKUP(K216,'Assessment Details'!$O$45:$P$48,2,FALSE)</f>
        <v>#N/A</v>
      </c>
      <c r="AE216" s="1" t="e">
        <f>VLOOKUP(R216,'Assessment Details'!$O$45:$P$48,2,FALSE)</f>
        <v>#N/A</v>
      </c>
      <c r="AF216" s="1" t="e">
        <f>VLOOKUP(Y216,'Assessment Details'!$O$45:$P$48,2,FALSE)</f>
        <v>#N/A</v>
      </c>
      <c r="AI216" s="56"/>
      <c r="AJ216" s="522" t="s">
        <v>531</v>
      </c>
      <c r="AK216" s="56"/>
      <c r="AL216" s="56"/>
      <c r="AM216" s="56"/>
      <c r="AN216" s="56"/>
      <c r="AO216" s="56"/>
      <c r="AP216" s="56"/>
      <c r="AS216" s="17" t="str">
        <f t="shared" si="24"/>
        <v>N/A</v>
      </c>
      <c r="AT216" s="17" t="str">
        <f t="shared" si="25"/>
        <v>N/A</v>
      </c>
      <c r="AU216" s="17" t="str">
        <f t="shared" si="26"/>
        <v>N/A</v>
      </c>
      <c r="AV216" s="17"/>
      <c r="AW216" s="17"/>
      <c r="AX216" s="17"/>
      <c r="AZ216" s="495"/>
    </row>
    <row r="217" spans="1:52">
      <c r="A217" s="830">
        <v>208</v>
      </c>
      <c r="B217" s="831" t="s">
        <v>522</v>
      </c>
      <c r="C217" s="843" t="s">
        <v>522</v>
      </c>
      <c r="D217" s="653" t="s">
        <v>532</v>
      </c>
      <c r="E217" s="267" t="str">
        <f>VLOOKUP(D217,Poeng!$B$10:$R$252,Poeng!E$1,FALSE)</f>
        <v xml:space="preserve">Inn 05 - Ene 01: Post-occupancy stage </v>
      </c>
      <c r="F217" s="98">
        <f>Inn05_credits</f>
        <v>2</v>
      </c>
      <c r="G217" s="29"/>
      <c r="H217" s="99">
        <f>Inn05_cont</f>
        <v>0</v>
      </c>
      <c r="I217" s="105" t="str">
        <f>Inn05_minstd</f>
        <v>N/A</v>
      </c>
      <c r="J217" s="66"/>
      <c r="K217" s="233"/>
      <c r="L217" s="577"/>
      <c r="M217" s="648"/>
      <c r="N217" s="69"/>
      <c r="O217" s="99">
        <f>VLOOKUP(D217,Poeng!$B$10:$BC$252,Poeng!AF$1,FALSE)</f>
        <v>0</v>
      </c>
      <c r="P217" s="99" t="str">
        <f>VLOOKUP(D217,Poeng!$B$10:$BH$252,Poeng!BH$1,FALSE)</f>
        <v>N/A</v>
      </c>
      <c r="Q217" s="583"/>
      <c r="R217" s="584"/>
      <c r="S217" s="577"/>
      <c r="T217" s="268"/>
      <c r="U217" s="69"/>
      <c r="V217" s="99">
        <f>VLOOKUP(D217,Poeng!$B$10:$BC$252,Poeng!AG$1,FALSE)</f>
        <v>0</v>
      </c>
      <c r="W217" s="99" t="str">
        <f>VLOOKUP(D217,Poeng!$B$10:$BK$252,Poeng!BK$1,FALSE)</f>
        <v>N/A</v>
      </c>
      <c r="X217" s="67"/>
      <c r="Y217" s="66"/>
      <c r="Z217" s="577"/>
      <c r="AA217" s="108"/>
      <c r="AB217" s="495" t="s">
        <v>216</v>
      </c>
      <c r="AC217" s="17">
        <f t="shared" si="30"/>
        <v>1</v>
      </c>
      <c r="AD217" s="1" t="e">
        <f>VLOOKUP(K217,'Assessment Details'!$O$45:$P$48,2,FALSE)</f>
        <v>#N/A</v>
      </c>
      <c r="AE217" s="1" t="e">
        <f>VLOOKUP(R217,'Assessment Details'!$O$45:$P$48,2,FALSE)</f>
        <v>#N/A</v>
      </c>
      <c r="AF217" s="1" t="e">
        <f>VLOOKUP(Y217,'Assessment Details'!$O$45:$P$48,2,FALSE)</f>
        <v>#N/A</v>
      </c>
      <c r="AI217" s="56"/>
      <c r="AJ217" s="522" t="s">
        <v>533</v>
      </c>
      <c r="AK217" s="56"/>
      <c r="AL217" s="56"/>
      <c r="AM217" s="56"/>
      <c r="AN217" s="56"/>
      <c r="AO217" s="56"/>
      <c r="AP217" s="56"/>
      <c r="AS217" s="17" t="str">
        <f t="shared" si="24"/>
        <v>N/A</v>
      </c>
      <c r="AT217" s="17" t="str">
        <f t="shared" si="25"/>
        <v>N/A</v>
      </c>
      <c r="AU217" s="17" t="str">
        <f t="shared" si="26"/>
        <v>N/A</v>
      </c>
      <c r="AV217" s="17"/>
      <c r="AW217" s="17"/>
      <c r="AX217" s="17"/>
      <c r="AZ217" s="495"/>
    </row>
    <row r="218" spans="1:52">
      <c r="A218" s="830">
        <v>209</v>
      </c>
      <c r="B218" s="831" t="s">
        <v>522</v>
      </c>
      <c r="C218" s="843" t="s">
        <v>522</v>
      </c>
      <c r="D218" s="653" t="s">
        <v>534</v>
      </c>
      <c r="E218" s="267" t="str">
        <f>VLOOKUP(D218,Poeng!$B$10:$R$252,Poeng!E$1,FALSE)</f>
        <v xml:space="preserve">Inn 06 - Ene 01: Plus house </v>
      </c>
      <c r="F218" s="98">
        <f>Inn06_credits</f>
        <v>1</v>
      </c>
      <c r="G218" s="29"/>
      <c r="H218" s="99">
        <f>Inn06_cont</f>
        <v>0</v>
      </c>
      <c r="I218" s="105" t="str">
        <f>Inn06_minstd</f>
        <v>N/A</v>
      </c>
      <c r="J218" s="66"/>
      <c r="K218" s="233"/>
      <c r="L218" s="577"/>
      <c r="M218" s="648"/>
      <c r="N218" s="69"/>
      <c r="O218" s="99">
        <f>VLOOKUP(D218,Poeng!$B$10:$BC$252,Poeng!AF$1,FALSE)</f>
        <v>0</v>
      </c>
      <c r="P218" s="99" t="str">
        <f>VLOOKUP(D218,Poeng!$B$10:$BH$252,Poeng!BH$1,FALSE)</f>
        <v>N/A</v>
      </c>
      <c r="Q218" s="583"/>
      <c r="R218" s="584"/>
      <c r="S218" s="577"/>
      <c r="T218" s="268"/>
      <c r="U218" s="69"/>
      <c r="V218" s="99">
        <f>VLOOKUP(D218,Poeng!$B$10:$BC$252,Poeng!AG$1,FALSE)</f>
        <v>0</v>
      </c>
      <c r="W218" s="99" t="str">
        <f>VLOOKUP(D218,Poeng!$B$10:$BK$252,Poeng!BK$1,FALSE)</f>
        <v>N/A</v>
      </c>
      <c r="X218" s="67"/>
      <c r="Y218" s="66"/>
      <c r="Z218" s="577"/>
      <c r="AA218" s="108"/>
      <c r="AB218" s="495" t="s">
        <v>216</v>
      </c>
      <c r="AC218" s="17">
        <f t="shared" si="30"/>
        <v>1</v>
      </c>
      <c r="AD218" s="1" t="e">
        <f>VLOOKUP(K218,'Assessment Details'!$O$45:$P$48,2,FALSE)</f>
        <v>#N/A</v>
      </c>
      <c r="AE218" s="1" t="e">
        <f>VLOOKUP(R218,'Assessment Details'!$O$45:$P$48,2,FALSE)</f>
        <v>#N/A</v>
      </c>
      <c r="AF218" s="1" t="e">
        <f>VLOOKUP(Y218,'Assessment Details'!$O$45:$P$48,2,FALSE)</f>
        <v>#N/A</v>
      </c>
      <c r="AI218" s="56"/>
      <c r="AJ218" s="522" t="s">
        <v>535</v>
      </c>
      <c r="AK218" s="56"/>
      <c r="AL218" s="56"/>
      <c r="AM218" s="56"/>
      <c r="AN218" s="56"/>
      <c r="AO218" s="56"/>
      <c r="AP218" s="56"/>
      <c r="AS218" s="17" t="str">
        <f t="shared" si="24"/>
        <v>N/A</v>
      </c>
      <c r="AT218" s="17" t="str">
        <f t="shared" si="25"/>
        <v>N/A</v>
      </c>
      <c r="AU218" s="17" t="str">
        <f t="shared" si="26"/>
        <v>N/A</v>
      </c>
      <c r="AV218" s="17"/>
      <c r="AW218" s="17"/>
      <c r="AX218" s="17"/>
      <c r="AZ218" s="495"/>
    </row>
    <row r="219" spans="1:52">
      <c r="A219" s="830">
        <v>210</v>
      </c>
      <c r="B219" s="831" t="s">
        <v>522</v>
      </c>
      <c r="C219" s="843" t="s">
        <v>522</v>
      </c>
      <c r="D219" s="653" t="s">
        <v>536</v>
      </c>
      <c r="E219" s="267" t="str">
        <f>VLOOKUP(D219,Poeng!$B$10:$R$252,Poeng!E$1,FALSE)</f>
        <v>Inn 07 - Wat 01: Highly water efficient components</v>
      </c>
      <c r="F219" s="98">
        <f>Inn07_credits</f>
        <v>1</v>
      </c>
      <c r="G219" s="29"/>
      <c r="H219" s="99">
        <f>Inn07_cont</f>
        <v>0</v>
      </c>
      <c r="I219" s="105" t="str">
        <f>Inn07_minstd</f>
        <v>N/A</v>
      </c>
      <c r="J219" s="66"/>
      <c r="K219" s="233"/>
      <c r="L219" s="577"/>
      <c r="M219" s="648"/>
      <c r="N219" s="69"/>
      <c r="O219" s="99">
        <f>VLOOKUP(D219,Poeng!$B$10:$BC$252,Poeng!AF$1,FALSE)</f>
        <v>0</v>
      </c>
      <c r="P219" s="99" t="str">
        <f>VLOOKUP(D219,Poeng!$B$10:$BH$252,Poeng!BH$1,FALSE)</f>
        <v>N/A</v>
      </c>
      <c r="Q219" s="583"/>
      <c r="R219" s="584"/>
      <c r="S219" s="577"/>
      <c r="T219" s="268"/>
      <c r="U219" s="69"/>
      <c r="V219" s="99">
        <f>VLOOKUP(D219,Poeng!$B$10:$BC$252,Poeng!AG$1,FALSE)</f>
        <v>0</v>
      </c>
      <c r="W219" s="99" t="str">
        <f>VLOOKUP(D219,Poeng!$B$10:$BK$252,Poeng!BK$1,FALSE)</f>
        <v>N/A</v>
      </c>
      <c r="X219" s="67"/>
      <c r="Y219" s="66"/>
      <c r="Z219" s="577"/>
      <c r="AA219" s="108"/>
      <c r="AB219" s="495" t="s">
        <v>216</v>
      </c>
      <c r="AC219" s="17">
        <f t="shared" si="30"/>
        <v>1</v>
      </c>
      <c r="AD219" s="1" t="e">
        <f>VLOOKUP(K219,'Assessment Details'!$O$45:$P$48,2,FALSE)</f>
        <v>#N/A</v>
      </c>
      <c r="AE219" s="1" t="e">
        <f>VLOOKUP(R219,'Assessment Details'!$O$45:$P$48,2,FALSE)</f>
        <v>#N/A</v>
      </c>
      <c r="AF219" s="1" t="e">
        <f>VLOOKUP(Y219,'Assessment Details'!$O$45:$P$48,2,FALSE)</f>
        <v>#N/A</v>
      </c>
      <c r="AI219" s="56"/>
      <c r="AJ219" s="522" t="s">
        <v>537</v>
      </c>
      <c r="AK219" s="56"/>
      <c r="AL219" s="56"/>
      <c r="AM219" s="56"/>
      <c r="AN219" s="56"/>
      <c r="AO219" s="56"/>
      <c r="AP219" s="56"/>
      <c r="AS219" s="17" t="str">
        <f t="shared" si="24"/>
        <v>N/A</v>
      </c>
      <c r="AT219" s="17" t="str">
        <f t="shared" si="25"/>
        <v>N/A</v>
      </c>
      <c r="AU219" s="17" t="str">
        <f t="shared" si="26"/>
        <v>N/A</v>
      </c>
      <c r="AV219" s="17"/>
      <c r="AW219" s="17"/>
      <c r="AX219" s="17"/>
      <c r="AZ219" s="495"/>
    </row>
    <row r="220" spans="1:52">
      <c r="A220" s="830">
        <v>211</v>
      </c>
      <c r="B220" s="831" t="s">
        <v>522</v>
      </c>
      <c r="C220" s="843" t="s">
        <v>522</v>
      </c>
      <c r="D220" s="653" t="s">
        <v>538</v>
      </c>
      <c r="E220" s="267" t="str">
        <f>VLOOKUP(D220,Poeng!$B$10:$R$252,Poeng!E$1,FALSE)</f>
        <v xml:space="preserve">Inn 08 - Mat 01: 60% reduction of greenhouse gas emission </v>
      </c>
      <c r="F220" s="98">
        <f>Inn08_credits</f>
        <v>1</v>
      </c>
      <c r="G220" s="29"/>
      <c r="H220" s="99">
        <f>Inn08_cont</f>
        <v>0</v>
      </c>
      <c r="I220" s="105" t="str">
        <f>Inn08_minstd</f>
        <v>N/A</v>
      </c>
      <c r="J220" s="66"/>
      <c r="K220" s="233"/>
      <c r="L220" s="577"/>
      <c r="M220" s="648"/>
      <c r="N220" s="69"/>
      <c r="O220" s="99">
        <f>VLOOKUP(D220,Poeng!$B$10:$BC$252,Poeng!AF$1,FALSE)</f>
        <v>0</v>
      </c>
      <c r="P220" s="99" t="str">
        <f>VLOOKUP(D220,Poeng!$B$10:$BH$252,Poeng!BH$1,FALSE)</f>
        <v>N/A</v>
      </c>
      <c r="Q220" s="583"/>
      <c r="R220" s="584"/>
      <c r="S220" s="577"/>
      <c r="T220" s="268"/>
      <c r="U220" s="69"/>
      <c r="V220" s="99">
        <f>VLOOKUP(D220,Poeng!$B$10:$BC$252,Poeng!AG$1,FALSE)</f>
        <v>0</v>
      </c>
      <c r="W220" s="99" t="str">
        <f>VLOOKUP(D220,Poeng!$B$10:$BK$252,Poeng!BK$1,FALSE)</f>
        <v>N/A</v>
      </c>
      <c r="X220" s="67"/>
      <c r="Y220" s="66"/>
      <c r="Z220" s="577"/>
      <c r="AA220" s="108"/>
      <c r="AB220" s="495" t="s">
        <v>216</v>
      </c>
      <c r="AC220" s="17">
        <f t="shared" si="30"/>
        <v>1</v>
      </c>
      <c r="AD220" s="1" t="e">
        <f>VLOOKUP(K220,'Assessment Details'!$O$45:$P$48,2,FALSE)</f>
        <v>#N/A</v>
      </c>
      <c r="AE220" s="1" t="e">
        <f>VLOOKUP(R220,'Assessment Details'!$O$45:$P$48,2,FALSE)</f>
        <v>#N/A</v>
      </c>
      <c r="AF220" s="1" t="e">
        <f>VLOOKUP(Y220,'Assessment Details'!$O$45:$P$48,2,FALSE)</f>
        <v>#N/A</v>
      </c>
      <c r="AI220" s="56"/>
      <c r="AJ220" s="522" t="s">
        <v>539</v>
      </c>
      <c r="AK220" s="56"/>
      <c r="AL220" s="56"/>
      <c r="AM220" s="56"/>
      <c r="AN220" s="56"/>
      <c r="AO220" s="56"/>
      <c r="AP220" s="56"/>
      <c r="AS220" s="17" t="str">
        <f t="shared" si="24"/>
        <v>N/A</v>
      </c>
      <c r="AT220" s="17" t="str">
        <f t="shared" si="25"/>
        <v>N/A</v>
      </c>
      <c r="AU220" s="17" t="str">
        <f t="shared" si="26"/>
        <v>N/A</v>
      </c>
      <c r="AV220" s="17"/>
      <c r="AW220" s="17"/>
      <c r="AX220" s="17"/>
      <c r="AZ220" s="495"/>
    </row>
    <row r="221" spans="1:52" ht="34.5" customHeight="1">
      <c r="A221" s="830">
        <v>212</v>
      </c>
      <c r="B221" s="831" t="s">
        <v>522</v>
      </c>
      <c r="C221" s="844" t="s">
        <v>522</v>
      </c>
      <c r="D221" s="653" t="s">
        <v>540</v>
      </c>
      <c r="E221" s="288" t="str">
        <f>VLOOKUP(D221,Poeng!$B$10:$R$252,Poeng!E$1,FALSE)</f>
        <v>Inn 09 - Mat 06: FutureBuilt criteria set for circular buildings, point 2.3 reuse of building components</v>
      </c>
      <c r="F221" s="98">
        <f>Inn09_credits</f>
        <v>1</v>
      </c>
      <c r="G221" s="29"/>
      <c r="H221" s="99">
        <f>Inn09_cont</f>
        <v>0</v>
      </c>
      <c r="I221" s="105" t="str">
        <f>Inn09_minstd</f>
        <v>N/A</v>
      </c>
      <c r="J221" s="66"/>
      <c r="K221" s="233"/>
      <c r="L221" s="577"/>
      <c r="M221" s="648"/>
      <c r="N221" s="69"/>
      <c r="O221" s="99">
        <f>VLOOKUP(D221,Poeng!$B$10:$BC$252,Poeng!AF$1,FALSE)</f>
        <v>0</v>
      </c>
      <c r="P221" s="99" t="str">
        <f>VLOOKUP(D221,Poeng!$B$10:$BH$252,Poeng!BH$1,FALSE)</f>
        <v>N/A</v>
      </c>
      <c r="Q221" s="583"/>
      <c r="R221" s="584"/>
      <c r="S221" s="577"/>
      <c r="T221" s="268"/>
      <c r="U221" s="69"/>
      <c r="V221" s="99">
        <f>VLOOKUP(D221,Poeng!$B$10:$BC$252,Poeng!AG$1,FALSE)</f>
        <v>0</v>
      </c>
      <c r="W221" s="99" t="str">
        <f>VLOOKUP(D221,Poeng!$B$10:$BK$252,Poeng!BK$1,FALSE)</f>
        <v>N/A</v>
      </c>
      <c r="X221" s="67"/>
      <c r="Y221" s="66"/>
      <c r="Z221" s="577"/>
      <c r="AA221" s="108"/>
      <c r="AB221" s="495" t="s">
        <v>216</v>
      </c>
      <c r="AC221" s="17">
        <f t="shared" si="30"/>
        <v>1</v>
      </c>
      <c r="AD221" s="1" t="e">
        <f>VLOOKUP(K221,'Assessment Details'!$O$45:$P$48,2,FALSE)</f>
        <v>#N/A</v>
      </c>
      <c r="AE221" s="1" t="e">
        <f>VLOOKUP(R221,'Assessment Details'!$O$45:$P$48,2,FALSE)</f>
        <v>#N/A</v>
      </c>
      <c r="AF221" s="1" t="e">
        <f>VLOOKUP(Y221,'Assessment Details'!$O$45:$P$48,2,FALSE)</f>
        <v>#N/A</v>
      </c>
      <c r="AI221" s="56"/>
      <c r="AJ221" s="522" t="s">
        <v>541</v>
      </c>
      <c r="AK221" s="56"/>
      <c r="AL221" s="56"/>
      <c r="AM221" s="56"/>
      <c r="AN221" s="56"/>
      <c r="AO221" s="56"/>
      <c r="AP221" s="56"/>
      <c r="AS221" s="17" t="str">
        <f t="shared" si="24"/>
        <v>N/A</v>
      </c>
      <c r="AT221" s="17" t="str">
        <f t="shared" si="25"/>
        <v>N/A</v>
      </c>
      <c r="AU221" s="17" t="str">
        <f t="shared" si="26"/>
        <v>N/A</v>
      </c>
      <c r="AV221" s="17"/>
      <c r="AW221" s="17"/>
      <c r="AX221" s="17"/>
      <c r="AZ221" s="495"/>
    </row>
    <row r="222" spans="1:52">
      <c r="A222" s="830">
        <v>213</v>
      </c>
      <c r="B222" s="831" t="s">
        <v>522</v>
      </c>
      <c r="C222" s="843" t="s">
        <v>522</v>
      </c>
      <c r="D222" s="653" t="s">
        <v>542</v>
      </c>
      <c r="E222" s="267" t="str">
        <f>VLOOKUP(D222,Poeng!$B$10:$R$252,Poeng!E$1,FALSE)</f>
        <v xml:space="preserve">Inn 10 - Wst 01: Especially low amount of construction waste </v>
      </c>
      <c r="F222" s="558">
        <f>Inn10_credits</f>
        <v>1</v>
      </c>
      <c r="G222" s="29"/>
      <c r="H222" s="99">
        <f>Inn10_cont</f>
        <v>0</v>
      </c>
      <c r="I222" s="105" t="str">
        <f>Inn10_minstd</f>
        <v>N/A</v>
      </c>
      <c r="J222" s="66"/>
      <c r="K222" s="233"/>
      <c r="L222" s="577"/>
      <c r="M222" s="648"/>
      <c r="N222" s="69"/>
      <c r="O222" s="99">
        <f>VLOOKUP(D222,Poeng!$B$10:$BC$252,Poeng!AF$1,FALSE)</f>
        <v>0</v>
      </c>
      <c r="P222" s="99" t="str">
        <f>VLOOKUP(D222,Poeng!$B$10:$BH$252,Poeng!BH$1,FALSE)</f>
        <v>N/A</v>
      </c>
      <c r="Q222" s="583"/>
      <c r="R222" s="584"/>
      <c r="S222" s="577"/>
      <c r="T222" s="268"/>
      <c r="U222" s="69"/>
      <c r="V222" s="99">
        <f>VLOOKUP(D222,Poeng!$B$10:$BC$252,Poeng!AG$1,FALSE)</f>
        <v>0</v>
      </c>
      <c r="W222" s="99" t="str">
        <f>VLOOKUP(D222,Poeng!$B$10:$BK$252,Poeng!BK$1,FALSE)</f>
        <v>N/A</v>
      </c>
      <c r="X222" s="67"/>
      <c r="Y222" s="66"/>
      <c r="Z222" s="577"/>
      <c r="AA222" s="108"/>
      <c r="AB222" s="559"/>
      <c r="AC222" s="17">
        <f t="shared" si="30"/>
        <v>1</v>
      </c>
      <c r="AD222" s="1" t="e">
        <f>VLOOKUP(K222,'Assessment Details'!$O$45:$P$48,2,FALSE)</f>
        <v>#N/A</v>
      </c>
      <c r="AE222" s="1" t="e">
        <f>VLOOKUP(R222,'Assessment Details'!$O$45:$P$48,2,FALSE)</f>
        <v>#N/A</v>
      </c>
      <c r="AF222" s="1" t="e">
        <f>VLOOKUP(Y222,'Assessment Details'!$O$45:$P$48,2,FALSE)</f>
        <v>#N/A</v>
      </c>
      <c r="AI222" s="56"/>
      <c r="AJ222" s="522"/>
      <c r="AK222" s="56"/>
      <c r="AL222" s="56"/>
      <c r="AM222" s="56"/>
      <c r="AN222" s="56"/>
      <c r="AO222" s="56"/>
      <c r="AP222" s="56"/>
      <c r="AS222" s="17"/>
      <c r="AT222" s="17"/>
      <c r="AU222" s="17"/>
      <c r="AV222" s="17"/>
      <c r="AW222" s="17"/>
      <c r="AX222" s="17"/>
      <c r="AZ222" s="559"/>
    </row>
    <row r="223" spans="1:52">
      <c r="A223" s="830">
        <v>214</v>
      </c>
      <c r="B223" s="831" t="s">
        <v>522</v>
      </c>
      <c r="C223" s="843" t="s">
        <v>522</v>
      </c>
      <c r="D223" s="653" t="s">
        <v>543</v>
      </c>
      <c r="E223" s="267" t="str">
        <f>VLOOKUP(D223,Poeng!$B$10:$R$252,Poeng!E$1,FALSE)</f>
        <v>Inn 11 - LE 02: Wider sustainability for the site</v>
      </c>
      <c r="F223" s="558">
        <f>Inn11_credits</f>
        <v>1</v>
      </c>
      <c r="G223" s="29"/>
      <c r="H223" s="99">
        <f>Inn11_cont</f>
        <v>0</v>
      </c>
      <c r="I223" s="105" t="str">
        <f>Inn11_minstd</f>
        <v>N/A</v>
      </c>
      <c r="J223" s="66"/>
      <c r="K223" s="233"/>
      <c r="L223" s="577"/>
      <c r="M223" s="648"/>
      <c r="N223" s="69"/>
      <c r="O223" s="99">
        <f>VLOOKUP(D223,Poeng!$B$10:$BC$252,Poeng!AF$1,FALSE)</f>
        <v>0</v>
      </c>
      <c r="P223" s="99" t="str">
        <f>VLOOKUP(D223,Poeng!$B$10:$BH$252,Poeng!BH$1,FALSE)</f>
        <v>N/A</v>
      </c>
      <c r="Q223" s="583"/>
      <c r="R223" s="584"/>
      <c r="S223" s="577"/>
      <c r="T223" s="268"/>
      <c r="U223" s="69"/>
      <c r="V223" s="99">
        <f>VLOOKUP(D223,Poeng!$B$10:$BC$252,Poeng!AG$1,FALSE)</f>
        <v>0</v>
      </c>
      <c r="W223" s="99" t="str">
        <f>VLOOKUP(D223,Poeng!$B$10:$BK$252,Poeng!BK$1,FALSE)</f>
        <v>N/A</v>
      </c>
      <c r="X223" s="67"/>
      <c r="Y223" s="66"/>
      <c r="Z223" s="577"/>
      <c r="AA223" s="108"/>
      <c r="AB223" s="559"/>
      <c r="AC223" s="17">
        <f t="shared" si="30"/>
        <v>1</v>
      </c>
      <c r="AD223" s="1" t="e">
        <f>VLOOKUP(K223,'Assessment Details'!$O$45:$P$48,2,FALSE)</f>
        <v>#N/A</v>
      </c>
      <c r="AE223" s="1" t="e">
        <f>VLOOKUP(R223,'Assessment Details'!$O$45:$P$48,2,FALSE)</f>
        <v>#N/A</v>
      </c>
      <c r="AF223" s="1" t="e">
        <f>VLOOKUP(Y223,'Assessment Details'!$O$45:$P$48,2,FALSE)</f>
        <v>#N/A</v>
      </c>
      <c r="AI223" s="56"/>
      <c r="AJ223" s="522"/>
      <c r="AK223" s="56"/>
      <c r="AL223" s="56"/>
      <c r="AM223" s="56"/>
      <c r="AN223" s="56"/>
      <c r="AO223" s="56"/>
      <c r="AP223" s="56"/>
      <c r="AS223" s="17"/>
      <c r="AT223" s="17"/>
      <c r="AU223" s="17"/>
      <c r="AV223" s="17"/>
      <c r="AW223" s="17"/>
      <c r="AX223" s="17"/>
      <c r="AZ223" s="559"/>
    </row>
    <row r="224" spans="1:52">
      <c r="A224" s="830">
        <v>215</v>
      </c>
      <c r="B224" s="831" t="s">
        <v>522</v>
      </c>
      <c r="C224" s="843" t="s">
        <v>522</v>
      </c>
      <c r="D224" s="653" t="s">
        <v>544</v>
      </c>
      <c r="E224" s="267" t="str">
        <f>VLOOKUP(D224,Poeng!$B$10:$R$252,Poeng!E$1,FALSE)</f>
        <v>Inn 12 - LE 04: Significant net gain of biodiversity</v>
      </c>
      <c r="F224" s="558">
        <f>Inn12_credits</f>
        <v>1</v>
      </c>
      <c r="G224" s="29"/>
      <c r="H224" s="99">
        <f>Inn12_cont</f>
        <v>0</v>
      </c>
      <c r="I224" s="105" t="str">
        <f>Inn12_minstd</f>
        <v>N/A</v>
      </c>
      <c r="J224" s="66"/>
      <c r="K224" s="233"/>
      <c r="L224" s="577"/>
      <c r="M224" s="648"/>
      <c r="N224" s="69"/>
      <c r="O224" s="99">
        <f>VLOOKUP(D224,Poeng!$B$10:$BC$252,Poeng!AF$1,FALSE)</f>
        <v>0</v>
      </c>
      <c r="P224" s="99" t="str">
        <f>VLOOKUP(D224,Poeng!$B$10:$BH$252,Poeng!BH$1,FALSE)</f>
        <v>N/A</v>
      </c>
      <c r="Q224" s="583"/>
      <c r="R224" s="584"/>
      <c r="S224" s="577"/>
      <c r="T224" s="268"/>
      <c r="U224" s="69"/>
      <c r="V224" s="99">
        <f>VLOOKUP(D224,Poeng!$B$10:$BC$252,Poeng!AG$1,FALSE)</f>
        <v>0</v>
      </c>
      <c r="W224" s="99" t="str">
        <f>VLOOKUP(D224,Poeng!$B$10:$BK$252,Poeng!BK$1,FALSE)</f>
        <v>N/A</v>
      </c>
      <c r="X224" s="67"/>
      <c r="Y224" s="66"/>
      <c r="Z224" s="577"/>
      <c r="AA224" s="108"/>
      <c r="AB224" s="559"/>
      <c r="AC224" s="17">
        <f t="shared" si="30"/>
        <v>1</v>
      </c>
      <c r="AD224" s="1" t="e">
        <f>VLOOKUP(K224,'Assessment Details'!$O$45:$P$48,2,FALSE)</f>
        <v>#N/A</v>
      </c>
      <c r="AE224" s="1" t="e">
        <f>VLOOKUP(R224,'Assessment Details'!$O$45:$P$48,2,FALSE)</f>
        <v>#N/A</v>
      </c>
      <c r="AF224" s="1" t="e">
        <f>VLOOKUP(Y224,'Assessment Details'!$O$45:$P$48,2,FALSE)</f>
        <v>#N/A</v>
      </c>
      <c r="AI224" s="56"/>
      <c r="AJ224" s="522"/>
      <c r="AK224" s="56"/>
      <c r="AL224" s="56"/>
      <c r="AM224" s="56"/>
      <c r="AN224" s="56"/>
      <c r="AO224" s="56"/>
      <c r="AP224" s="56"/>
      <c r="AS224" s="17"/>
      <c r="AT224" s="17"/>
      <c r="AU224" s="17"/>
      <c r="AV224" s="17"/>
      <c r="AW224" s="17"/>
      <c r="AX224" s="17"/>
      <c r="AZ224" s="559"/>
    </row>
    <row r="225" spans="1:52">
      <c r="A225" s="830">
        <v>216</v>
      </c>
      <c r="B225" s="831" t="s">
        <v>522</v>
      </c>
      <c r="C225" s="843" t="s">
        <v>522</v>
      </c>
      <c r="D225" s="653" t="s">
        <v>545</v>
      </c>
      <c r="E225" s="267" t="str">
        <f>VLOOKUP(D225,Poeng!$B$10:$R$252,Poeng!E$1,FALSE)</f>
        <v>Inn 13 - LE 06: Responding to climate change</v>
      </c>
      <c r="F225" s="558">
        <f>Inn13_credits</f>
        <v>1</v>
      </c>
      <c r="G225" s="29"/>
      <c r="H225" s="99">
        <f>Inn13_cont</f>
        <v>0</v>
      </c>
      <c r="I225" s="105" t="str">
        <f>Inn13_minstd</f>
        <v>N/A</v>
      </c>
      <c r="J225" s="66"/>
      <c r="K225" s="233"/>
      <c r="L225" s="577"/>
      <c r="M225" s="648"/>
      <c r="N225" s="69"/>
      <c r="O225" s="99">
        <f>VLOOKUP(D225,Poeng!$B$10:$BC$252,Poeng!AF$1,FALSE)</f>
        <v>0</v>
      </c>
      <c r="P225" s="99" t="str">
        <f>VLOOKUP(D225,Poeng!$B$10:$BH$252,Poeng!BH$1,FALSE)</f>
        <v>N/A</v>
      </c>
      <c r="Q225" s="583"/>
      <c r="R225" s="584"/>
      <c r="S225" s="577"/>
      <c r="T225" s="268"/>
      <c r="U225" s="69"/>
      <c r="V225" s="99">
        <f>VLOOKUP(D225,Poeng!$B$10:$BC$252,Poeng!AG$1,FALSE)</f>
        <v>0</v>
      </c>
      <c r="W225" s="99" t="str">
        <f>VLOOKUP(D225,Poeng!$B$10:$BK$252,Poeng!BK$1,FALSE)</f>
        <v>N/A</v>
      </c>
      <c r="X225" s="67"/>
      <c r="Y225" s="66"/>
      <c r="Z225" s="577"/>
      <c r="AA225" s="108"/>
      <c r="AB225" s="559"/>
      <c r="AC225" s="17">
        <f t="shared" si="30"/>
        <v>1</v>
      </c>
      <c r="AD225" s="1" t="e">
        <f>VLOOKUP(K225,'Assessment Details'!$O$45:$P$48,2,FALSE)</f>
        <v>#N/A</v>
      </c>
      <c r="AE225" s="1" t="e">
        <f>VLOOKUP(R225,'Assessment Details'!$O$45:$P$48,2,FALSE)</f>
        <v>#N/A</v>
      </c>
      <c r="AF225" s="1" t="e">
        <f>VLOOKUP(Y225,'Assessment Details'!$O$45:$P$48,2,FALSE)</f>
        <v>#N/A</v>
      </c>
      <c r="AI225" s="56"/>
      <c r="AJ225" s="522"/>
      <c r="AK225" s="56"/>
      <c r="AL225" s="56"/>
      <c r="AM225" s="56"/>
      <c r="AN225" s="56"/>
      <c r="AO225" s="56"/>
      <c r="AP225" s="56"/>
      <c r="AS225" s="17"/>
      <c r="AT225" s="17"/>
      <c r="AU225" s="17"/>
      <c r="AV225" s="17"/>
      <c r="AW225" s="17"/>
      <c r="AX225" s="17"/>
      <c r="AZ225" s="559"/>
    </row>
    <row r="226" spans="1:52">
      <c r="A226" s="830">
        <v>217</v>
      </c>
      <c r="B226" s="831" t="s">
        <v>522</v>
      </c>
      <c r="C226" s="834" t="s">
        <v>522</v>
      </c>
      <c r="D226" s="653" t="s">
        <v>546</v>
      </c>
      <c r="E226" s="267" t="str">
        <f>VLOOKUP(D226,Poeng!$B$10:$R$252,Poeng!E$1,FALSE)</f>
        <v>Inn 14 - LE 08: Wider approach to surface water management</v>
      </c>
      <c r="F226" s="558">
        <f>Poeng!AB230</f>
        <v>1</v>
      </c>
      <c r="G226" s="29"/>
      <c r="H226" s="688">
        <f>Poeng!AE230</f>
        <v>0</v>
      </c>
      <c r="I226" s="689" t="str">
        <f>Poeng!BE230</f>
        <v>N/A</v>
      </c>
      <c r="J226" s="66"/>
      <c r="K226" s="233"/>
      <c r="L226" s="577"/>
      <c r="M226" s="648"/>
      <c r="N226" s="69"/>
      <c r="O226" s="99">
        <f>VLOOKUP(D226,Poeng!$B$10:$BC$252,Poeng!AF$1,FALSE)</f>
        <v>0</v>
      </c>
      <c r="P226" s="99" t="str">
        <f>VLOOKUP(D226,Poeng!$B$10:$BH$252,Poeng!BH$1,FALSE)</f>
        <v>N/A</v>
      </c>
      <c r="Q226" s="583"/>
      <c r="R226" s="584"/>
      <c r="S226" s="577"/>
      <c r="T226" s="268"/>
      <c r="U226" s="69"/>
      <c r="V226" s="99">
        <f>VLOOKUP(D226,Poeng!$B$10:$BC$252,Poeng!AG$1,FALSE)</f>
        <v>0</v>
      </c>
      <c r="W226" s="99" t="str">
        <f>VLOOKUP(D226,Poeng!$B$10:$BK$252,Poeng!BK$1,FALSE)</f>
        <v>N/A</v>
      </c>
      <c r="X226" s="67"/>
      <c r="Y226" s="66"/>
      <c r="Z226" s="577"/>
      <c r="AA226" s="108"/>
      <c r="AB226" s="559"/>
      <c r="AC226" s="17">
        <f t="shared" si="30"/>
        <v>1</v>
      </c>
      <c r="AD226" s="1" t="e">
        <f>VLOOKUP(K226,'Assessment Details'!$O$45:$P$48,2,FALSE)</f>
        <v>#N/A</v>
      </c>
      <c r="AE226" s="1" t="e">
        <f>VLOOKUP(R226,'Assessment Details'!$O$45:$P$48,2,FALSE)</f>
        <v>#N/A</v>
      </c>
      <c r="AF226" s="1" t="e">
        <f>VLOOKUP(Y226,'Assessment Details'!$O$45:$P$48,2,FALSE)</f>
        <v>#N/A</v>
      </c>
      <c r="AI226" s="56"/>
      <c r="AJ226" s="522"/>
      <c r="AK226" s="56"/>
      <c r="AL226" s="56"/>
      <c r="AM226" s="56"/>
      <c r="AN226" s="56"/>
      <c r="AO226" s="56"/>
      <c r="AP226" s="56"/>
      <c r="AS226" s="17"/>
      <c r="AT226" s="17"/>
      <c r="AU226" s="17"/>
      <c r="AV226" s="17"/>
      <c r="AW226" s="17"/>
      <c r="AX226" s="17"/>
      <c r="AZ226" s="559"/>
    </row>
    <row r="227" spans="1:52" ht="15" customHeight="1" thickBot="1">
      <c r="A227" s="830">
        <v>218</v>
      </c>
      <c r="B227" s="831" t="s">
        <v>522</v>
      </c>
      <c r="C227" s="835" t="s">
        <v>522</v>
      </c>
      <c r="D227" s="653" t="s">
        <v>547</v>
      </c>
      <c r="E227" s="289" t="s">
        <v>548</v>
      </c>
      <c r="F227" s="101">
        <f>Inn_Credits</f>
        <v>10</v>
      </c>
      <c r="G227" s="106"/>
      <c r="H227" s="102">
        <f>Inn_cont_tot</f>
        <v>0</v>
      </c>
      <c r="I227" s="693" t="str">
        <f>"Credits achieved: "&amp;Inn_tot_user</f>
        <v>Credits achieved: 0</v>
      </c>
      <c r="J227" s="109"/>
      <c r="K227" s="234"/>
      <c r="L227" s="585"/>
      <c r="M227" s="648"/>
      <c r="N227" s="326"/>
      <c r="O227" s="102">
        <f>VLOOKUP(D227,Poeng!$B$10:$BC$252,Poeng!AF$1,FALSE)</f>
        <v>0</v>
      </c>
      <c r="P227" s="693" t="str">
        <f>"Credits achieved: "&amp;Inn_d_user</f>
        <v>Credits achieved: 0</v>
      </c>
      <c r="Q227" s="586"/>
      <c r="R227" s="587"/>
      <c r="S227" s="585"/>
      <c r="T227" s="268"/>
      <c r="U227" s="326"/>
      <c r="V227" s="102">
        <f>VLOOKUP(D227,Poeng!$B$10:$BC$252,Poeng!AG$1,FALSE)</f>
        <v>0</v>
      </c>
      <c r="W227" s="693" t="str">
        <f>"Credits achieved: "&amp;Inn_c_user</f>
        <v>Credits achieved: 0</v>
      </c>
      <c r="X227" s="325"/>
      <c r="Y227" s="111"/>
      <c r="Z227" s="595"/>
      <c r="AA227" s="108"/>
      <c r="AB227" s="496"/>
      <c r="AC227" s="17">
        <f t="shared" si="30"/>
        <v>1</v>
      </c>
      <c r="AD227" s="230">
        <v>0</v>
      </c>
      <c r="AE227" s="230">
        <v>0</v>
      </c>
      <c r="AF227" s="230">
        <v>0</v>
      </c>
      <c r="AI227" s="56"/>
      <c r="AJ227" s="522" t="s">
        <v>548</v>
      </c>
      <c r="AK227" s="56"/>
      <c r="AL227" s="56"/>
      <c r="AM227" s="56"/>
      <c r="AN227" s="56"/>
      <c r="AO227" s="56"/>
      <c r="AP227" s="56"/>
      <c r="AS227" s="17" t="str">
        <f t="shared" si="24"/>
        <v>N/A</v>
      </c>
      <c r="AT227" s="17" t="str">
        <f t="shared" si="25"/>
        <v>N/A</v>
      </c>
      <c r="AU227" s="17" t="str">
        <f t="shared" si="26"/>
        <v>N/A</v>
      </c>
      <c r="AV227" s="17"/>
      <c r="AW227" s="17"/>
      <c r="AX227" s="17"/>
      <c r="AZ227" s="496"/>
    </row>
    <row r="228" spans="1:52">
      <c r="A228" s="830"/>
      <c r="B228" s="831"/>
      <c r="C228" s="826"/>
      <c r="D228" s="653"/>
      <c r="E228" s="31"/>
      <c r="J228" s="31"/>
      <c r="M228" s="649"/>
      <c r="N228" s="455"/>
      <c r="O228" s="455"/>
      <c r="P228" s="1"/>
      <c r="Q228" s="7"/>
      <c r="R228" s="596"/>
      <c r="S228" s="596"/>
      <c r="T228" s="68"/>
      <c r="U228" s="5"/>
      <c r="V228" s="5"/>
      <c r="W228" s="1"/>
      <c r="X228" s="232"/>
      <c r="Y228" s="5"/>
      <c r="Z228" s="596"/>
      <c r="AA228" s="68"/>
      <c r="AB228" s="68"/>
      <c r="AC228" s="17"/>
      <c r="AD228" s="231"/>
      <c r="AE228" s="231"/>
      <c r="AF228" s="231"/>
    </row>
    <row r="229" spans="1:52">
      <c r="A229" s="832"/>
      <c r="B229" s="833"/>
      <c r="C229" s="654"/>
      <c r="D229" s="654"/>
      <c r="E229" s="20"/>
      <c r="N229" s="455"/>
      <c r="O229" s="455"/>
      <c r="P229" s="455"/>
      <c r="Q229" s="596"/>
      <c r="R229" s="596"/>
      <c r="S229" s="597"/>
      <c r="T229" s="68"/>
      <c r="U229" s="5"/>
      <c r="V229" s="5"/>
      <c r="W229" s="455"/>
      <c r="X229" s="5"/>
      <c r="Y229" s="5"/>
      <c r="Z229" s="597"/>
      <c r="AA229" s="68"/>
      <c r="AB229" s="68"/>
      <c r="AC229" s="17"/>
      <c r="AD229" s="1"/>
      <c r="AE229" s="1"/>
      <c r="AF229" s="1"/>
    </row>
    <row r="230" spans="1:52">
      <c r="A230" s="833"/>
      <c r="B230" s="833"/>
      <c r="C230" s="654"/>
      <c r="D230" s="654"/>
      <c r="E230" s="238"/>
      <c r="F230" s="13"/>
      <c r="N230" s="455"/>
      <c r="O230" s="455"/>
      <c r="P230" s="455"/>
      <c r="Q230" s="596"/>
      <c r="R230" s="596"/>
      <c r="S230" s="598"/>
      <c r="T230" s="68"/>
      <c r="U230" s="5"/>
      <c r="V230" s="5"/>
      <c r="W230" s="455"/>
      <c r="X230" s="5"/>
      <c r="Y230" s="5"/>
      <c r="Z230" s="598"/>
      <c r="AA230" s="68"/>
      <c r="AB230" s="68"/>
      <c r="AC230" s="17"/>
      <c r="AD230" s="1"/>
      <c r="AE230" s="1"/>
      <c r="AF230" s="1"/>
    </row>
    <row r="231" spans="1:52">
      <c r="D231" s="14"/>
      <c r="E231" s="20"/>
      <c r="F231" s="19"/>
      <c r="N231" s="455"/>
      <c r="O231" s="455"/>
      <c r="P231" s="455"/>
      <c r="Q231" s="596"/>
      <c r="R231" s="596"/>
      <c r="S231" s="597"/>
      <c r="T231" s="68"/>
      <c r="U231" s="5"/>
      <c r="V231" s="5"/>
      <c r="W231" s="5"/>
      <c r="X231" s="5"/>
      <c r="Y231" s="5"/>
      <c r="Z231" s="597"/>
      <c r="AA231" s="68"/>
      <c r="AB231" s="68"/>
      <c r="AC231" s="17"/>
      <c r="AD231" s="1"/>
      <c r="AE231" s="1"/>
      <c r="AF231" s="1"/>
    </row>
    <row r="232" spans="1:52">
      <c r="D232" s="14"/>
      <c r="E232" s="21"/>
      <c r="F232" s="13"/>
      <c r="N232" s="455"/>
      <c r="O232" s="455"/>
      <c r="P232" s="455"/>
      <c r="Q232" s="596"/>
      <c r="R232" s="596"/>
      <c r="S232" s="598"/>
      <c r="T232" s="68"/>
      <c r="U232" s="5"/>
      <c r="V232" s="5"/>
      <c r="W232" s="5"/>
      <c r="X232" s="5"/>
      <c r="Y232" s="5"/>
      <c r="Z232" s="598"/>
      <c r="AA232" s="68"/>
      <c r="AB232" s="68"/>
      <c r="AC232" s="17"/>
      <c r="AD232" s="1"/>
      <c r="AE232" s="1"/>
      <c r="AF232" s="1"/>
    </row>
    <row r="233" spans="1:52">
      <c r="D233" s="14"/>
      <c r="E233" s="20"/>
      <c r="F233" s="19"/>
      <c r="N233" s="455"/>
      <c r="O233" s="455"/>
      <c r="P233" s="455"/>
      <c r="Q233" s="596"/>
      <c r="R233" s="596"/>
      <c r="S233" s="597"/>
      <c r="T233" s="68"/>
      <c r="U233" s="5"/>
      <c r="V233" s="5"/>
      <c r="W233" s="5"/>
      <c r="X233" s="5"/>
      <c r="Y233" s="5"/>
      <c r="Z233" s="597"/>
      <c r="AA233" s="68"/>
      <c r="AB233" s="68"/>
      <c r="AC233" s="17"/>
      <c r="AD233" s="7"/>
      <c r="AE233" s="7"/>
      <c r="AF233" s="7"/>
      <c r="AG233" s="7"/>
      <c r="AH233" s="7"/>
      <c r="AI233" s="7"/>
      <c r="AY233" s="7"/>
      <c r="AZ233" s="7"/>
    </row>
    <row r="234" spans="1:52">
      <c r="D234" s="14"/>
      <c r="N234" s="455"/>
      <c r="O234" s="455"/>
      <c r="P234" s="455"/>
      <c r="Q234" s="596"/>
      <c r="R234" s="596"/>
      <c r="S234" s="596"/>
      <c r="T234" s="68"/>
      <c r="U234" s="5"/>
      <c r="V234" s="5"/>
      <c r="W234" s="5"/>
      <c r="X234" s="5"/>
      <c r="Y234" s="5"/>
      <c r="Z234" s="596"/>
      <c r="AA234" s="68"/>
      <c r="AB234" s="68"/>
      <c r="AC234" s="17"/>
      <c r="AD234" s="1"/>
      <c r="AE234" s="1"/>
      <c r="AF234" s="1"/>
      <c r="AJ234" s="7"/>
      <c r="AK234" s="7"/>
      <c r="AL234" s="7"/>
      <c r="AM234" s="7"/>
      <c r="AN234" s="7"/>
      <c r="AO234" s="7"/>
      <c r="AP234" s="7"/>
      <c r="AS234" s="7"/>
      <c r="AT234" s="7"/>
      <c r="AU234" s="7"/>
      <c r="AV234" s="7"/>
      <c r="AW234" s="7"/>
      <c r="AX234" s="7"/>
    </row>
    <row r="235" spans="1:52">
      <c r="D235" s="14"/>
      <c r="N235" s="455"/>
      <c r="O235" s="455"/>
      <c r="P235" s="455"/>
      <c r="Q235" s="596"/>
      <c r="R235" s="596"/>
      <c r="S235" s="596"/>
      <c r="T235" s="68"/>
      <c r="U235" s="5"/>
      <c r="V235" s="5"/>
      <c r="W235" s="5"/>
      <c r="X235" s="5"/>
      <c r="Y235" s="5"/>
      <c r="Z235" s="596"/>
      <c r="AA235" s="68"/>
      <c r="AB235" s="68"/>
      <c r="AC235" s="17"/>
      <c r="AD235" s="1"/>
      <c r="AE235" s="1"/>
      <c r="AF235" s="1"/>
    </row>
    <row r="236" spans="1:52">
      <c r="D236" s="14"/>
      <c r="N236" s="455"/>
      <c r="O236" s="455"/>
      <c r="P236" s="455"/>
      <c r="Q236" s="596"/>
      <c r="R236" s="596"/>
      <c r="S236" s="596"/>
      <c r="T236" s="68"/>
      <c r="U236" s="5"/>
      <c r="V236" s="5"/>
      <c r="W236" s="5"/>
      <c r="X236" s="5"/>
      <c r="Y236" s="5"/>
      <c r="Z236" s="596"/>
      <c r="AA236" s="68"/>
      <c r="AB236" s="68"/>
      <c r="AC236" s="17"/>
      <c r="AD236" s="1"/>
      <c r="AE236" s="1"/>
      <c r="AF236" s="1"/>
    </row>
    <row r="237" spans="1:52" hidden="1">
      <c r="B237" s="653" t="s">
        <v>286</v>
      </c>
      <c r="C237" s="653"/>
      <c r="D237" s="653"/>
      <c r="E237" s="267" t="str">
        <f>Hea02_Crit1</f>
        <v>Pre-requisite: A site-specific indoor air quality plan has been produced</v>
      </c>
      <c r="F237" s="98" t="str">
        <f>Hea02_Crit1_credits</f>
        <v>Yes/No</v>
      </c>
      <c r="G237" s="29"/>
      <c r="H237" s="99"/>
      <c r="I237" s="103" t="str">
        <f>Hea02_minst_crit</f>
        <v>Unclassified</v>
      </c>
      <c r="J237" s="66"/>
      <c r="K237" s="233" t="s">
        <v>181</v>
      </c>
      <c r="L237" s="577"/>
      <c r="M237" s="648"/>
      <c r="N237" s="69"/>
      <c r="O237" s="704"/>
      <c r="P237" s="704"/>
      <c r="Q237" s="583"/>
      <c r="R237" s="584"/>
      <c r="S237" s="577"/>
      <c r="T237" s="268"/>
      <c r="U237" s="69"/>
      <c r="V237" s="704"/>
      <c r="W237" s="704"/>
      <c r="X237" s="67"/>
      <c r="Y237" s="66"/>
      <c r="Z237" s="577"/>
      <c r="AA237" s="108"/>
      <c r="AB237" s="495" t="s">
        <v>216</v>
      </c>
      <c r="AC237" s="17">
        <f>AC46</f>
        <v>1</v>
      </c>
      <c r="AD237" s="1">
        <f>VLOOKUP(K237,'Assessment Details'!$O$45:$P$48,2,FALSE)</f>
        <v>3</v>
      </c>
      <c r="AE237" s="1" t="e">
        <f>VLOOKUP(R237,'Assessment Details'!$O$45:$P$48,2,FALSE)</f>
        <v>#N/A</v>
      </c>
      <c r="AF237" s="1" t="e">
        <f>VLOOKUP(Y237,'Assessment Details'!$O$45:$P$48,2,FALSE)</f>
        <v>#N/A</v>
      </c>
      <c r="AI237" s="56"/>
      <c r="AJ237" s="522" t="s">
        <v>549</v>
      </c>
      <c r="AK237" s="56"/>
      <c r="AL237" s="56"/>
      <c r="AM237" s="56"/>
      <c r="AN237" s="56"/>
      <c r="AO237" s="56"/>
      <c r="AP237" s="56"/>
      <c r="AS237" s="17" t="str">
        <f>IF($AJ$4=ais_nei,AIS_NA,IF(AK237="",AIS_NA,AK237))</f>
        <v>N/A</v>
      </c>
      <c r="AT237" s="17" t="str">
        <f>IF($AJ$4=ais_nei,AIS_NA,IF(AL237="",AIS_NA,AL237))</f>
        <v>N/A</v>
      </c>
      <c r="AU237" s="17" t="str">
        <f>IF($AJ$4=ais_nei,AIS_NA,IF(AM237="",AIS_NA,AM237))</f>
        <v>N/A</v>
      </c>
      <c r="AV237" s="17"/>
      <c r="AW237" s="17"/>
      <c r="AX237" s="17"/>
      <c r="AZ237" s="495"/>
    </row>
    <row r="238" spans="1:52" hidden="1">
      <c r="D238" s="14"/>
      <c r="N238" s="455"/>
      <c r="O238" s="455"/>
      <c r="P238" s="455"/>
      <c r="Q238" s="596"/>
      <c r="R238" s="596"/>
      <c r="S238" s="596"/>
      <c r="T238" s="68"/>
      <c r="U238" s="5"/>
      <c r="V238" s="5"/>
      <c r="W238" s="5"/>
      <c r="X238" s="5"/>
      <c r="Y238" s="5"/>
      <c r="Z238" s="596"/>
      <c r="AA238" s="68"/>
      <c r="AB238" s="68"/>
      <c r="AC238" s="17"/>
      <c r="AD238" s="1"/>
      <c r="AE238" s="1"/>
      <c r="AF238" s="1"/>
    </row>
    <row r="239" spans="1:52" hidden="1">
      <c r="D239" s="14"/>
      <c r="N239" s="455"/>
      <c r="O239" s="455"/>
      <c r="P239" s="455"/>
      <c r="Q239" s="596"/>
      <c r="R239" s="596"/>
      <c r="S239" s="596"/>
      <c r="T239" s="68"/>
      <c r="U239" s="5"/>
      <c r="V239" s="5"/>
      <c r="W239" s="5"/>
      <c r="X239" s="5"/>
      <c r="Y239" s="5"/>
      <c r="Z239" s="596"/>
      <c r="AA239" s="68"/>
      <c r="AB239" s="68"/>
      <c r="AC239" s="17"/>
      <c r="AD239" s="1"/>
      <c r="AE239" s="1"/>
      <c r="AF239" s="1"/>
    </row>
    <row r="240" spans="1:52" hidden="1">
      <c r="D240" s="14"/>
      <c r="N240" s="455"/>
      <c r="O240" s="455"/>
      <c r="P240" s="455"/>
      <c r="Q240" s="596"/>
      <c r="R240" s="596"/>
      <c r="S240" s="596"/>
      <c r="T240" s="68"/>
      <c r="U240" s="5"/>
      <c r="V240" s="5"/>
      <c r="W240" s="5"/>
      <c r="X240" s="5"/>
      <c r="Y240" s="5"/>
      <c r="Z240" s="596"/>
      <c r="AA240" s="68"/>
      <c r="AB240" s="68"/>
      <c r="AC240" s="17"/>
      <c r="AD240" s="1"/>
      <c r="AE240" s="1"/>
      <c r="AF240" s="1"/>
    </row>
    <row r="241" spans="1:58" hidden="1">
      <c r="D241" s="14"/>
      <c r="N241" s="455"/>
      <c r="O241" s="455"/>
      <c r="P241" s="455"/>
      <c r="Q241" s="596"/>
      <c r="R241" s="596"/>
      <c r="S241" s="596"/>
      <c r="T241" s="68"/>
      <c r="U241" s="5"/>
      <c r="V241" s="5"/>
      <c r="W241" s="5"/>
      <c r="X241" s="5"/>
      <c r="Y241" s="5"/>
      <c r="Z241" s="596"/>
      <c r="AA241" s="68"/>
      <c r="AB241" s="68"/>
      <c r="AC241" s="17"/>
      <c r="AD241" s="1"/>
      <c r="AE241" s="1"/>
      <c r="AF241" s="1"/>
    </row>
    <row r="242" spans="1:58" hidden="1">
      <c r="D242" s="14"/>
      <c r="N242" s="455"/>
      <c r="O242" s="455"/>
      <c r="P242" s="455"/>
      <c r="Q242" s="596"/>
      <c r="R242" s="596"/>
      <c r="S242" s="596"/>
      <c r="T242" s="68"/>
      <c r="U242" s="5"/>
      <c r="V242" s="5"/>
      <c r="W242" s="5"/>
      <c r="X242" s="5"/>
      <c r="Y242" s="5"/>
      <c r="Z242" s="596"/>
      <c r="AA242" s="68"/>
      <c r="AB242" s="68"/>
      <c r="AC242" s="17"/>
      <c r="AD242" s="1"/>
      <c r="AE242" s="1"/>
      <c r="AF242" s="1"/>
    </row>
    <row r="243" spans="1:58" hidden="1">
      <c r="D243" s="14"/>
      <c r="N243" s="455"/>
      <c r="O243" s="455"/>
      <c r="P243" s="455"/>
      <c r="Q243" s="596"/>
      <c r="R243" s="596"/>
      <c r="S243" s="596"/>
      <c r="T243" s="68"/>
      <c r="U243" s="5"/>
      <c r="V243" s="5"/>
      <c r="W243" s="5"/>
      <c r="X243" s="5"/>
      <c r="Y243" s="5"/>
      <c r="Z243" s="596"/>
      <c r="AA243" s="68"/>
      <c r="AB243" s="68"/>
      <c r="AC243" s="17"/>
      <c r="AD243" s="1"/>
      <c r="AE243" s="1"/>
      <c r="AF243" s="1"/>
    </row>
    <row r="244" spans="1:58" hidden="1">
      <c r="D244" s="14"/>
      <c r="N244" s="455"/>
      <c r="O244" s="455"/>
      <c r="P244" s="455"/>
      <c r="Q244" s="596"/>
      <c r="R244" s="596"/>
      <c r="S244" s="596"/>
      <c r="T244" s="68"/>
      <c r="U244" s="5"/>
      <c r="V244" s="5"/>
      <c r="W244" s="5"/>
      <c r="X244" s="5"/>
      <c r="Y244" s="5"/>
      <c r="Z244" s="596"/>
      <c r="AA244" s="68"/>
      <c r="AB244" s="68"/>
      <c r="AC244" s="17"/>
      <c r="AD244" s="1"/>
      <c r="AE244" s="1"/>
      <c r="AF244" s="1"/>
    </row>
    <row r="245" spans="1:58" hidden="1">
      <c r="D245" s="14"/>
      <c r="N245" s="455"/>
      <c r="O245" s="455"/>
      <c r="P245" s="455"/>
      <c r="Q245" s="596"/>
      <c r="R245" s="596"/>
      <c r="S245" s="596"/>
      <c r="T245" s="68"/>
      <c r="U245" s="5"/>
      <c r="V245" s="5"/>
      <c r="W245" s="5"/>
      <c r="X245" s="5"/>
      <c r="Y245" s="5"/>
      <c r="Z245" s="596"/>
      <c r="AA245" s="68"/>
      <c r="AB245" s="68"/>
      <c r="AC245" s="17"/>
      <c r="AD245" s="1"/>
      <c r="AE245" s="1"/>
      <c r="AF245" s="1"/>
    </row>
    <row r="246" spans="1:58" hidden="1">
      <c r="A246" s="823">
        <v>3</v>
      </c>
      <c r="B246" s="653" t="s">
        <v>251</v>
      </c>
      <c r="C246" s="653"/>
      <c r="D246" s="653"/>
      <c r="E246" s="288" t="str">
        <f>Man01_Crit1</f>
        <v>Pre-requisite: early stage greenhouse gas calculation</v>
      </c>
      <c r="F246" s="98" t="str">
        <f>Man01_Crit1_credits</f>
        <v>Yes/No</v>
      </c>
      <c r="G246" s="29"/>
      <c r="H246" s="99"/>
      <c r="I246" s="105" t="str">
        <f>Man01_minstd</f>
        <v>Unclassified</v>
      </c>
      <c r="J246" s="66"/>
      <c r="K246" s="233" t="s">
        <v>181</v>
      </c>
      <c r="L246" s="577"/>
      <c r="M246" s="648"/>
      <c r="N246" s="69"/>
      <c r="O246" s="704"/>
      <c r="P246" s="704"/>
      <c r="Q246" s="583"/>
      <c r="R246" s="584"/>
      <c r="S246" s="577"/>
      <c r="T246" s="268"/>
      <c r="U246" s="69"/>
      <c r="V246" s="704"/>
      <c r="W246" s="704"/>
      <c r="X246" s="67"/>
      <c r="Y246" s="66"/>
      <c r="Z246" s="577"/>
      <c r="AA246" s="108"/>
      <c r="AB246" s="495"/>
      <c r="AC246" s="17">
        <f>AC11</f>
        <v>1</v>
      </c>
      <c r="AD246" s="1">
        <f>VLOOKUP(K246,'Assessment Details'!$O$45:$P$48,2,FALSE)</f>
        <v>3</v>
      </c>
      <c r="AE246" s="1" t="e">
        <f>VLOOKUP(R246,'Assessment Details'!$O$45:$P$48,2,FALSE)</f>
        <v>#N/A</v>
      </c>
      <c r="AF246" s="1" t="e">
        <f>VLOOKUP(Y246,'Assessment Details'!$O$45:$P$48,2,FALSE)</f>
        <v>#N/A</v>
      </c>
      <c r="AI246" s="56"/>
      <c r="AJ246" s="522"/>
      <c r="AK246" s="569"/>
      <c r="AL246" s="569"/>
      <c r="AP246" s="56"/>
      <c r="AS246" s="17"/>
      <c r="AT246" s="17"/>
      <c r="AU246" s="17"/>
      <c r="AV246" s="17"/>
      <c r="AW246" s="17"/>
      <c r="AX246" s="17"/>
      <c r="AZ246" s="495"/>
      <c r="BD246" s="13"/>
      <c r="BE246" s="13"/>
      <c r="BF246" s="13"/>
    </row>
    <row r="247" spans="1:58" hidden="1">
      <c r="A247" s="823">
        <v>6</v>
      </c>
      <c r="B247" s="653" t="s">
        <v>251</v>
      </c>
      <c r="C247" s="653"/>
      <c r="D247" s="653"/>
      <c r="E247" s="288" t="str">
        <f>Man03_Crit1</f>
        <v>Minimum req: legal and sustainable timber</v>
      </c>
      <c r="F247" s="98" t="str">
        <f>Man03_Crit1_credits</f>
        <v>Yes/No</v>
      </c>
      <c r="G247" s="574"/>
      <c r="H247" s="99"/>
      <c r="I247" s="103" t="str">
        <f>Man03_minstd_cri</f>
        <v>Unclassified</v>
      </c>
      <c r="J247" s="66"/>
      <c r="K247" s="233" t="s">
        <v>181</v>
      </c>
      <c r="L247" s="577"/>
      <c r="M247" s="648"/>
      <c r="N247" s="69"/>
      <c r="O247" s="704"/>
      <c r="P247" s="704"/>
      <c r="Q247" s="583"/>
      <c r="R247" s="584"/>
      <c r="S247" s="577"/>
      <c r="T247" s="268"/>
      <c r="U247" s="69"/>
      <c r="V247" s="704"/>
      <c r="W247" s="704"/>
      <c r="X247" s="67"/>
      <c r="Y247" s="66"/>
      <c r="Z247" s="577"/>
      <c r="AA247" s="108"/>
      <c r="AB247" s="495" t="s">
        <v>216</v>
      </c>
      <c r="AC247" s="17">
        <f>AC20</f>
        <v>1</v>
      </c>
      <c r="AD247" s="1">
        <f>VLOOKUP(K247,'Assessment Details'!$O$45:$P$48,2,FALSE)</f>
        <v>3</v>
      </c>
      <c r="AE247" s="1" t="e">
        <f>VLOOKUP(R247,'Assessment Details'!$O$45:$P$48,2,FALSE)</f>
        <v>#N/A</v>
      </c>
      <c r="AF247" s="1" t="e">
        <f>VLOOKUP(Y247,'Assessment Details'!$O$45:$P$48,2,FALSE)</f>
        <v>#N/A</v>
      </c>
      <c r="AI247" s="56"/>
      <c r="AJ247" s="522" t="s">
        <v>549</v>
      </c>
      <c r="AK247" s="56"/>
      <c r="AL247" s="56"/>
      <c r="AM247" s="56"/>
      <c r="AN247" s="56"/>
      <c r="AO247" s="56"/>
      <c r="AP247" s="56"/>
      <c r="AS247" s="17" t="str">
        <f>IF($AJ$4=ais_nei,AIS_NA,IF(AK247="",AIS_NA,AK247))</f>
        <v>N/A</v>
      </c>
      <c r="AT247" s="17" t="str">
        <f>IF($AJ$4=ais_nei,AIS_NA,IF(AL247="",AIS_NA,AL247))</f>
        <v>N/A</v>
      </c>
      <c r="AU247" s="17" t="str">
        <f>IF($AJ$4=ais_nei,AIS_NA,IF(AM247="",AIS_NA,AM247))</f>
        <v>N/A</v>
      </c>
      <c r="AV247" s="17"/>
      <c r="AW247" s="17"/>
      <c r="AX247" s="17"/>
      <c r="AZ247" s="495"/>
    </row>
    <row r="248" spans="1:58" hidden="1">
      <c r="A248" s="823"/>
      <c r="B248" s="653"/>
      <c r="C248" s="653"/>
      <c r="D248" s="653"/>
      <c r="E248" s="288" t="str">
        <f>Man04_Crit1</f>
        <v>Pre-requisite: risk analysis</v>
      </c>
      <c r="F248" s="98" t="str">
        <f>Man04_Crit1_credits</f>
        <v>Yes/No</v>
      </c>
      <c r="G248" s="574"/>
      <c r="H248" s="99"/>
      <c r="I248" s="103" t="str">
        <f>Man04_minstd_cri</f>
        <v>N/A</v>
      </c>
      <c r="J248" s="66"/>
      <c r="K248" s="233" t="s">
        <v>181</v>
      </c>
      <c r="L248" s="577"/>
      <c r="M248" s="648"/>
      <c r="N248" s="69"/>
      <c r="O248" s="704"/>
      <c r="P248" s="704"/>
      <c r="Q248" s="583"/>
      <c r="R248" s="584"/>
      <c r="S248" s="577"/>
      <c r="T248" s="268"/>
      <c r="U248" s="69"/>
      <c r="V248" s="704"/>
      <c r="W248" s="704"/>
      <c r="X248" s="67"/>
      <c r="Y248" s="66"/>
      <c r="Z248" s="577"/>
      <c r="AA248" s="108"/>
      <c r="AB248" s="495"/>
      <c r="AC248" s="17">
        <f>IF(F248="",1,IF(F248=0,2,1))</f>
        <v>1</v>
      </c>
      <c r="AD248" s="1">
        <f>VLOOKUP(K248,'Assessment Details'!$O$45:$P$48,2,FALSE)</f>
        <v>3</v>
      </c>
      <c r="AE248" s="1" t="e">
        <f>VLOOKUP(R248,'Assessment Details'!$O$45:$P$48,2,FALSE)</f>
        <v>#N/A</v>
      </c>
      <c r="AF248" s="1" t="e">
        <f>VLOOKUP(Y248,'Assessment Details'!$O$45:$P$48,2,FALSE)</f>
        <v>#N/A</v>
      </c>
      <c r="AI248" s="56"/>
      <c r="AJ248" s="521"/>
      <c r="AK248" s="501"/>
      <c r="AL248" s="501"/>
      <c r="AM248" s="501"/>
      <c r="AN248" s="56"/>
      <c r="AO248" s="56"/>
      <c r="AP248" s="56"/>
      <c r="AS248" s="17"/>
      <c r="AT248" s="17"/>
      <c r="AU248" s="17"/>
      <c r="AV248" s="17"/>
      <c r="AW248" s="17"/>
      <c r="AX248" s="17"/>
      <c r="AY248" s="13"/>
      <c r="AZ248" s="495"/>
      <c r="BA248" s="13"/>
      <c r="BB248" s="13"/>
      <c r="BC248" s="13"/>
      <c r="BD248" s="13"/>
      <c r="BE248" s="13"/>
      <c r="BF248" s="13"/>
    </row>
    <row r="249" spans="1:58" hidden="1">
      <c r="A249" s="823">
        <v>9</v>
      </c>
      <c r="B249" s="653" t="s">
        <v>251</v>
      </c>
      <c r="C249" s="653"/>
      <c r="D249" s="653"/>
      <c r="E249" s="557" t="str">
        <f>Man05_Crit1</f>
        <v>Pre-requisite: statutory obligations fulfilled</v>
      </c>
      <c r="F249" s="98" t="str">
        <f>IF(ADBT0=ADBT12,'Assessment Details'!O61,Man05_Crit1_credits)</f>
        <v>Yes/No</v>
      </c>
      <c r="G249" s="29"/>
      <c r="H249" s="99"/>
      <c r="I249" s="105" t="str">
        <f>Man05_minstd_cri</f>
        <v>N/A</v>
      </c>
      <c r="J249" s="66"/>
      <c r="K249" s="233" t="s">
        <v>181</v>
      </c>
      <c r="L249" s="577"/>
      <c r="M249" s="648"/>
      <c r="N249" s="69"/>
      <c r="O249" s="704"/>
      <c r="P249" s="704"/>
      <c r="Q249" s="583"/>
      <c r="R249" s="584"/>
      <c r="S249" s="577"/>
      <c r="T249" s="268"/>
      <c r="U249" s="69"/>
      <c r="V249" s="704"/>
      <c r="W249" s="704"/>
      <c r="X249" s="67"/>
      <c r="Y249" s="66"/>
      <c r="Z249" s="577"/>
      <c r="AA249" s="108"/>
      <c r="AB249" s="495"/>
      <c r="AC249" s="17">
        <f>AC31</f>
        <v>1</v>
      </c>
      <c r="AD249" s="1">
        <f>VLOOKUP(K249,'Assessment Details'!$O$45:$P$48,2,FALSE)</f>
        <v>3</v>
      </c>
      <c r="AE249" s="1" t="e">
        <f>VLOOKUP(R249,'Assessment Details'!$O$45:$P$48,2,FALSE)</f>
        <v>#N/A</v>
      </c>
      <c r="AF249" s="1" t="e">
        <f>VLOOKUP(Y249,'Assessment Details'!$O$45:$P$48,2,FALSE)</f>
        <v>#N/A</v>
      </c>
      <c r="AI249" s="56"/>
      <c r="AJ249" s="522"/>
      <c r="AK249" s="569"/>
      <c r="AL249" s="569"/>
      <c r="AP249" s="56"/>
      <c r="AS249" s="17"/>
      <c r="AT249" s="17"/>
      <c r="AU249" s="17"/>
      <c r="AV249" s="17"/>
      <c r="AW249" s="17"/>
      <c r="AX249" s="17"/>
      <c r="AZ249" s="495"/>
      <c r="BD249" s="13"/>
      <c r="BE249" s="13"/>
      <c r="BF249" s="13"/>
    </row>
    <row r="250" spans="1:58" hidden="1">
      <c r="D250" s="14"/>
      <c r="N250" s="650"/>
      <c r="O250" s="650"/>
      <c r="P250" s="650"/>
      <c r="AA250" s="68"/>
      <c r="AB250" s="68"/>
    </row>
    <row r="251" spans="1:58" hidden="1">
      <c r="A251" s="823">
        <v>29</v>
      </c>
    </row>
    <row r="252" spans="1:58" hidden="1">
      <c r="A252" s="823">
        <v>24</v>
      </c>
      <c r="B252" s="653" t="s">
        <v>332</v>
      </c>
      <c r="C252" s="653"/>
      <c r="D252" s="653"/>
      <c r="E252" s="267" t="str">
        <f>Ene01_Crit1</f>
        <v>Minimum req: absence of environmental toxins (EU taxonomy requirement: criterion 1)</v>
      </c>
      <c r="F252" s="98" t="str">
        <f>Ene01_Crit1_credits</f>
        <v>Yes/No</v>
      </c>
      <c r="G252" s="29"/>
      <c r="H252" s="99"/>
      <c r="I252" s="105" t="str">
        <f>Ene01_minstd</f>
        <v>Unclassified</v>
      </c>
      <c r="J252" s="66"/>
      <c r="K252" s="233" t="s">
        <v>181</v>
      </c>
      <c r="L252" s="577"/>
      <c r="M252" s="648"/>
      <c r="N252" s="69"/>
      <c r="O252" s="704"/>
      <c r="P252" s="704"/>
      <c r="Q252" s="583"/>
      <c r="R252" s="584"/>
      <c r="S252" s="577"/>
      <c r="T252" s="268"/>
      <c r="U252" s="69"/>
      <c r="V252" s="704"/>
      <c r="W252" s="704"/>
      <c r="X252" s="67"/>
      <c r="Y252" s="66"/>
      <c r="Z252" s="577"/>
      <c r="AA252" s="108"/>
      <c r="AB252" s="495"/>
      <c r="AC252" s="17">
        <f>AC66</f>
        <v>1</v>
      </c>
      <c r="AD252" s="1">
        <f>VLOOKUP(K252,'Assessment Details'!$O$45:$P$48,2,FALSE)</f>
        <v>3</v>
      </c>
      <c r="AE252" s="1" t="e">
        <f>VLOOKUP(R252,'Assessment Details'!$O$45:$P$48,2,FALSE)</f>
        <v>#N/A</v>
      </c>
      <c r="AF252" s="1" t="e">
        <f>VLOOKUP(Y252,'Assessment Details'!$O$45:$P$48,2,FALSE)</f>
        <v>#N/A</v>
      </c>
      <c r="AI252" s="56"/>
      <c r="AJ252" s="522"/>
      <c r="AK252" s="569"/>
      <c r="AL252" s="569"/>
      <c r="AP252" s="56"/>
      <c r="AS252" s="17"/>
      <c r="AT252" s="17"/>
      <c r="AU252" s="17"/>
      <c r="AV252" s="17"/>
      <c r="AW252" s="17"/>
      <c r="AX252" s="17"/>
      <c r="AZ252" s="495"/>
    </row>
    <row r="253" spans="1:58" hidden="1">
      <c r="A253" s="823">
        <v>81</v>
      </c>
      <c r="B253" s="653" t="s">
        <v>373</v>
      </c>
      <c r="C253" s="653"/>
      <c r="D253" s="653"/>
      <c r="E253" s="267" t="str">
        <f>Tra01_Crit1</f>
        <v>Pre-requisite: ecological risks and opportunities</v>
      </c>
      <c r="F253" s="98" t="str">
        <f>Tra01_Crit1_credits</f>
        <v>Yes/No</v>
      </c>
      <c r="G253" s="29"/>
      <c r="H253" s="99"/>
      <c r="I253" s="105" t="str">
        <f>Tra01_minstd</f>
        <v>N/A</v>
      </c>
      <c r="J253" s="66"/>
      <c r="K253" s="233" t="s">
        <v>181</v>
      </c>
      <c r="L253" s="577"/>
      <c r="M253" s="648"/>
      <c r="N253" s="69"/>
      <c r="O253" s="704"/>
      <c r="P253" s="704"/>
      <c r="Q253" s="583"/>
      <c r="R253" s="584"/>
      <c r="S253" s="577"/>
      <c r="T253" s="268"/>
      <c r="U253" s="69"/>
      <c r="V253" s="704"/>
      <c r="W253" s="704"/>
      <c r="X253" s="67"/>
      <c r="Y253" s="66"/>
      <c r="Z253" s="577"/>
      <c r="AA253" s="108"/>
      <c r="AB253" s="495"/>
      <c r="AC253" s="17">
        <f>AC96</f>
        <v>1</v>
      </c>
      <c r="AD253" s="1">
        <f>VLOOKUP(K253,'Assessment Details'!$O$45:$P$48,2,FALSE)</f>
        <v>3</v>
      </c>
      <c r="AE253" s="1" t="e">
        <f>VLOOKUP(R253,'Assessment Details'!$O$45:$P$48,2,FALSE)</f>
        <v>#N/A</v>
      </c>
      <c r="AF253" s="1" t="e">
        <f>VLOOKUP(Y253,'Assessment Details'!$O$45:$P$48,2,FALSE)</f>
        <v>#N/A</v>
      </c>
      <c r="AI253" s="56"/>
      <c r="AJ253" s="522"/>
      <c r="AK253" s="569"/>
      <c r="AL253" s="569"/>
      <c r="AP253" s="56"/>
      <c r="AS253" s="17"/>
      <c r="AT253" s="17"/>
      <c r="AU253" s="17"/>
      <c r="AV253" s="17"/>
      <c r="AW253" s="17"/>
      <c r="AX253" s="17"/>
      <c r="AZ253" s="495"/>
    </row>
    <row r="254" spans="1:58" hidden="1">
      <c r="D254" s="14"/>
      <c r="N254" s="650"/>
      <c r="O254" s="650"/>
      <c r="P254" s="650"/>
    </row>
    <row r="255" spans="1:58" hidden="1">
      <c r="A255" s="823">
        <v>48</v>
      </c>
      <c r="B255" s="653" t="s">
        <v>408</v>
      </c>
      <c r="C255" s="653"/>
      <c r="D255" s="653"/>
      <c r="E255" s="288" t="str">
        <f>Mat01_Crit1</f>
        <v>Pre-requisite: managing negative impacts on ecology</v>
      </c>
      <c r="F255" s="98" t="str">
        <f>Mat01_Crit1_credits</f>
        <v>Yes/No</v>
      </c>
      <c r="G255" s="574"/>
      <c r="H255" s="99"/>
      <c r="I255" s="103" t="str">
        <f>Mat01_minstd</f>
        <v>N/A</v>
      </c>
      <c r="J255" s="66"/>
      <c r="K255" s="233" t="s">
        <v>181</v>
      </c>
      <c r="L255" s="577"/>
      <c r="M255" s="648"/>
      <c r="N255" s="69"/>
      <c r="O255" s="704"/>
      <c r="P255" s="704"/>
      <c r="Q255" s="583"/>
      <c r="R255" s="584"/>
      <c r="S255" s="577"/>
      <c r="T255" s="268"/>
      <c r="U255" s="69"/>
      <c r="V255" s="704"/>
      <c r="W255" s="704"/>
      <c r="X255" s="67"/>
      <c r="Y255" s="66"/>
      <c r="Z255" s="577"/>
      <c r="AA255" s="108"/>
      <c r="AB255" s="495" t="s">
        <v>216</v>
      </c>
      <c r="AC255" s="17">
        <f>AC119</f>
        <v>1</v>
      </c>
      <c r="AD255" s="1">
        <f>VLOOKUP(K255,'Assessment Details'!$O$45:$P$48,2,FALSE)</f>
        <v>3</v>
      </c>
      <c r="AE255" s="1" t="e">
        <f>VLOOKUP(R255,'Assessment Details'!$O$45:$P$48,2,FALSE)</f>
        <v>#N/A</v>
      </c>
      <c r="AF255" s="1" t="e">
        <f>VLOOKUP(Y255,'Assessment Details'!$O$45:$P$48,2,FALSE)</f>
        <v>#N/A</v>
      </c>
      <c r="AI255" s="56"/>
      <c r="AJ255" s="522" t="s">
        <v>549</v>
      </c>
      <c r="AK255" s="56"/>
      <c r="AL255" s="56"/>
      <c r="AM255" s="56"/>
      <c r="AN255" s="56"/>
      <c r="AO255" s="56"/>
      <c r="AP255" s="56"/>
      <c r="AS255" s="17" t="str">
        <f t="shared" ref="AS255" si="31">IF($AJ$4=ais_nei,AIS_NA,IF(AK255="",AIS_NA,AK255))</f>
        <v>N/A</v>
      </c>
      <c r="AT255" s="17" t="str">
        <f t="shared" ref="AT255" si="32">IF($AJ$4=ais_nei,AIS_NA,IF(AL255="",AIS_NA,AL255))</f>
        <v>N/A</v>
      </c>
      <c r="AU255" s="17" t="str">
        <f t="shared" ref="AU255" si="33">IF($AJ$4=ais_nei,AIS_NA,IF(AM255="",AIS_NA,AM255))</f>
        <v>N/A</v>
      </c>
      <c r="AV255" s="17"/>
      <c r="AW255" s="17"/>
      <c r="AX255" s="17"/>
      <c r="AZ255" s="495"/>
    </row>
    <row r="256" spans="1:58" hidden="1">
      <c r="A256" s="823">
        <v>50</v>
      </c>
      <c r="B256" s="653" t="s">
        <v>408</v>
      </c>
      <c r="C256" s="653"/>
      <c r="D256" s="653"/>
      <c r="E256" s="288" t="str">
        <f>Mat02_Crit1</f>
        <v xml:space="preserve">Pre-requisite: suitably qualified acoustician </v>
      </c>
      <c r="F256" s="98" t="str">
        <f>Mat02_Crit1_credits</f>
        <v>Yes/No</v>
      </c>
      <c r="G256" s="29"/>
      <c r="H256" s="99"/>
      <c r="I256" s="103" t="str">
        <f>Mat02_minstd</f>
        <v>N/A</v>
      </c>
      <c r="J256" s="66"/>
      <c r="K256" s="233" t="s">
        <v>181</v>
      </c>
      <c r="L256" s="577"/>
      <c r="M256" s="648"/>
      <c r="N256" s="69"/>
      <c r="O256" s="704"/>
      <c r="P256" s="704"/>
      <c r="Q256" s="583"/>
      <c r="R256" s="584"/>
      <c r="S256" s="577"/>
      <c r="T256" s="268"/>
      <c r="U256" s="69"/>
      <c r="V256" s="704"/>
      <c r="W256" s="704"/>
      <c r="X256" s="67"/>
      <c r="Y256" s="66"/>
      <c r="Z256" s="577"/>
      <c r="AA256" s="108"/>
      <c r="AB256" s="495" t="s">
        <v>216</v>
      </c>
      <c r="AC256" s="17">
        <f>IF(F256="",1,IF(F256=0,2,1))</f>
        <v>1</v>
      </c>
      <c r="AD256" s="1">
        <f>VLOOKUP(K256,'Assessment Details'!$O$45:$P$48,2,FALSE)</f>
        <v>3</v>
      </c>
      <c r="AE256" s="1" t="e">
        <f>VLOOKUP(R256,'Assessment Details'!$O$45:$P$48,2,FALSE)</f>
        <v>#N/A</v>
      </c>
      <c r="AF256" s="1" t="e">
        <f>VLOOKUP(Y256,'Assessment Details'!$O$45:$P$48,2,FALSE)</f>
        <v>#N/A</v>
      </c>
      <c r="AI256" s="56"/>
      <c r="AJ256" s="522" t="s">
        <v>550</v>
      </c>
      <c r="AK256" s="56"/>
      <c r="AL256" s="56"/>
      <c r="AM256" s="56"/>
      <c r="AN256" s="56"/>
      <c r="AO256" s="56"/>
      <c r="AP256" s="56"/>
      <c r="AS256" s="17" t="str">
        <f t="shared" ref="AS256" si="34">IF($AJ$4=ais_nei,AIS_NA,IF(AK256="",AIS_NA,AK256))</f>
        <v>N/A</v>
      </c>
      <c r="AT256" s="17" t="str">
        <f t="shared" ref="AT256" si="35">IF($AJ$4=ais_nei,AIS_NA,IF(AL256="",AIS_NA,AL256))</f>
        <v>N/A</v>
      </c>
      <c r="AU256" s="17" t="str">
        <f t="shared" ref="AU256" si="36">IF($AJ$4=ais_nei,AIS_NA,IF(AM256="",AIS_NA,AM256))</f>
        <v>N/A</v>
      </c>
      <c r="AV256" s="17"/>
      <c r="AW256" s="17"/>
      <c r="AX256" s="17"/>
      <c r="AZ256" s="495"/>
    </row>
    <row r="257" spans="1:52" hidden="1">
      <c r="A257" s="823">
        <v>52</v>
      </c>
      <c r="B257" s="653" t="s">
        <v>408</v>
      </c>
      <c r="C257" s="653"/>
      <c r="D257" s="653"/>
      <c r="E257" s="288" t="str">
        <f>Mat03_Crit1</f>
        <v>Minimum req: agricultural area / forest (EU taxonomy requirement: criterion 2)</v>
      </c>
      <c r="F257" s="98" t="str">
        <f>Mat03_Crit1_credits</f>
        <v>Yes/No</v>
      </c>
      <c r="G257" s="29"/>
      <c r="H257" s="99"/>
      <c r="I257" s="104" t="str">
        <f>Mat03_minstd</f>
        <v>Very Good</v>
      </c>
      <c r="J257" s="66"/>
      <c r="K257" s="233" t="s">
        <v>181</v>
      </c>
      <c r="L257" s="577"/>
      <c r="M257" s="648"/>
      <c r="N257" s="69"/>
      <c r="O257" s="704"/>
      <c r="P257" s="704"/>
      <c r="Q257" s="583"/>
      <c r="R257" s="584"/>
      <c r="S257" s="577"/>
      <c r="T257" s="268"/>
      <c r="U257" s="69"/>
      <c r="V257" s="704"/>
      <c r="W257" s="704"/>
      <c r="X257" s="67"/>
      <c r="Y257" s="66"/>
      <c r="Z257" s="577"/>
      <c r="AA257" s="108"/>
      <c r="AB257" s="495" t="s">
        <v>216</v>
      </c>
      <c r="AC257" s="17">
        <f>IF(F257="",1,IF(F257=0,2,1))</f>
        <v>1</v>
      </c>
      <c r="AD257" s="1">
        <f>VLOOKUP(K257,'Assessment Details'!$O$45:$P$48,2,FALSE)</f>
        <v>3</v>
      </c>
      <c r="AE257" s="1" t="e">
        <f>VLOOKUP(R257,'Assessment Details'!$O$45:$P$48,2,FALSE)</f>
        <v>#N/A</v>
      </c>
      <c r="AF257" s="1" t="e">
        <f>VLOOKUP(Y257,'Assessment Details'!$O$45:$P$48,2,FALSE)</f>
        <v>#N/A</v>
      </c>
      <c r="AI257" s="56"/>
      <c r="AJ257" s="522" t="s">
        <v>551</v>
      </c>
      <c r="AK257" s="56"/>
      <c r="AL257" s="56"/>
      <c r="AM257" s="56"/>
      <c r="AN257" s="56"/>
      <c r="AO257" s="56"/>
      <c r="AP257" s="56"/>
      <c r="AS257" s="17" t="str">
        <f>IF($AJ$4=ais_nei,AIS_NA,IF(AK257="",AIS_NA,AK257))</f>
        <v>N/A</v>
      </c>
      <c r="AT257" s="17" t="str">
        <f>IF($AJ$4=ais_nei,AIS_NA,IF(AL257="",AIS_NA,AL257))</f>
        <v>N/A</v>
      </c>
      <c r="AU257" s="17" t="str">
        <f>IF($AJ$4=ais_nei,AIS_NA,IF(AM257="",AIS_NA,AM257))</f>
        <v>N/A</v>
      </c>
      <c r="AV257" s="17"/>
      <c r="AW257" s="17"/>
      <c r="AX257" s="17"/>
      <c r="AZ257" s="495"/>
    </row>
    <row r="258" spans="1:52" ht="15" hidden="1" customHeight="1">
      <c r="A258" s="823">
        <v>55</v>
      </c>
      <c r="B258" s="653" t="s">
        <v>408</v>
      </c>
      <c r="C258" s="653"/>
      <c r="D258" s="653"/>
      <c r="E258" s="651" t="str">
        <f>Mat06_Crit1</f>
        <v>Pre-requisite: statutory obligations, planning and site implementation</v>
      </c>
      <c r="F258" s="98" t="str">
        <f>Mat06_Crit1_credits</f>
        <v>Yes/No</v>
      </c>
      <c r="G258" s="29"/>
      <c r="H258" s="99"/>
      <c r="I258" s="103" t="str">
        <f>Mat06_minstd_cred</f>
        <v>N/A</v>
      </c>
      <c r="J258" s="66"/>
      <c r="K258" s="233" t="s">
        <v>181</v>
      </c>
      <c r="L258" s="577"/>
      <c r="M258" s="648"/>
      <c r="N258" s="69"/>
      <c r="O258" s="704"/>
      <c r="P258" s="704"/>
      <c r="Q258" s="583"/>
      <c r="R258" s="584"/>
      <c r="S258" s="577"/>
      <c r="T258" s="268"/>
      <c r="U258" s="69"/>
      <c r="V258" s="704"/>
      <c r="W258" s="704"/>
      <c r="X258" s="67"/>
      <c r="Y258" s="66"/>
      <c r="Z258" s="577"/>
      <c r="AA258" s="108"/>
      <c r="AB258" s="495" t="s">
        <v>216</v>
      </c>
      <c r="AC258" s="17">
        <f>IF(F258="",1,IF(F258=0,2,1))</f>
        <v>1</v>
      </c>
      <c r="AD258" s="1">
        <f>VLOOKUP(K258,'Assessment Details'!$O$45:$P$48,2,FALSE)</f>
        <v>3</v>
      </c>
      <c r="AE258" s="1" t="e">
        <f>VLOOKUP(R258,'Assessment Details'!$O$45:$P$48,2,FALSE)</f>
        <v>#N/A</v>
      </c>
      <c r="AF258" s="1" t="e">
        <f>VLOOKUP(Y258,'Assessment Details'!$O$45:$P$48,2,FALSE)</f>
        <v>#N/A</v>
      </c>
      <c r="AI258" s="56"/>
      <c r="AJ258" s="522" t="s">
        <v>550</v>
      </c>
      <c r="AK258" s="56"/>
      <c r="AL258" s="56"/>
      <c r="AM258" s="56"/>
      <c r="AN258" s="56"/>
      <c r="AO258" s="56"/>
      <c r="AP258" s="56"/>
      <c r="AS258" s="17" t="str">
        <f t="shared" ref="AS258" si="37">IF($AJ$4=ais_nei,AIS_NA,IF(AK258="",AIS_NA,AK258))</f>
        <v>N/A</v>
      </c>
      <c r="AT258" s="17" t="str">
        <f t="shared" ref="AT258" si="38">IF($AJ$4=ais_nei,AIS_NA,IF(AL258="",AIS_NA,AL258))</f>
        <v>N/A</v>
      </c>
      <c r="AU258" s="17" t="str">
        <f t="shared" ref="AU258" si="39">IF($AJ$4=ais_nei,AIS_NA,IF(AM258="",AIS_NA,AM258))</f>
        <v>N/A</v>
      </c>
      <c r="AV258" s="17"/>
      <c r="AW258" s="17"/>
      <c r="AX258" s="17"/>
      <c r="AZ258" s="495"/>
    </row>
    <row r="259" spans="1:52" hidden="1">
      <c r="A259" s="823">
        <v>57</v>
      </c>
      <c r="B259" s="653" t="s">
        <v>408</v>
      </c>
      <c r="C259" s="653"/>
      <c r="D259" s="653"/>
      <c r="E259" s="651" t="str">
        <f>Mat07_Crit1</f>
        <v>Pre-requisite: flood risk assessment</v>
      </c>
      <c r="F259" s="98" t="str">
        <f>Mat07_Crit1_credits</f>
        <v>Yes/No</v>
      </c>
      <c r="G259" s="29"/>
      <c r="H259" s="99"/>
      <c r="I259" s="103" t="str" cm="1">
        <f t="array" ref="I259">Mat07_minstd_cred</f>
        <v>N/A</v>
      </c>
      <c r="J259" s="66"/>
      <c r="K259" s="233" t="s">
        <v>181</v>
      </c>
      <c r="L259" s="633"/>
      <c r="M259" s="648"/>
      <c r="N259" s="69"/>
      <c r="O259" s="704"/>
      <c r="P259" s="704"/>
      <c r="Q259" s="583"/>
      <c r="R259" s="584"/>
      <c r="S259" s="577"/>
      <c r="T259" s="268"/>
      <c r="U259" s="69"/>
      <c r="V259" s="704"/>
      <c r="W259" s="704"/>
      <c r="X259" s="67"/>
      <c r="Y259" s="66"/>
      <c r="Z259" s="577"/>
      <c r="AA259" s="108"/>
      <c r="AB259" s="495" t="s">
        <v>216</v>
      </c>
      <c r="AC259" s="17">
        <f>IF(F259="",1,IF(F259=0,2,1))</f>
        <v>1</v>
      </c>
      <c r="AD259" s="1">
        <f>VLOOKUP(K259,'Assessment Details'!$O$45:$P$48,2,FALSE)</f>
        <v>3</v>
      </c>
      <c r="AE259" s="1" t="e">
        <f>VLOOKUP(R259,'Assessment Details'!$O$45:$P$48,2,FALSE)</f>
        <v>#N/A</v>
      </c>
      <c r="AF259" s="1" t="e">
        <f>VLOOKUP(Y259,'Assessment Details'!$O$45:$P$48,2,FALSE)</f>
        <v>#N/A</v>
      </c>
      <c r="AI259" s="56"/>
      <c r="AJ259" s="522" t="s">
        <v>550</v>
      </c>
      <c r="AK259" s="56"/>
      <c r="AL259" s="56"/>
      <c r="AM259" s="56"/>
      <c r="AN259" s="56"/>
      <c r="AO259" s="56"/>
      <c r="AP259" s="56"/>
      <c r="AS259" s="17" t="str">
        <f t="shared" ref="AS259" si="40">IF($AJ$4=ais_nei,AIS_NA,IF(AK259="",AIS_NA,AK259))</f>
        <v>N/A</v>
      </c>
      <c r="AT259" s="17" t="str">
        <f t="shared" ref="AT259" si="41">IF($AJ$4=ais_nei,AIS_NA,IF(AL259="",AIS_NA,AL259))</f>
        <v>N/A</v>
      </c>
      <c r="AU259" s="17" t="str">
        <f t="shared" ref="AU259" si="42">IF($AJ$4=ais_nei,AIS_NA,IF(AM259="",AIS_NA,AM259))</f>
        <v>N/A</v>
      </c>
      <c r="AV259" s="17"/>
      <c r="AW259" s="17"/>
      <c r="AX259" s="17"/>
      <c r="AZ259" s="495"/>
    </row>
    <row r="260" spans="1:52" hidden="1">
      <c r="A260" s="823">
        <v>62</v>
      </c>
      <c r="B260" s="653" t="s">
        <v>442</v>
      </c>
      <c r="C260" s="653"/>
      <c r="D260" s="653"/>
      <c r="E260" s="288" t="str">
        <f>Wst01_Crit1</f>
        <v>Pre-requisite: risk assessment and the "three- step strategy"</v>
      </c>
      <c r="F260" s="98" t="str">
        <f>Wst01_Crit1_credits</f>
        <v>Yes/No</v>
      </c>
      <c r="G260" s="29"/>
      <c r="H260" s="99"/>
      <c r="I260" s="103" t="str">
        <f>Wst01_minstd</f>
        <v>N/A</v>
      </c>
      <c r="J260" s="66"/>
      <c r="K260" s="233" t="s">
        <v>181</v>
      </c>
      <c r="L260" s="577"/>
      <c r="M260" s="648"/>
      <c r="N260" s="69"/>
      <c r="O260" s="704"/>
      <c r="P260" s="704"/>
      <c r="Q260" s="583"/>
      <c r="R260" s="584"/>
      <c r="S260" s="577"/>
      <c r="T260" s="268"/>
      <c r="U260" s="69"/>
      <c r="V260" s="704"/>
      <c r="W260" s="704"/>
      <c r="X260" s="67"/>
      <c r="Y260" s="66"/>
      <c r="Z260" s="577"/>
      <c r="AA260" s="108"/>
      <c r="AB260" s="495" t="s">
        <v>216</v>
      </c>
      <c r="AC260" s="17">
        <f>AC149</f>
        <v>1</v>
      </c>
      <c r="AD260" s="1">
        <f>VLOOKUP(K260,'Assessment Details'!$O$45:$P$48,2,FALSE)</f>
        <v>3</v>
      </c>
      <c r="AE260" s="1" t="e">
        <f>VLOOKUP(R260,'Assessment Details'!$O$45:$P$48,2,FALSE)</f>
        <v>#N/A</v>
      </c>
      <c r="AF260" s="1" t="e">
        <f>VLOOKUP(Y260,'Assessment Details'!$O$45:$P$48,2,FALSE)</f>
        <v>#N/A</v>
      </c>
      <c r="AI260" s="56"/>
      <c r="AJ260" s="522" t="s">
        <v>549</v>
      </c>
      <c r="AK260" s="56"/>
      <c r="AL260" s="56"/>
      <c r="AM260" s="56"/>
      <c r="AN260" s="56"/>
      <c r="AO260" s="56"/>
      <c r="AP260" s="56"/>
      <c r="AS260" s="17" t="str">
        <f>IF($AJ$4=ais_nei,AIS_NA,IF(AK260="",AIS_NA,AK260))</f>
        <v>N/A</v>
      </c>
      <c r="AT260" s="17" t="str">
        <f>IF($AJ$4=ais_nei,AIS_NA,IF(AL260="",AIS_NA,AL260))</f>
        <v>N/A</v>
      </c>
      <c r="AU260" s="17" t="str">
        <f>IF($AJ$4=ais_nei,AIS_NA,IF(AM260="",AIS_NA,AM260))</f>
        <v>N/A</v>
      </c>
      <c r="AV260" s="17"/>
      <c r="AW260" s="17"/>
      <c r="AX260" s="17"/>
      <c r="AZ260" s="495"/>
    </row>
    <row r="261" spans="1:52" hidden="1">
      <c r="D261" s="14"/>
      <c r="N261" s="650"/>
      <c r="O261" s="650"/>
      <c r="P261" s="650"/>
    </row>
    <row r="262" spans="1:52" hidden="1">
      <c r="D262" s="14"/>
      <c r="N262" s="650"/>
      <c r="O262" s="650"/>
      <c r="P262" s="650"/>
    </row>
    <row r="263" spans="1:52" hidden="1">
      <c r="D263" s="14"/>
      <c r="N263" s="650"/>
      <c r="O263" s="650"/>
      <c r="P263" s="650"/>
    </row>
    <row r="264" spans="1:52" hidden="1">
      <c r="N264" s="650"/>
      <c r="O264" s="650"/>
      <c r="P264" s="650"/>
    </row>
    <row r="265" spans="1:52" hidden="1">
      <c r="N265" s="650"/>
      <c r="O265" s="650"/>
      <c r="P265" s="650"/>
    </row>
    <row r="266" spans="1:52" hidden="1">
      <c r="N266" s="650"/>
      <c r="O266" s="650"/>
      <c r="P266" s="650"/>
    </row>
    <row r="267" spans="1:52" hidden="1">
      <c r="N267" s="650"/>
      <c r="O267" s="650"/>
      <c r="P267" s="650"/>
    </row>
    <row r="268" spans="1:52" hidden="1">
      <c r="N268" s="650"/>
      <c r="O268" s="650"/>
      <c r="P268" s="650"/>
    </row>
    <row r="269" spans="1:52" hidden="1">
      <c r="N269" s="650"/>
      <c r="O269" s="650"/>
      <c r="P269" s="650"/>
    </row>
    <row r="270" spans="1:52" hidden="1">
      <c r="N270" s="650"/>
      <c r="O270" s="650"/>
      <c r="P270" s="650"/>
    </row>
    <row r="271" spans="1:52" hidden="1">
      <c r="N271" s="650"/>
      <c r="O271" s="650"/>
      <c r="P271" s="650"/>
    </row>
    <row r="272" spans="1:52" hidden="1">
      <c r="N272" s="650"/>
      <c r="O272" s="650"/>
      <c r="P272" s="650"/>
    </row>
    <row r="273" spans="14:16" hidden="1">
      <c r="N273" s="650"/>
      <c r="O273" s="650"/>
      <c r="P273" s="650"/>
    </row>
    <row r="274" spans="14:16" hidden="1">
      <c r="N274" s="650"/>
      <c r="O274" s="650"/>
      <c r="P274" s="650"/>
    </row>
    <row r="275" spans="14:16" hidden="1">
      <c r="N275" s="650"/>
      <c r="O275" s="650"/>
      <c r="P275" s="650"/>
    </row>
    <row r="276" spans="14:16" hidden="1">
      <c r="N276" s="650"/>
      <c r="O276" s="650"/>
      <c r="P276" s="650"/>
    </row>
    <row r="277" spans="14:16" hidden="1">
      <c r="N277" s="650"/>
      <c r="O277" s="650"/>
      <c r="P277" s="650"/>
    </row>
    <row r="278" spans="14:16" hidden="1">
      <c r="N278" s="650"/>
      <c r="O278" s="650"/>
      <c r="P278" s="650"/>
    </row>
    <row r="279" spans="14:16" hidden="1">
      <c r="N279" s="650"/>
      <c r="O279" s="650"/>
      <c r="P279" s="650"/>
    </row>
    <row r="280" spans="14:16" hidden="1">
      <c r="N280" s="650"/>
      <c r="O280" s="650"/>
      <c r="P280" s="650"/>
    </row>
    <row r="281" spans="14:16" hidden="1">
      <c r="N281" s="650"/>
      <c r="O281" s="650"/>
      <c r="P281" s="650"/>
    </row>
    <row r="282" spans="14:16" hidden="1">
      <c r="N282" s="650"/>
      <c r="O282" s="650"/>
      <c r="P282" s="650"/>
    </row>
    <row r="283" spans="14:16" hidden="1">
      <c r="N283" s="650"/>
      <c r="O283" s="650"/>
      <c r="P283" s="650"/>
    </row>
    <row r="284" spans="14:16" hidden="1">
      <c r="N284" s="650"/>
      <c r="O284" s="650"/>
      <c r="P284" s="650"/>
    </row>
    <row r="285" spans="14:16" hidden="1">
      <c r="N285" s="650"/>
      <c r="O285" s="650"/>
      <c r="P285" s="650"/>
    </row>
    <row r="286" spans="14:16" hidden="1">
      <c r="N286" s="650"/>
      <c r="O286" s="650"/>
      <c r="P286" s="650"/>
    </row>
    <row r="287" spans="14:16" hidden="1">
      <c r="N287" s="650"/>
      <c r="O287" s="650"/>
      <c r="P287" s="650"/>
    </row>
    <row r="288" spans="14:16" hidden="1">
      <c r="N288" s="650"/>
      <c r="O288" s="650"/>
      <c r="P288" s="650"/>
    </row>
    <row r="289" spans="14:16" hidden="1">
      <c r="N289" s="650"/>
      <c r="O289" s="650"/>
      <c r="P289" s="650"/>
    </row>
    <row r="290" spans="14:16" hidden="1">
      <c r="N290" s="650"/>
      <c r="O290" s="650"/>
      <c r="P290" s="650"/>
    </row>
    <row r="291" spans="14:16" hidden="1">
      <c r="N291" s="650"/>
      <c r="O291" s="650"/>
      <c r="P291" s="650"/>
    </row>
    <row r="292" spans="14:16" hidden="1">
      <c r="N292" s="650"/>
      <c r="O292" s="650"/>
      <c r="P292" s="650"/>
    </row>
    <row r="293" spans="14:16" hidden="1">
      <c r="N293" s="650"/>
      <c r="O293" s="650"/>
      <c r="P293" s="650"/>
    </row>
    <row r="294" spans="14:16" hidden="1">
      <c r="N294" s="650"/>
      <c r="O294" s="650"/>
      <c r="P294" s="650"/>
    </row>
    <row r="295" spans="14:16" hidden="1">
      <c r="N295" s="650"/>
      <c r="O295" s="650"/>
      <c r="P295" s="650"/>
    </row>
    <row r="296" spans="14:16" hidden="1">
      <c r="N296" s="650"/>
      <c r="O296" s="650"/>
      <c r="P296" s="650"/>
    </row>
    <row r="297" spans="14:16" hidden="1">
      <c r="N297" s="650"/>
      <c r="O297" s="650"/>
      <c r="P297" s="650"/>
    </row>
    <row r="298" spans="14:16" hidden="1">
      <c r="N298" s="650"/>
      <c r="O298" s="650"/>
      <c r="P298" s="650"/>
    </row>
    <row r="299" spans="14:16" hidden="1">
      <c r="N299" s="650"/>
      <c r="O299" s="650"/>
      <c r="P299" s="650"/>
    </row>
    <row r="300" spans="14:16" hidden="1">
      <c r="N300" s="650"/>
      <c r="O300" s="650"/>
      <c r="P300" s="650"/>
    </row>
    <row r="301" spans="14:16" hidden="1">
      <c r="N301" s="650"/>
      <c r="O301" s="650"/>
      <c r="P301" s="650"/>
    </row>
    <row r="302" spans="14:16" hidden="1">
      <c r="N302" s="650"/>
      <c r="O302" s="650"/>
      <c r="P302" s="650"/>
    </row>
    <row r="303" spans="14:16" hidden="1">
      <c r="N303" s="650"/>
      <c r="O303" s="650"/>
      <c r="P303" s="650"/>
    </row>
    <row r="304" spans="14:16" hidden="1">
      <c r="N304" s="650"/>
      <c r="O304" s="650"/>
      <c r="P304" s="650"/>
    </row>
    <row r="305" spans="14:36" hidden="1">
      <c r="N305" s="650"/>
      <c r="O305" s="650"/>
      <c r="P305" s="650"/>
    </row>
    <row r="306" spans="14:36" hidden="1">
      <c r="N306" s="650"/>
      <c r="O306" s="650"/>
      <c r="P306" s="650"/>
    </row>
    <row r="307" spans="14:36" hidden="1">
      <c r="N307" s="650"/>
      <c r="O307" s="650"/>
      <c r="P307" s="650"/>
    </row>
    <row r="308" spans="14:36" hidden="1">
      <c r="N308" s="650"/>
      <c r="O308" s="650"/>
      <c r="P308" s="650"/>
    </row>
    <row r="309" spans="14:36" hidden="1">
      <c r="N309" s="650"/>
      <c r="O309" s="650"/>
      <c r="P309" s="650"/>
    </row>
    <row r="310" spans="14:36" hidden="1">
      <c r="N310" s="650"/>
      <c r="O310" s="650"/>
      <c r="P310" s="650"/>
    </row>
    <row r="311" spans="14:36" hidden="1">
      <c r="N311" s="650"/>
      <c r="O311" s="650"/>
      <c r="P311" s="650"/>
    </row>
    <row r="312" spans="14:36" hidden="1">
      <c r="N312" s="650"/>
      <c r="O312" s="650"/>
      <c r="P312" s="650"/>
    </row>
    <row r="313" spans="14:36" hidden="1">
      <c r="N313" s="650"/>
      <c r="O313" s="650"/>
      <c r="P313" s="650"/>
    </row>
    <row r="314" spans="14:36" hidden="1">
      <c r="N314" s="650"/>
      <c r="O314" s="650"/>
      <c r="P314" s="650"/>
    </row>
    <row r="315" spans="14:36" hidden="1">
      <c r="N315" s="650"/>
      <c r="O315" s="650"/>
      <c r="P315" s="650"/>
    </row>
    <row r="316" spans="14:36" hidden="1">
      <c r="N316" s="650"/>
      <c r="O316" s="650"/>
      <c r="P316" s="650"/>
    </row>
    <row r="317" spans="14:36" hidden="1">
      <c r="N317" s="650"/>
      <c r="O317" s="650"/>
      <c r="P317" s="650"/>
    </row>
    <row r="318" spans="14:36" hidden="1">
      <c r="N318" s="650"/>
      <c r="O318" s="650"/>
      <c r="P318" s="650"/>
    </row>
    <row r="319" spans="14:36" hidden="1">
      <c r="N319" s="650"/>
      <c r="O319" s="650"/>
      <c r="P319" s="650"/>
      <c r="AJ319" s="4"/>
    </row>
    <row r="320" spans="14:36" hidden="1">
      <c r="N320" s="650"/>
      <c r="O320" s="650"/>
      <c r="P320" s="650"/>
    </row>
    <row r="321" spans="14:16" hidden="1">
      <c r="N321" s="650"/>
      <c r="O321" s="650"/>
      <c r="P321" s="650"/>
    </row>
    <row r="322" spans="14:16" hidden="1">
      <c r="N322" s="650"/>
      <c r="O322" s="650"/>
      <c r="P322" s="650"/>
    </row>
    <row r="323" spans="14:16" hidden="1">
      <c r="N323" s="650"/>
      <c r="O323" s="650"/>
      <c r="P323" s="650"/>
    </row>
    <row r="324" spans="14:16" hidden="1">
      <c r="N324" s="650"/>
      <c r="O324" s="650"/>
      <c r="P324" s="650"/>
    </row>
    <row r="325" spans="14:16" hidden="1">
      <c r="N325" s="650"/>
      <c r="O325" s="650"/>
      <c r="P325" s="650"/>
    </row>
    <row r="326" spans="14:16" hidden="1">
      <c r="N326" s="650"/>
      <c r="O326" s="650"/>
      <c r="P326" s="650"/>
    </row>
    <row r="327" spans="14:16" hidden="1">
      <c r="N327" s="650"/>
      <c r="O327" s="650"/>
      <c r="P327" s="650"/>
    </row>
    <row r="328" spans="14:16" hidden="1">
      <c r="N328" s="650"/>
      <c r="O328" s="650"/>
      <c r="P328" s="650"/>
    </row>
    <row r="329" spans="14:16" hidden="1">
      <c r="N329" s="650"/>
      <c r="O329" s="650"/>
      <c r="P329" s="650"/>
    </row>
    <row r="330" spans="14:16" hidden="1">
      <c r="N330" s="650"/>
      <c r="O330" s="650"/>
      <c r="P330" s="650"/>
    </row>
    <row r="331" spans="14:16" hidden="1">
      <c r="N331" s="650"/>
      <c r="O331" s="650"/>
      <c r="P331" s="650"/>
    </row>
    <row r="332" spans="14:16" hidden="1">
      <c r="N332" s="650"/>
      <c r="O332" s="650"/>
      <c r="P332" s="650"/>
    </row>
    <row r="333" spans="14:16" hidden="1">
      <c r="N333" s="650"/>
      <c r="O333" s="650"/>
      <c r="P333" s="650"/>
    </row>
    <row r="334" spans="14:16">
      <c r="N334" s="650"/>
      <c r="O334" s="650"/>
      <c r="P334" s="650"/>
    </row>
    <row r="335" spans="14:16">
      <c r="N335" s="650"/>
      <c r="O335" s="650"/>
      <c r="P335" s="650"/>
    </row>
    <row r="336" spans="14:16">
      <c r="N336" s="650"/>
      <c r="O336" s="650"/>
      <c r="P336" s="650"/>
    </row>
    <row r="337" spans="14:16">
      <c r="N337" s="650"/>
      <c r="O337" s="650"/>
      <c r="P337" s="650"/>
    </row>
    <row r="338" spans="14:16">
      <c r="N338" s="650"/>
      <c r="O338" s="650"/>
      <c r="P338" s="650"/>
    </row>
    <row r="339" spans="14:16">
      <c r="N339" s="650"/>
      <c r="O339" s="650"/>
      <c r="P339" s="650"/>
    </row>
    <row r="340" spans="14:16">
      <c r="N340" s="650"/>
      <c r="O340" s="650"/>
      <c r="P340" s="650"/>
    </row>
    <row r="341" spans="14:16">
      <c r="N341" s="650"/>
      <c r="O341" s="650"/>
      <c r="P341" s="650"/>
    </row>
    <row r="342" spans="14:16">
      <c r="N342" s="650"/>
      <c r="O342" s="650"/>
      <c r="P342" s="650"/>
    </row>
    <row r="343" spans="14:16">
      <c r="N343" s="650"/>
      <c r="O343" s="650"/>
      <c r="P343" s="650"/>
    </row>
    <row r="344" spans="14:16">
      <c r="N344" s="650"/>
      <c r="O344" s="650"/>
      <c r="P344" s="650"/>
    </row>
    <row r="345" spans="14:16">
      <c r="N345" s="650"/>
      <c r="O345" s="650"/>
      <c r="P345" s="650"/>
    </row>
    <row r="346" spans="14:16">
      <c r="N346" s="650"/>
      <c r="O346" s="650"/>
      <c r="P346" s="650"/>
    </row>
    <row r="347" spans="14:16">
      <c r="N347" s="650"/>
      <c r="O347" s="650"/>
      <c r="P347" s="650"/>
    </row>
    <row r="348" spans="14:16">
      <c r="N348" s="650"/>
      <c r="O348" s="650"/>
      <c r="P348" s="650"/>
    </row>
    <row r="349" spans="14:16">
      <c r="N349" s="650"/>
      <c r="O349" s="650"/>
      <c r="P349" s="650"/>
    </row>
    <row r="350" spans="14:16">
      <c r="N350" s="650"/>
      <c r="O350" s="650"/>
      <c r="P350" s="650"/>
    </row>
    <row r="351" spans="14:16">
      <c r="N351" s="650"/>
      <c r="O351" s="650"/>
      <c r="P351" s="650"/>
    </row>
    <row r="386" spans="5:26" ht="15.75">
      <c r="E386" s="3"/>
      <c r="F386" s="3"/>
      <c r="G386" s="3"/>
      <c r="H386" s="3"/>
      <c r="I386" s="3"/>
      <c r="J386" s="3"/>
      <c r="K386" s="3"/>
      <c r="L386" s="1128"/>
      <c r="N386" s="600"/>
      <c r="O386" s="600"/>
      <c r="P386" s="600"/>
      <c r="Q386" s="600"/>
      <c r="R386" s="600"/>
      <c r="S386" s="600"/>
      <c r="U386" s="218"/>
      <c r="V386" s="218"/>
      <c r="W386" s="218"/>
      <c r="X386" s="218"/>
      <c r="Y386" s="218"/>
      <c r="Z386" s="600"/>
    </row>
  </sheetData>
  <sheetProtection algorithmName="SHA-512" hashValue="CWKQJNebtW/5tzoz9s+4Vl3PmlSxyn9zIszKUkSz0UHZY/DDz4BqvYceCBl2GsPeJXgFn+ub+P4hAs3+s0MSGg==" saltValue="HoD14GTNwj5L/EEkoQBw7w==" spinCount="100000" sheet="1" formatCells="0" formatColumns="0" formatRows="0" selectLockedCells="1" sort="0" autoFilter="0"/>
  <protectedRanges>
    <protectedRange sqref="M11:N11 M17:N20 M27:N27 M31:N31 D11:F11 D17:D20 D27 D31 D36:O36 C41:D41 D42:D45 B37:O37 E12:F24 G12:K16 G18:K19 H11:K11 G21:K24 G28:K30 G32:K34 N12:N16 N21:N24 N28:N30 N32:N34 H17:K17 H20:K20 H27:K27 H31:K31 D35:N35 Z11:AB11 H38:K38 D66:F66 H66:K66 D96:F96 H96:K96 H105:K105 D119:F119 H119:K119 D149:F149 H149:K149 D164:F164 H164:K164 D196:F196 H196:K196 D46:F46 H46:K46 D51:F51 H51:K51 D55:F55 H55:K55 D58:F58 H58:K58 D61:F61 H61:K61 D74:F74 H74:K74 D78:F78 H78:K78 D81:F81 H81:K81 D84:F84 H84:K84 D88:F88 H88:K88 D91:F91 H91:K91 D99:F99 H99:K99 D108:F108 H108:K108 D110:F110 H110:K110 D114:F114 H114:K114 D123:F123 H123:K123 D127:F127 H127:K127 D131:F131 H131:K131 H137:K137 D142:F142 H142:K142 D155:F155 H155:K155 D157:F157 H157:K157 D159:F159 H159:K159 D167:F167 H167:K167 D175:F175 H175:K175 D179:F179 H179:K179 D183:F183 H183:K183 D185:F185 H185:K185 D188:F188 H188:K188 D201:F201 H201:K201 D204:F204 H204:K204 D207:F207 H207:K207 E41:K45 D52:K54 D59:K60 D62:K62 D75:K77 D79:K80 D82:K83 D89:K90 D92:K92 E97:K98 D109:K109 D111:K113 D115:K115 M105:O105 E122:K122 E139:K141 E143:K145 D156:K156 D158:K158 D160:K160 M149:O149 D184:K184 D202:K203 D205:K206 D208:K209 AC96:AF99 AC119:AF135 A251:A253 E47:K50 D56:K57 D120:K121 E124:K126 E128:K130 D168:K170 D173:K174 D176:K178 D180:K182 D186:K187 D63:O65 D93:O95 D102:O104 D116:O118 D146:O148 D161:O163 D193:O195 D210:O226 M38:O38 M119:O137 D132:K136 D197:K200 M196:O209 E27:F34 O27:O35 E25:K26 N25:O26 B11:C36 D85:K87 D100:K101 M96:O101 AC11:AF38 M164:O165 O11:P13 B227:O227 S215:V227 O14:O24 P14:P38 Z215:AF227 M66:O69 AA17:AB20 AA27:AB27 AA31:AB31 AA66:AB66 AA96:AB96 AA149:AB150 AA123:AB123 AA127:AB127 AA142:AB142 AA74:AB85 AA99:AB99 AA155:AB160 AA51:AB62 AA119:AB121 AA131:AB135 AA137:AB138 AA136:AF136 AA35:AB38 AA63:AF65 AA86:AF95 AA146:AF148 B228:AF228 Q11:R105 A9:AF10 A246:AF249 B237:AF237 A255:AF260 A229:AF232 B252:AF253 B38:F38 M41:O62 P41:P69 AC41:AF62 AA41:AB46 D189:K192 M192:O192 P192:P227 W192:W227 T192:V214 M155:O160 P155:R165 D165:K166 Q167:R227 M166:R166 X167:Y227 AC66:AF85 D105:F105 P107:R137 AA100:AF118 AC149:AF160 D137:F137 M139:O145 P139:R149 D138:K138 M138:R138 AC137:AF145 B39:K40 M39:P40 AA39:AF40 E151:K154 D150:K150 M150:R154 M107:O115 M106:R106 D106:K107 C42:C226 D171:F172 H171:K172 M167:P191 T167:W191 AA161:AF214 B41:B226 M70:P72 E67:K73 P73:P105 M73:O92 T11:Y166 A11:A228" name="Sortering"/>
    <protectedRange sqref="L38:L62 L105:L115 L196:L209 L11:L34 L66 L96:L101 L164:L192 L68:L92 L149:L160 L119:L145" name="Sortering_1"/>
    <protectedRange sqref="S11" name="Sortering_5"/>
    <protectedRange sqref="S20 S27 S31 S35:S37 S63:S65 S93:S95 S102:S104 S116:S118 S146:S148 S161:S163 S193:S195 S210:S214" name="Sortering_2"/>
    <protectedRange sqref="S38:S40 S66 S96 S105 S119 S149 S164 S196" name="Sortering_5_1"/>
    <protectedRange sqref="S12:S19 S28:S30 S32:S34 S41:S62 S197:S209 S21:S26 S67:S92 S97:S101 S165:S192 L67 Z67 S106:S115 S150:S160 S120:S145" name="Sortering_6_1"/>
    <protectedRange sqref="Z12:Z66 Z68:Z214" name="Sortering_3"/>
  </protectedRanges>
  <autoFilter ref="A9:AF228" xr:uid="{00000000-0009-0000-0000-000002000000}">
    <sortState xmlns:xlrd2="http://schemas.microsoft.com/office/spreadsheetml/2017/richdata2" ref="A10:AF228">
      <sortCondition ref="A9:A228"/>
    </sortState>
  </autoFilter>
  <mergeCells count="5">
    <mergeCell ref="AD8:AF8"/>
    <mergeCell ref="G3:K3"/>
    <mergeCell ref="N3:S3"/>
    <mergeCell ref="U3:Z3"/>
    <mergeCell ref="AB4:AB8"/>
  </mergeCells>
  <phoneticPr fontId="19" type="noConversion"/>
  <conditionalFormatting sqref="J212:K221 J146:K148 J193:K195 J10:K11 J35:K37 J102:K104 J246:K249 J255:K260 J63:K65 J93:K95 J116:K118 J161:K163 J197:K197 J252:K253 J237:K237 J173:K174 J27:K33 J87:K87 K134:K135">
    <cfRule type="expression" dxfId="4143" priority="4677">
      <formula>$AD10=4</formula>
    </cfRule>
    <cfRule type="expression" dxfId="4142" priority="4678">
      <formula>$AD10=3</formula>
    </cfRule>
    <cfRule type="expression" dxfId="4141" priority="4679">
      <formula>$AD10=2</formula>
    </cfRule>
    <cfRule type="expression" dxfId="4140" priority="4680">
      <formula>$AD10=1</formula>
    </cfRule>
  </conditionalFormatting>
  <conditionalFormatting sqref="Q212:R221 Q147:R148 Q194:R195 Q10:R11 Q17:R20 Q27:R27 Q35:R37 Q103:R104 Q31:R31 Q246:R249 Q255:R260 Q64:R65 Q94:R95 Q117:R118 Q162:R163 Q197:R197 Q252:R253 Q237:R237 Q173:R174 Q87:R87">
    <cfRule type="expression" dxfId="4139" priority="4673">
      <formula>$AE10=4</formula>
    </cfRule>
    <cfRule type="expression" dxfId="4138" priority="4674">
      <formula>$AE10=3</formula>
    </cfRule>
    <cfRule type="expression" dxfId="4137" priority="4675">
      <formula>$AE10=2</formula>
    </cfRule>
    <cfRule type="expression" dxfId="4136" priority="4676">
      <formula>$AE10=1</formula>
    </cfRule>
  </conditionalFormatting>
  <conditionalFormatting sqref="X212:Y221 X146:Y148 X193:Y195 X10:Y11 X17:Y20 X27:Y27 X35:Y37 X102:Y104 X31:Y31 X246:Y249 X255:Y260 X63:Y65 X93:Y95 X116:Y118 X161:Y163 X197:Y197 X252:Y253 X237:Y237 X173:Y174 X87:Y87">
    <cfRule type="expression" dxfId="4135" priority="4669">
      <formula>$AF10=4</formula>
    </cfRule>
    <cfRule type="expression" dxfId="4134" priority="4670">
      <formula>$AF10=3</formula>
    </cfRule>
    <cfRule type="expression" dxfId="4133" priority="4671">
      <formula>$AF10=2</formula>
    </cfRule>
    <cfRule type="expression" dxfId="4132" priority="4672">
      <formula>$AF10=1</formula>
    </cfRule>
  </conditionalFormatting>
  <conditionalFormatting sqref="J210:K211">
    <cfRule type="expression" dxfId="4131" priority="4581">
      <formula>$AD210=4</formula>
    </cfRule>
    <cfRule type="expression" dxfId="4130" priority="4582">
      <formula>$AD210=3</formula>
    </cfRule>
    <cfRule type="expression" dxfId="4129" priority="4583">
      <formula>$AD210=2</formula>
    </cfRule>
    <cfRule type="expression" dxfId="4128" priority="4584">
      <formula>$AD210=1</formula>
    </cfRule>
  </conditionalFormatting>
  <conditionalFormatting sqref="Q211:R211">
    <cfRule type="expression" dxfId="4127" priority="4577">
      <formula>$AE211=4</formula>
    </cfRule>
    <cfRule type="expression" dxfId="4126" priority="4578">
      <formula>$AE211=3</formula>
    </cfRule>
    <cfRule type="expression" dxfId="4125" priority="4579">
      <formula>$AE211=2</formula>
    </cfRule>
    <cfRule type="expression" dxfId="4124" priority="4580">
      <formula>$AE211=1</formula>
    </cfRule>
  </conditionalFormatting>
  <conditionalFormatting sqref="X210:Y211">
    <cfRule type="expression" dxfId="4123" priority="4573">
      <formula>$AF210=4</formula>
    </cfRule>
    <cfRule type="expression" dxfId="4122" priority="4574">
      <formula>$AF210=3</formula>
    </cfRule>
    <cfRule type="expression" dxfId="4121" priority="4575">
      <formula>$AF210=2</formula>
    </cfRule>
    <cfRule type="expression" dxfId="4120" priority="4576">
      <formula>$AF210=1</formula>
    </cfRule>
  </conditionalFormatting>
  <conditionalFormatting sqref="J227:K228">
    <cfRule type="expression" dxfId="4119" priority="4569">
      <formula>$AD227=4</formula>
    </cfRule>
    <cfRule type="expression" dxfId="4118" priority="4570">
      <formula>$AD227=3</formula>
    </cfRule>
    <cfRule type="expression" dxfId="4117" priority="4571">
      <formula>$AD227=2</formula>
    </cfRule>
    <cfRule type="expression" dxfId="4116" priority="4572">
      <formula>$AD227=1</formula>
    </cfRule>
  </conditionalFormatting>
  <conditionalFormatting sqref="Q228:R228">
    <cfRule type="expression" dxfId="4115" priority="4565">
      <formula>$AE228=4</formula>
    </cfRule>
    <cfRule type="expression" dxfId="4114" priority="4566">
      <formula>$AE228=3</formula>
    </cfRule>
    <cfRule type="expression" dxfId="4113" priority="4567">
      <formula>$AE228=2</formula>
    </cfRule>
    <cfRule type="expression" dxfId="4112" priority="4568">
      <formula>$AE228=1</formula>
    </cfRule>
  </conditionalFormatting>
  <conditionalFormatting sqref="X227:Y228">
    <cfRule type="expression" dxfId="4111" priority="4561">
      <formula>$AF227=4</formula>
    </cfRule>
    <cfRule type="expression" dxfId="4110" priority="4562">
      <formula>$AF227=3</formula>
    </cfRule>
    <cfRule type="expression" dxfId="4109" priority="4563">
      <formula>$AF227=2</formula>
    </cfRule>
    <cfRule type="expression" dxfId="4108" priority="4564">
      <formula>$AF227=1</formula>
    </cfRule>
  </conditionalFormatting>
  <conditionalFormatting sqref="G146:L148 G193:L195 Z227 G227:L227 G10:L10 N10:S10 N36:O37 G35:L37 N103:O104 AZ142 G102:L104 H11:K11 N18:N19 L222:L225 U10:Y10 U103:V104 Z215:Z221 AZ10:AZ11 AZ17:AZ20 AZ246 G246:L246 U246:Z246 S246:S247 AZ27 N246:R248 K247:K248 G247:G248 U247:W248 AZ35:AZ46 AZ248:AZ249 AZ31 N249:S249 U249:Z249 G249:L249 AZ51:AZ66 AZ74:AZ85 AZ252:AZ253 N252:S253 U252:Z253 G252:L253 U255:W255 AZ99 AZ123 G255 AZ131:AZ135 AZ127 U147:V148 N147:O148 U256:Z259 G256:L259 AZ146:AZ150 AZ255:AZ260 U260:W260 G260 N255:S260 G21:G24 G28:G30 G32:G34 H12:I24 N35 G63:L65 U64:V65 N64:O65 U94:V95 N94:O95 G93:L95 N117:O118 G116:L118 U117:V118 G161:L163 N162:O163 U162:V163 N194:O195 U194:V195 G210:L221 U211:V212 N211:O212 G197:L197 N197:O197 U197:V197 N237:P237 U237:W237 G237 AZ201:AZ227 N63 N93 N102 N116 N146 N161 N193 N210 AZ137:AZ138 H27:I34 AZ87:AZ96 AZ101:AZ121 AZ155:AZ197 O173:O174 V173:V174 H173:L174 G226:I226 L15:L24 J27:L33 Z10:Z11 O27:O35 V20 V27 V31 U35:V37 V17 X47:Y50 X52:Y54 X56:Y57 X59:Y60 H41:I62 X75:Y77 X79:Y80 X82:Y83 J87:L87 G87 N87:O87 U87:V87 X89:Y90 X109:Y109 X111:Y113 H107:I115 X124:Y126 X128:Y130 K134:K135 X139:Y141 X156:Y156 X158:Y158 H151:I153 X168:Y170 H165:I165 X176:Y178 X180:Y182 X184:Y184 X186:Y187 X202:Y203 X205:Y206 H201:I209 N213:N227 V198 U63 U93 U102 U116 U146 U161 U193 U210 U213:U227 X132:Y136 H120:I137 G199:L200 N199:O200 U199:V200 X85:Y87 H67:I69 H97:I101 S215:S226 Q194:R209 Q162:R165 Q117:R137 Q94:R101 Q64:R92 Q147:R149 Q103:R105 Q11:R62 X173:Y174 X208:Y227 X189:Y200 X160:Y165 X115:Y122 X92:Y98 X62:Y73 X143:Y149 X101:Y105 X16:Y45 Q211:R226 X11:Y14 Q227:S227 H175:I192 H155:I160 Q155:R160 Q167:R192 R166 H71:I71 X107:Y107 Q107:R115 X151:Y153 Q151:R153 Q139:R145 H139:I145 H167:I172 H73:I92">
    <cfRule type="expression" dxfId="4107" priority="4560">
      <formula>$AC10=2</formula>
    </cfRule>
  </conditionalFormatting>
  <conditionalFormatting sqref="G146:G148 G193:G195 G227 G10 G35:G37 G102:G104 G257 G63:G65 G93:G95 G116:G118 G161:G163 G210:G221 G197">
    <cfRule type="expression" dxfId="4106" priority="4557">
      <formula>G10&gt;F10</formula>
    </cfRule>
  </conditionalFormatting>
  <conditionalFormatting sqref="N147:O148 N194:O195 N227 N10:P10 N18:N19 N36:O37 N103:O104 N257:P257 N35 N64:O65 N94:O95 N117:O118 N162:O163 N211:O212 N197 N213:N221 N63 N93 N102 N116 N146 N161 N193 N210">
    <cfRule type="expression" dxfId="4105" priority="4556">
      <formula>N10&gt;F10</formula>
    </cfRule>
  </conditionalFormatting>
  <conditionalFormatting sqref="U147:V148 U194:V195 U10:W10 U36:V37 U103:V104 U257:W257 U35 U64:V65 U94:V95 U117:V118 U162:V163 U211:V212 U197 U213:U221 U87">
    <cfRule type="expression" dxfId="4104" priority="4555">
      <formula>U10&gt;F10</formula>
    </cfRule>
  </conditionalFormatting>
  <conditionalFormatting sqref="N4:P4">
    <cfRule type="expression" dxfId="4103" priority="4549">
      <formula>$S$8="No"</formula>
    </cfRule>
  </conditionalFormatting>
  <conditionalFormatting sqref="U4:W4">
    <cfRule type="expression" dxfId="4102" priority="4548">
      <formula>$Z$8="No"</formula>
    </cfRule>
  </conditionalFormatting>
  <conditionalFormatting sqref="AB10:AB11 AB17:AB20 AB27 AB31 AB35:AB38 AB51:AB66 AB74:AB85 AB99 AB123 AB127 AB131:AB135 AB142 AB146:AB150 AB137:AB138 AB87:AB96 AB101:AB121 AB255:AB260 AB252:AB253 AB237 AB246:AB249 AB155:AB227 AB41:AB46">
    <cfRule type="expression" dxfId="4101" priority="4483">
      <formula>$AJ$4="Nei"</formula>
    </cfRule>
    <cfRule type="expression" dxfId="4100" priority="4484">
      <formula>$AC10=2</formula>
    </cfRule>
  </conditionalFormatting>
  <conditionalFormatting sqref="AB4">
    <cfRule type="expression" dxfId="4099" priority="4481">
      <formula>$AJ$4=ais_nei</formula>
    </cfRule>
  </conditionalFormatting>
  <conditionalFormatting sqref="O110">
    <cfRule type="expression" dxfId="4098" priority="2898">
      <formula>$AC110=2</formula>
    </cfRule>
  </conditionalFormatting>
  <conditionalFormatting sqref="J110:K110">
    <cfRule type="expression" dxfId="4097" priority="2900">
      <formula>$AC110=2</formula>
    </cfRule>
  </conditionalFormatting>
  <conditionalFormatting sqref="J222">
    <cfRule type="expression" dxfId="4096" priority="4355">
      <formula>$AD222=4</formula>
    </cfRule>
    <cfRule type="expression" dxfId="4095" priority="4356">
      <formula>$AD222=3</formula>
    </cfRule>
    <cfRule type="expression" dxfId="4094" priority="4357">
      <formula>$AD222=2</formula>
    </cfRule>
    <cfRule type="expression" dxfId="4093" priority="4358">
      <formula>$AD222=1</formula>
    </cfRule>
  </conditionalFormatting>
  <conditionalFormatting sqref="Q222:R222">
    <cfRule type="expression" dxfId="4092" priority="4351">
      <formula>$AE222=4</formula>
    </cfRule>
    <cfRule type="expression" dxfId="4091" priority="4352">
      <formula>$AE222=3</formula>
    </cfRule>
    <cfRule type="expression" dxfId="4090" priority="4353">
      <formula>$AE222=2</formula>
    </cfRule>
    <cfRule type="expression" dxfId="4089" priority="4354">
      <formula>$AE222=1</formula>
    </cfRule>
  </conditionalFormatting>
  <conditionalFormatting sqref="X222:Y222">
    <cfRule type="expression" dxfId="4088" priority="4347">
      <formula>$AF222=4</formula>
    </cfRule>
    <cfRule type="expression" dxfId="4087" priority="4348">
      <formula>$AF222=3</formula>
    </cfRule>
    <cfRule type="expression" dxfId="4086" priority="4349">
      <formula>$AF222=2</formula>
    </cfRule>
    <cfRule type="expression" dxfId="4085" priority="4350">
      <formula>$AF222=1</formula>
    </cfRule>
  </conditionalFormatting>
  <conditionalFormatting sqref="G222:J222">
    <cfRule type="expression" dxfId="4084" priority="4346">
      <formula>$AC222=2</formula>
    </cfRule>
  </conditionalFormatting>
  <conditionalFormatting sqref="G222">
    <cfRule type="expression" dxfId="4083" priority="4345">
      <formula>G222&gt;F222</formula>
    </cfRule>
  </conditionalFormatting>
  <conditionalFormatting sqref="N222">
    <cfRule type="expression" dxfId="4082" priority="4344">
      <formula>N222&gt;F222</formula>
    </cfRule>
  </conditionalFormatting>
  <conditionalFormatting sqref="U222">
    <cfRule type="expression" dxfId="4081" priority="4343">
      <formula>U222&gt;F222</formula>
    </cfRule>
  </conditionalFormatting>
  <conditionalFormatting sqref="J223">
    <cfRule type="expression" dxfId="4080" priority="4335">
      <formula>$AD223=4</formula>
    </cfRule>
    <cfRule type="expression" dxfId="4079" priority="4336">
      <formula>$AD223=3</formula>
    </cfRule>
    <cfRule type="expression" dxfId="4078" priority="4337">
      <formula>$AD223=2</formula>
    </cfRule>
    <cfRule type="expression" dxfId="4077" priority="4338">
      <formula>$AD223=1</formula>
    </cfRule>
  </conditionalFormatting>
  <conditionalFormatting sqref="Q223:R223">
    <cfRule type="expression" dxfId="4076" priority="4331">
      <formula>$AE223=4</formula>
    </cfRule>
    <cfRule type="expression" dxfId="4075" priority="4332">
      <formula>$AE223=3</formula>
    </cfRule>
    <cfRule type="expression" dxfId="4074" priority="4333">
      <formula>$AE223=2</formula>
    </cfRule>
    <cfRule type="expression" dxfId="4073" priority="4334">
      <formula>$AE223=1</formula>
    </cfRule>
  </conditionalFormatting>
  <conditionalFormatting sqref="X223:Y223">
    <cfRule type="expression" dxfId="4072" priority="4327">
      <formula>$AF223=4</formula>
    </cfRule>
    <cfRule type="expression" dxfId="4071" priority="4328">
      <formula>$AF223=3</formula>
    </cfRule>
    <cfRule type="expression" dxfId="4070" priority="4329">
      <formula>$AF223=2</formula>
    </cfRule>
    <cfRule type="expression" dxfId="4069" priority="4330">
      <formula>$AF223=1</formula>
    </cfRule>
  </conditionalFormatting>
  <conditionalFormatting sqref="G223:J223">
    <cfRule type="expression" dxfId="4068" priority="4326">
      <formula>$AC223=2</formula>
    </cfRule>
  </conditionalFormatting>
  <conditionalFormatting sqref="G223">
    <cfRule type="expression" dxfId="4067" priority="4325">
      <formula>G223&gt;F223</formula>
    </cfRule>
  </conditionalFormatting>
  <conditionalFormatting sqref="N223">
    <cfRule type="expression" dxfId="4066" priority="4324">
      <formula>N223&gt;F223</formula>
    </cfRule>
  </conditionalFormatting>
  <conditionalFormatting sqref="U223">
    <cfRule type="expression" dxfId="4065" priority="4323">
      <formula>U223&gt;F223</formula>
    </cfRule>
  </conditionalFormatting>
  <conditionalFormatting sqref="J224">
    <cfRule type="expression" dxfId="4064" priority="4315">
      <formula>$AD224=4</formula>
    </cfRule>
    <cfRule type="expression" dxfId="4063" priority="4316">
      <formula>$AD224=3</formula>
    </cfRule>
    <cfRule type="expression" dxfId="4062" priority="4317">
      <formula>$AD224=2</formula>
    </cfRule>
    <cfRule type="expression" dxfId="4061" priority="4318">
      <formula>$AD224=1</formula>
    </cfRule>
  </conditionalFormatting>
  <conditionalFormatting sqref="Q224:R224">
    <cfRule type="expression" dxfId="4060" priority="4311">
      <formula>$AE224=4</formula>
    </cfRule>
    <cfRule type="expression" dxfId="4059" priority="4312">
      <formula>$AE224=3</formula>
    </cfRule>
    <cfRule type="expression" dxfId="4058" priority="4313">
      <formula>$AE224=2</formula>
    </cfRule>
    <cfRule type="expression" dxfId="4057" priority="4314">
      <formula>$AE224=1</formula>
    </cfRule>
  </conditionalFormatting>
  <conditionalFormatting sqref="X224:Y224">
    <cfRule type="expression" dxfId="4056" priority="4307">
      <formula>$AF224=4</formula>
    </cfRule>
    <cfRule type="expression" dxfId="4055" priority="4308">
      <formula>$AF224=3</formula>
    </cfRule>
    <cfRule type="expression" dxfId="4054" priority="4309">
      <formula>$AF224=2</formula>
    </cfRule>
    <cfRule type="expression" dxfId="4053" priority="4310">
      <formula>$AF224=1</formula>
    </cfRule>
  </conditionalFormatting>
  <conditionalFormatting sqref="G224:J224">
    <cfRule type="expression" dxfId="4052" priority="4306">
      <formula>$AC224=2</formula>
    </cfRule>
  </conditionalFormatting>
  <conditionalFormatting sqref="G224">
    <cfRule type="expression" dxfId="4051" priority="4305">
      <formula>G224&gt;F224</formula>
    </cfRule>
  </conditionalFormatting>
  <conditionalFormatting sqref="N224">
    <cfRule type="expression" dxfId="4050" priority="4304">
      <formula>N224&gt;F224</formula>
    </cfRule>
  </conditionalFormatting>
  <conditionalFormatting sqref="U224">
    <cfRule type="expression" dxfId="4049" priority="4303">
      <formula>U224&gt;F224</formula>
    </cfRule>
  </conditionalFormatting>
  <conditionalFormatting sqref="J225">
    <cfRule type="expression" dxfId="4048" priority="4295">
      <formula>$AD225=4</formula>
    </cfRule>
    <cfRule type="expression" dxfId="4047" priority="4296">
      <formula>$AD225=3</formula>
    </cfRule>
    <cfRule type="expression" dxfId="4046" priority="4297">
      <formula>$AD225=2</formula>
    </cfRule>
    <cfRule type="expression" dxfId="4045" priority="4298">
      <formula>$AD225=1</formula>
    </cfRule>
  </conditionalFormatting>
  <conditionalFormatting sqref="Q225:R225">
    <cfRule type="expression" dxfId="4044" priority="4291">
      <formula>$AE225=4</formula>
    </cfRule>
    <cfRule type="expression" dxfId="4043" priority="4292">
      <formula>$AE225=3</formula>
    </cfRule>
    <cfRule type="expression" dxfId="4042" priority="4293">
      <formula>$AE225=2</formula>
    </cfRule>
    <cfRule type="expression" dxfId="4041" priority="4294">
      <formula>$AE225=1</formula>
    </cfRule>
  </conditionalFormatting>
  <conditionalFormatting sqref="X225:Y225">
    <cfRule type="expression" dxfId="4040" priority="4287">
      <formula>$AF225=4</formula>
    </cfRule>
    <cfRule type="expression" dxfId="4039" priority="4288">
      <formula>$AF225=3</formula>
    </cfRule>
    <cfRule type="expression" dxfId="4038" priority="4289">
      <formula>$AF225=2</formula>
    </cfRule>
    <cfRule type="expression" dxfId="4037" priority="4290">
      <formula>$AF225=1</formula>
    </cfRule>
  </conditionalFormatting>
  <conditionalFormatting sqref="G225:J225">
    <cfRule type="expression" dxfId="4036" priority="4286">
      <formula>$AC225=2</formula>
    </cfRule>
  </conditionalFormatting>
  <conditionalFormatting sqref="G225:G226">
    <cfRule type="expression" dxfId="4035" priority="4285">
      <formula>G225&gt;F225</formula>
    </cfRule>
  </conditionalFormatting>
  <conditionalFormatting sqref="N225">
    <cfRule type="expression" dxfId="4034" priority="4284">
      <formula>N225&gt;F225</formula>
    </cfRule>
  </conditionalFormatting>
  <conditionalFormatting sqref="U225">
    <cfRule type="expression" dxfId="4033" priority="4283">
      <formula>U225&gt;F225</formula>
    </cfRule>
  </conditionalFormatting>
  <conditionalFormatting sqref="G256">
    <cfRule type="expression" dxfId="4032" priority="4265">
      <formula>G256&gt;F256</formula>
    </cfRule>
  </conditionalFormatting>
  <conditionalFormatting sqref="N256:P256">
    <cfRule type="expression" dxfId="4031" priority="4264">
      <formula>N256&gt;F256</formula>
    </cfRule>
  </conditionalFormatting>
  <conditionalFormatting sqref="U256:W256">
    <cfRule type="expression" dxfId="4030" priority="4263">
      <formula>U256&gt;F256</formula>
    </cfRule>
  </conditionalFormatting>
  <conditionalFormatting sqref="G252">
    <cfRule type="expression" dxfId="4029" priority="4255">
      <formula>G252&gt;F252</formula>
    </cfRule>
  </conditionalFormatting>
  <conditionalFormatting sqref="X260:Y260">
    <cfRule type="expression" dxfId="4028" priority="4242">
      <formula>$AC149=2</formula>
    </cfRule>
  </conditionalFormatting>
  <conditionalFormatting sqref="G246">
    <cfRule type="expression" dxfId="4027" priority="4200">
      <formula>G246&gt;F246</formula>
    </cfRule>
  </conditionalFormatting>
  <conditionalFormatting sqref="N246:P246">
    <cfRule type="expression" dxfId="4026" priority="4183">
      <formula>N246&gt;F246</formula>
    </cfRule>
  </conditionalFormatting>
  <conditionalFormatting sqref="U246:W246">
    <cfRule type="expression" dxfId="4025" priority="4182">
      <formula>U246&gt;F246</formula>
    </cfRule>
  </conditionalFormatting>
  <conditionalFormatting sqref="N252:P252">
    <cfRule type="expression" dxfId="4024" priority="4172">
      <formula>N252&gt;F252</formula>
    </cfRule>
  </conditionalFormatting>
  <conditionalFormatting sqref="U252:W252">
    <cfRule type="expression" dxfId="4023" priority="4171">
      <formula>U252&gt;F252</formula>
    </cfRule>
  </conditionalFormatting>
  <conditionalFormatting sqref="AZ247 X247:Y247 L247 H247:J247">
    <cfRule type="expression" dxfId="4022" priority="4152">
      <formula>$AC20=2</formula>
    </cfRule>
  </conditionalFormatting>
  <conditionalFormatting sqref="G249">
    <cfRule type="expression" dxfId="4021" priority="4113">
      <formula>G249&gt;F249</formula>
    </cfRule>
  </conditionalFormatting>
  <conditionalFormatting sqref="N249:P249">
    <cfRule type="expression" dxfId="4020" priority="4107">
      <formula>N249&gt;F249</formula>
    </cfRule>
  </conditionalFormatting>
  <conditionalFormatting sqref="U249:W249">
    <cfRule type="expression" dxfId="4019" priority="4106">
      <formula>U249&gt;F249</formula>
    </cfRule>
  </conditionalFormatting>
  <conditionalFormatting sqref="G253">
    <cfRule type="expression" dxfId="4018" priority="4087">
      <formula>G253&gt;F253</formula>
    </cfRule>
  </conditionalFormatting>
  <conditionalFormatting sqref="N253:P253">
    <cfRule type="expression" dxfId="4017" priority="4081">
      <formula>N253&gt;F253</formula>
    </cfRule>
  </conditionalFormatting>
  <conditionalFormatting sqref="U253:W253">
    <cfRule type="expression" dxfId="4016" priority="4080">
      <formula>U253&gt;F253</formula>
    </cfRule>
  </conditionalFormatting>
  <conditionalFormatting sqref="H260:L260">
    <cfRule type="expression" dxfId="4015" priority="4061">
      <formula>$AC149=2</formula>
    </cfRule>
  </conditionalFormatting>
  <conditionalFormatting sqref="H255:L255 X255:Y255">
    <cfRule type="expression" dxfId="4014" priority="4026">
      <formula>$AC119=2</formula>
    </cfRule>
  </conditionalFormatting>
  <conditionalFormatting sqref="G258">
    <cfRule type="expression" dxfId="4013" priority="3996">
      <formula>G258&gt;F258</formula>
    </cfRule>
  </conditionalFormatting>
  <conditionalFormatting sqref="N258:P258">
    <cfRule type="expression" dxfId="4012" priority="3995">
      <formula>N258&gt;F258</formula>
    </cfRule>
  </conditionalFormatting>
  <conditionalFormatting sqref="U258:W258">
    <cfRule type="expression" dxfId="4011" priority="3994">
      <formula>U258&gt;F258</formula>
    </cfRule>
  </conditionalFormatting>
  <conditionalFormatting sqref="G259">
    <cfRule type="expression" dxfId="4010" priority="3974">
      <formula>G259&gt;F259</formula>
    </cfRule>
  </conditionalFormatting>
  <conditionalFormatting sqref="N259:P259">
    <cfRule type="expression" dxfId="4009" priority="3973">
      <formula>N259&gt;F259</formula>
    </cfRule>
  </conditionalFormatting>
  <conditionalFormatting sqref="U259:W259">
    <cfRule type="expression" dxfId="4008" priority="3972">
      <formula>U259&gt;F259</formula>
    </cfRule>
  </conditionalFormatting>
  <conditionalFormatting sqref="O59:O60">
    <cfRule type="expression" dxfId="4007" priority="2339">
      <formula>$AC59=2</formula>
    </cfRule>
  </conditionalFormatting>
  <conditionalFormatting sqref="U52:U54">
    <cfRule type="expression" dxfId="4006" priority="2395">
      <formula>$AC52=2</formula>
    </cfRule>
  </conditionalFormatting>
  <conditionalFormatting sqref="K222">
    <cfRule type="expression" dxfId="4005" priority="3909">
      <formula>$AD222=4</formula>
    </cfRule>
    <cfRule type="expression" dxfId="4004" priority="3910">
      <formula>$AD222=3</formula>
    </cfRule>
    <cfRule type="expression" dxfId="4003" priority="3911">
      <formula>$AD222=2</formula>
    </cfRule>
    <cfRule type="expression" dxfId="4002" priority="3912">
      <formula>$AD222=1</formula>
    </cfRule>
  </conditionalFormatting>
  <conditionalFormatting sqref="K222">
    <cfRule type="expression" dxfId="4001" priority="3908">
      <formula>$AC222=2</formula>
    </cfRule>
  </conditionalFormatting>
  <conditionalFormatting sqref="K223">
    <cfRule type="expression" dxfId="4000" priority="3904">
      <formula>$AD223=4</formula>
    </cfRule>
    <cfRule type="expression" dxfId="3999" priority="3905">
      <formula>$AD223=3</formula>
    </cfRule>
    <cfRule type="expression" dxfId="3998" priority="3906">
      <formula>$AD223=2</formula>
    </cfRule>
    <cfRule type="expression" dxfId="3997" priority="3907">
      <formula>$AD223=1</formula>
    </cfRule>
  </conditionalFormatting>
  <conditionalFormatting sqref="K223">
    <cfRule type="expression" dxfId="3996" priority="3903">
      <formula>$AC223=2</formula>
    </cfRule>
  </conditionalFormatting>
  <conditionalFormatting sqref="K224">
    <cfRule type="expression" dxfId="3995" priority="3899">
      <formula>$AD224=4</formula>
    </cfRule>
    <cfRule type="expression" dxfId="3994" priority="3900">
      <formula>$AD224=3</formula>
    </cfRule>
    <cfRule type="expression" dxfId="3993" priority="3901">
      <formula>$AD224=2</formula>
    </cfRule>
    <cfRule type="expression" dxfId="3992" priority="3902">
      <formula>$AD224=1</formula>
    </cfRule>
  </conditionalFormatting>
  <conditionalFormatting sqref="K224">
    <cfRule type="expression" dxfId="3991" priority="3898">
      <formula>$AC224=2</formula>
    </cfRule>
  </conditionalFormatting>
  <conditionalFormatting sqref="K225">
    <cfRule type="expression" dxfId="3990" priority="3894">
      <formula>$AD225=4</formula>
    </cfRule>
    <cfRule type="expression" dxfId="3989" priority="3895">
      <formula>$AD225=3</formula>
    </cfRule>
    <cfRule type="expression" dxfId="3988" priority="3896">
      <formula>$AD225=2</formula>
    </cfRule>
    <cfRule type="expression" dxfId="3987" priority="3897">
      <formula>$AD225=1</formula>
    </cfRule>
  </conditionalFormatting>
  <conditionalFormatting sqref="K225">
    <cfRule type="expression" dxfId="3986" priority="3893">
      <formula>$AC225=2</formula>
    </cfRule>
  </conditionalFormatting>
  <conditionalFormatting sqref="L59:L60">
    <cfRule type="expression" dxfId="3985" priority="2342">
      <formula>$AC59=2</formula>
    </cfRule>
  </conditionalFormatting>
  <conditionalFormatting sqref="L12:L13">
    <cfRule type="expression" dxfId="3984" priority="3713">
      <formula>$AC12=2</formula>
    </cfRule>
  </conditionalFormatting>
  <conditionalFormatting sqref="Z222">
    <cfRule type="expression" dxfId="3983" priority="3885">
      <formula>$AC222=2</formula>
    </cfRule>
  </conditionalFormatting>
  <conditionalFormatting sqref="Z223">
    <cfRule type="expression" dxfId="3982" priority="3884">
      <formula>$AC223=2</formula>
    </cfRule>
  </conditionalFormatting>
  <conditionalFormatting sqref="Z224">
    <cfRule type="expression" dxfId="3981" priority="3883">
      <formula>$AC224=2</formula>
    </cfRule>
  </conditionalFormatting>
  <conditionalFormatting sqref="Z225">
    <cfRule type="expression" dxfId="3980" priority="3882">
      <formula>$AC225=2</formula>
    </cfRule>
  </conditionalFormatting>
  <conditionalFormatting sqref="H237:L237 Q237:S237 X237:Z237 AZ237">
    <cfRule type="expression" dxfId="3979" priority="3880">
      <formula>$AC46=2</formula>
    </cfRule>
  </conditionalFormatting>
  <conditionalFormatting sqref="Z247">
    <cfRule type="expression" dxfId="3978" priority="3878">
      <formula>$AC20=2</formula>
    </cfRule>
  </conditionalFormatting>
  <conditionalFormatting sqref="Z260">
    <cfRule type="expression" dxfId="3977" priority="3875">
      <formula>$AC149=2</formula>
    </cfRule>
  </conditionalFormatting>
  <conditionalFormatting sqref="Z255">
    <cfRule type="expression" dxfId="3976" priority="3874">
      <formula>$AC119=2</formula>
    </cfRule>
  </conditionalFormatting>
  <conditionalFormatting sqref="L11">
    <cfRule type="expression" dxfId="3975" priority="3799">
      <formula>$AC11=2</formula>
    </cfRule>
  </conditionalFormatting>
  <conditionalFormatting sqref="S11">
    <cfRule type="expression" dxfId="3974" priority="3797">
      <formula>$AC11=2</formula>
    </cfRule>
  </conditionalFormatting>
  <conditionalFormatting sqref="X123:Y123">
    <cfRule type="expression" dxfId="3973" priority="2866">
      <formula>$AC123=2</formula>
    </cfRule>
  </conditionalFormatting>
  <conditionalFormatting sqref="H248:J248 L248">
    <cfRule type="expression" dxfId="3972" priority="3770">
      <formula>$AC27=2</formula>
    </cfRule>
  </conditionalFormatting>
  <conditionalFormatting sqref="X248:Y248">
    <cfRule type="expression" dxfId="3971" priority="3744">
      <formula>$AC27=2</formula>
    </cfRule>
  </conditionalFormatting>
  <conditionalFormatting sqref="S248">
    <cfRule type="expression" dxfId="3970" priority="3730">
      <formula>$AC27=2</formula>
    </cfRule>
  </conditionalFormatting>
  <conditionalFormatting sqref="Z248">
    <cfRule type="expression" dxfId="3969" priority="3729">
      <formula>$AC27=2</formula>
    </cfRule>
  </conditionalFormatting>
  <conditionalFormatting sqref="G12:G16">
    <cfRule type="expression" dxfId="3968" priority="3703">
      <formula>G12&gt;F12</formula>
    </cfRule>
  </conditionalFormatting>
  <conditionalFormatting sqref="G18:G19 G21:G24 G28:G30 G32:G34">
    <cfRule type="expression" dxfId="3967" priority="3701">
      <formula>G18&gt;F18</formula>
    </cfRule>
  </conditionalFormatting>
  <conditionalFormatting sqref="J12:K24">
    <cfRule type="expression" dxfId="3966" priority="3715">
      <formula>$AD12=4</formula>
    </cfRule>
    <cfRule type="expression" dxfId="3965" priority="3716">
      <formula>$AD12=3</formula>
    </cfRule>
    <cfRule type="expression" dxfId="3964" priority="3717">
      <formula>$AD12=2</formula>
    </cfRule>
    <cfRule type="expression" dxfId="3963" priority="3718">
      <formula>$AD12=1</formula>
    </cfRule>
  </conditionalFormatting>
  <conditionalFormatting sqref="J12:K24">
    <cfRule type="expression" dxfId="3962" priority="3714">
      <formula>$AC12=2</formula>
    </cfRule>
  </conditionalFormatting>
  <conditionalFormatting sqref="J34:K34">
    <cfRule type="expression" dxfId="3961" priority="3709">
      <formula>$AD34=4</formula>
    </cfRule>
    <cfRule type="expression" dxfId="3960" priority="3710">
      <formula>$AD34=3</formula>
    </cfRule>
    <cfRule type="expression" dxfId="3959" priority="3711">
      <formula>$AD34=2</formula>
    </cfRule>
    <cfRule type="expression" dxfId="3958" priority="3712">
      <formula>$AD34=1</formula>
    </cfRule>
  </conditionalFormatting>
  <conditionalFormatting sqref="J34:K34">
    <cfRule type="expression" dxfId="3957" priority="3708">
      <formula>$AC34=2</formula>
    </cfRule>
  </conditionalFormatting>
  <conditionalFormatting sqref="L34">
    <cfRule type="expression" dxfId="3956" priority="3707">
      <formula>$AC34=2</formula>
    </cfRule>
  </conditionalFormatting>
  <conditionalFormatting sqref="G12:G16">
    <cfRule type="expression" dxfId="3955" priority="3704">
      <formula>$AC12=2</formula>
    </cfRule>
  </conditionalFormatting>
  <conditionalFormatting sqref="G18:G19">
    <cfRule type="expression" dxfId="3954" priority="3702">
      <formula>$AC18=2</formula>
    </cfRule>
  </conditionalFormatting>
  <conditionalFormatting sqref="Q16:R16">
    <cfRule type="expression" dxfId="3953" priority="3697">
      <formula>$AE16=4</formula>
    </cfRule>
    <cfRule type="expression" dxfId="3952" priority="3698">
      <formula>$AE16=3</formula>
    </cfRule>
    <cfRule type="expression" dxfId="3951" priority="3699">
      <formula>$AE16=2</formula>
    </cfRule>
    <cfRule type="expression" dxfId="3950" priority="3700">
      <formula>$AE16=1</formula>
    </cfRule>
  </conditionalFormatting>
  <conditionalFormatting sqref="X16:Y16">
    <cfRule type="expression" dxfId="3949" priority="3693">
      <formula>$AF16=4</formula>
    </cfRule>
    <cfRule type="expression" dxfId="3948" priority="3694">
      <formula>$AF16=3</formula>
    </cfRule>
    <cfRule type="expression" dxfId="3947" priority="3695">
      <formula>$AF16=2</formula>
    </cfRule>
    <cfRule type="expression" dxfId="3946" priority="3696">
      <formula>$AF16=1</formula>
    </cfRule>
  </conditionalFormatting>
  <conditionalFormatting sqref="N16">
    <cfRule type="expression" dxfId="3945" priority="3692">
      <formula>$AC16=2</formula>
    </cfRule>
  </conditionalFormatting>
  <conditionalFormatting sqref="N16">
    <cfRule type="expression" dxfId="3944" priority="3691">
      <formula>N16&gt;F16</formula>
    </cfRule>
  </conditionalFormatting>
  <conditionalFormatting sqref="Q15:R15">
    <cfRule type="expression" dxfId="3943" priority="3681">
      <formula>$AE15=4</formula>
    </cfRule>
    <cfRule type="expression" dxfId="3942" priority="3682">
      <formula>$AE15=3</formula>
    </cfRule>
    <cfRule type="expression" dxfId="3941" priority="3683">
      <formula>$AE15=2</formula>
    </cfRule>
    <cfRule type="expression" dxfId="3940" priority="3684">
      <formula>$AE15=1</formula>
    </cfRule>
  </conditionalFormatting>
  <conditionalFormatting sqref="N15">
    <cfRule type="expression" dxfId="3939" priority="3676">
      <formula>$AC15=2</formula>
    </cfRule>
  </conditionalFormatting>
  <conditionalFormatting sqref="N15">
    <cfRule type="expression" dxfId="3938" priority="3675">
      <formula>N15&gt;F15</formula>
    </cfRule>
  </conditionalFormatting>
  <conditionalFormatting sqref="Q14:R14">
    <cfRule type="expression" dxfId="3937" priority="3665">
      <formula>$AE14=4</formula>
    </cfRule>
    <cfRule type="expression" dxfId="3936" priority="3666">
      <formula>$AE14=3</formula>
    </cfRule>
    <cfRule type="expression" dxfId="3935" priority="3667">
      <formula>$AE14=2</formula>
    </cfRule>
    <cfRule type="expression" dxfId="3934" priority="3668">
      <formula>$AE14=1</formula>
    </cfRule>
  </conditionalFormatting>
  <conditionalFormatting sqref="X14:Y14">
    <cfRule type="expression" dxfId="3933" priority="3661">
      <formula>$AF14=4</formula>
    </cfRule>
    <cfRule type="expression" dxfId="3932" priority="3662">
      <formula>$AF14=3</formula>
    </cfRule>
    <cfRule type="expression" dxfId="3931" priority="3663">
      <formula>$AF14=2</formula>
    </cfRule>
    <cfRule type="expression" dxfId="3930" priority="3664">
      <formula>$AF14=1</formula>
    </cfRule>
  </conditionalFormatting>
  <conditionalFormatting sqref="N14">
    <cfRule type="expression" dxfId="3929" priority="3660">
      <formula>$AC14=2</formula>
    </cfRule>
  </conditionalFormatting>
  <conditionalFormatting sqref="N14">
    <cfRule type="expression" dxfId="3928" priority="3659">
      <formula>N14&gt;F14</formula>
    </cfRule>
  </conditionalFormatting>
  <conditionalFormatting sqref="Q13:R13">
    <cfRule type="expression" dxfId="3927" priority="3649">
      <formula>$AE13=4</formula>
    </cfRule>
    <cfRule type="expression" dxfId="3926" priority="3650">
      <formula>$AE13=3</formula>
    </cfRule>
    <cfRule type="expression" dxfId="3925" priority="3651">
      <formula>$AE13=2</formula>
    </cfRule>
    <cfRule type="expression" dxfId="3924" priority="3652">
      <formula>$AE13=1</formula>
    </cfRule>
  </conditionalFormatting>
  <conditionalFormatting sqref="X13:Y13">
    <cfRule type="expression" dxfId="3923" priority="3645">
      <formula>$AF13=4</formula>
    </cfRule>
    <cfRule type="expression" dxfId="3922" priority="3646">
      <formula>$AF13=3</formula>
    </cfRule>
    <cfRule type="expression" dxfId="3921" priority="3647">
      <formula>$AF13=2</formula>
    </cfRule>
    <cfRule type="expression" dxfId="3920" priority="3648">
      <formula>$AF13=1</formula>
    </cfRule>
  </conditionalFormatting>
  <conditionalFormatting sqref="N13">
    <cfRule type="expression" dxfId="3919" priority="3644">
      <formula>$AC13=2</formula>
    </cfRule>
  </conditionalFormatting>
  <conditionalFormatting sqref="N13">
    <cfRule type="expression" dxfId="3918" priority="3643">
      <formula>N13&gt;F13</formula>
    </cfRule>
  </conditionalFormatting>
  <conditionalFormatting sqref="Q12:R12">
    <cfRule type="expression" dxfId="3917" priority="3633">
      <formula>$AE12=4</formula>
    </cfRule>
    <cfRule type="expression" dxfId="3916" priority="3634">
      <formula>$AE12=3</formula>
    </cfRule>
    <cfRule type="expression" dxfId="3915" priority="3635">
      <formula>$AE12=2</formula>
    </cfRule>
    <cfRule type="expression" dxfId="3914" priority="3636">
      <formula>$AE12=1</formula>
    </cfRule>
  </conditionalFormatting>
  <conditionalFormatting sqref="X12:Y12">
    <cfRule type="expression" dxfId="3913" priority="3629">
      <formula>$AF12=4</formula>
    </cfRule>
    <cfRule type="expression" dxfId="3912" priority="3630">
      <formula>$AF12=3</formula>
    </cfRule>
    <cfRule type="expression" dxfId="3911" priority="3631">
      <formula>$AF12=2</formula>
    </cfRule>
    <cfRule type="expression" dxfId="3910" priority="3632">
      <formula>$AF12=1</formula>
    </cfRule>
  </conditionalFormatting>
  <conditionalFormatting sqref="N12">
    <cfRule type="expression" dxfId="3909" priority="3628">
      <formula>$AC12=2</formula>
    </cfRule>
  </conditionalFormatting>
  <conditionalFormatting sqref="N12">
    <cfRule type="expression" dxfId="3908" priority="3627">
      <formula>N12&gt;F12</formula>
    </cfRule>
  </conditionalFormatting>
  <conditionalFormatting sqref="Q21:R21">
    <cfRule type="expression" dxfId="3907" priority="3617">
      <formula>$AE21=4</formula>
    </cfRule>
    <cfRule type="expression" dxfId="3906" priority="3618">
      <formula>$AE21=3</formula>
    </cfRule>
    <cfRule type="expression" dxfId="3905" priority="3619">
      <formula>$AE21=2</formula>
    </cfRule>
    <cfRule type="expression" dxfId="3904" priority="3620">
      <formula>$AE21=1</formula>
    </cfRule>
  </conditionalFormatting>
  <conditionalFormatting sqref="X21:Y21">
    <cfRule type="expression" dxfId="3903" priority="3613">
      <formula>$AF21=4</formula>
    </cfRule>
    <cfRule type="expression" dxfId="3902" priority="3614">
      <formula>$AF21=3</formula>
    </cfRule>
    <cfRule type="expression" dxfId="3901" priority="3615">
      <formula>$AF21=2</formula>
    </cfRule>
    <cfRule type="expression" dxfId="3900" priority="3616">
      <formula>$AF21=1</formula>
    </cfRule>
  </conditionalFormatting>
  <conditionalFormatting sqref="N21">
    <cfRule type="expression" dxfId="3899" priority="3612">
      <formula>$AC21=2</formula>
    </cfRule>
  </conditionalFormatting>
  <conditionalFormatting sqref="N21">
    <cfRule type="expression" dxfId="3898" priority="3611">
      <formula>N21&gt;F21</formula>
    </cfRule>
  </conditionalFormatting>
  <conditionalFormatting sqref="Q22:R22">
    <cfRule type="expression" dxfId="3897" priority="3601">
      <formula>$AE22=4</formula>
    </cfRule>
    <cfRule type="expression" dxfId="3896" priority="3602">
      <formula>$AE22=3</formula>
    </cfRule>
    <cfRule type="expression" dxfId="3895" priority="3603">
      <formula>$AE22=2</formula>
    </cfRule>
    <cfRule type="expression" dxfId="3894" priority="3604">
      <formula>$AE22=1</formula>
    </cfRule>
  </conditionalFormatting>
  <conditionalFormatting sqref="X22:Y22">
    <cfRule type="expression" dxfId="3893" priority="3597">
      <formula>$AF22=4</formula>
    </cfRule>
    <cfRule type="expression" dxfId="3892" priority="3598">
      <formula>$AF22=3</formula>
    </cfRule>
    <cfRule type="expression" dxfId="3891" priority="3599">
      <formula>$AF22=2</formula>
    </cfRule>
    <cfRule type="expression" dxfId="3890" priority="3600">
      <formula>$AF22=1</formula>
    </cfRule>
  </conditionalFormatting>
  <conditionalFormatting sqref="N22">
    <cfRule type="expression" dxfId="3889" priority="3596">
      <formula>$AC22=2</formula>
    </cfRule>
  </conditionalFormatting>
  <conditionalFormatting sqref="N22">
    <cfRule type="expression" dxfId="3888" priority="3595">
      <formula>N22&gt;F22</formula>
    </cfRule>
  </conditionalFormatting>
  <conditionalFormatting sqref="Q23:R23">
    <cfRule type="expression" dxfId="3887" priority="3585">
      <formula>$AE23=4</formula>
    </cfRule>
    <cfRule type="expression" dxfId="3886" priority="3586">
      <formula>$AE23=3</formula>
    </cfRule>
    <cfRule type="expression" dxfId="3885" priority="3587">
      <formula>$AE23=2</formula>
    </cfRule>
    <cfRule type="expression" dxfId="3884" priority="3588">
      <formula>$AE23=1</formula>
    </cfRule>
  </conditionalFormatting>
  <conditionalFormatting sqref="X23:Y23">
    <cfRule type="expression" dxfId="3883" priority="3581">
      <formula>$AF23=4</formula>
    </cfRule>
    <cfRule type="expression" dxfId="3882" priority="3582">
      <formula>$AF23=3</formula>
    </cfRule>
    <cfRule type="expression" dxfId="3881" priority="3583">
      <formula>$AF23=2</formula>
    </cfRule>
    <cfRule type="expression" dxfId="3880" priority="3584">
      <formula>$AF23=1</formula>
    </cfRule>
  </conditionalFormatting>
  <conditionalFormatting sqref="N23">
    <cfRule type="expression" dxfId="3879" priority="3580">
      <formula>$AC23=2</formula>
    </cfRule>
  </conditionalFormatting>
  <conditionalFormatting sqref="N23">
    <cfRule type="expression" dxfId="3878" priority="3579">
      <formula>N23&gt;F23</formula>
    </cfRule>
  </conditionalFormatting>
  <conditionalFormatting sqref="Q24:R24">
    <cfRule type="expression" dxfId="3877" priority="3569">
      <formula>$AE24=4</formula>
    </cfRule>
    <cfRule type="expression" dxfId="3876" priority="3570">
      <formula>$AE24=3</formula>
    </cfRule>
    <cfRule type="expression" dxfId="3875" priority="3571">
      <formula>$AE24=2</formula>
    </cfRule>
    <cfRule type="expression" dxfId="3874" priority="3572">
      <formula>$AE24=1</formula>
    </cfRule>
  </conditionalFormatting>
  <conditionalFormatting sqref="X24:Y24">
    <cfRule type="expression" dxfId="3873" priority="3565">
      <formula>$AF24=4</formula>
    </cfRule>
    <cfRule type="expression" dxfId="3872" priority="3566">
      <formula>$AF24=3</formula>
    </cfRule>
    <cfRule type="expression" dxfId="3871" priority="3567">
      <formula>$AF24=2</formula>
    </cfRule>
    <cfRule type="expression" dxfId="3870" priority="3568">
      <formula>$AF24=1</formula>
    </cfRule>
  </conditionalFormatting>
  <conditionalFormatting sqref="N24">
    <cfRule type="expression" dxfId="3869" priority="3564">
      <formula>$AC24=2</formula>
    </cfRule>
  </conditionalFormatting>
  <conditionalFormatting sqref="N24">
    <cfRule type="expression" dxfId="3868" priority="3563">
      <formula>N24&gt;F24</formula>
    </cfRule>
  </conditionalFormatting>
  <conditionalFormatting sqref="Q28:R28">
    <cfRule type="expression" dxfId="3867" priority="3553">
      <formula>$AE28=4</formula>
    </cfRule>
    <cfRule type="expression" dxfId="3866" priority="3554">
      <formula>$AE28=3</formula>
    </cfRule>
    <cfRule type="expression" dxfId="3865" priority="3555">
      <formula>$AE28=2</formula>
    </cfRule>
    <cfRule type="expression" dxfId="3864" priority="3556">
      <formula>$AE28=1</formula>
    </cfRule>
  </conditionalFormatting>
  <conditionalFormatting sqref="X28:Y28">
    <cfRule type="expression" dxfId="3863" priority="3549">
      <formula>$AF28=4</formula>
    </cfRule>
    <cfRule type="expression" dxfId="3862" priority="3550">
      <formula>$AF28=3</formula>
    </cfRule>
    <cfRule type="expression" dxfId="3861" priority="3551">
      <formula>$AF28=2</formula>
    </cfRule>
    <cfRule type="expression" dxfId="3860" priority="3552">
      <formula>$AF28=1</formula>
    </cfRule>
  </conditionalFormatting>
  <conditionalFormatting sqref="N28">
    <cfRule type="expression" dxfId="3859" priority="3548">
      <formula>$AC28=2</formula>
    </cfRule>
  </conditionalFormatting>
  <conditionalFormatting sqref="N28">
    <cfRule type="expression" dxfId="3858" priority="3547">
      <formula>N28&gt;F28</formula>
    </cfRule>
  </conditionalFormatting>
  <conditionalFormatting sqref="Q29:R29">
    <cfRule type="expression" dxfId="3857" priority="3537">
      <formula>$AE29=4</formula>
    </cfRule>
    <cfRule type="expression" dxfId="3856" priority="3538">
      <formula>$AE29=3</formula>
    </cfRule>
    <cfRule type="expression" dxfId="3855" priority="3539">
      <formula>$AE29=2</formula>
    </cfRule>
    <cfRule type="expression" dxfId="3854" priority="3540">
      <formula>$AE29=1</formula>
    </cfRule>
  </conditionalFormatting>
  <conditionalFormatting sqref="X29:Y29">
    <cfRule type="expression" dxfId="3853" priority="3533">
      <formula>$AF29=4</formula>
    </cfRule>
    <cfRule type="expression" dxfId="3852" priority="3534">
      <formula>$AF29=3</formula>
    </cfRule>
    <cfRule type="expression" dxfId="3851" priority="3535">
      <formula>$AF29=2</formula>
    </cfRule>
    <cfRule type="expression" dxfId="3850" priority="3536">
      <formula>$AF29=1</formula>
    </cfRule>
  </conditionalFormatting>
  <conditionalFormatting sqref="N29">
    <cfRule type="expression" dxfId="3849" priority="3532">
      <formula>$AC29=2</formula>
    </cfRule>
  </conditionalFormatting>
  <conditionalFormatting sqref="N29">
    <cfRule type="expression" dxfId="3848" priority="3531">
      <formula>N29&gt;F29</formula>
    </cfRule>
  </conditionalFormatting>
  <conditionalFormatting sqref="Q30:R30">
    <cfRule type="expression" dxfId="3847" priority="3521">
      <formula>$AE30=4</formula>
    </cfRule>
    <cfRule type="expression" dxfId="3846" priority="3522">
      <formula>$AE30=3</formula>
    </cfRule>
    <cfRule type="expression" dxfId="3845" priority="3523">
      <formula>$AE30=2</formula>
    </cfRule>
    <cfRule type="expression" dxfId="3844" priority="3524">
      <formula>$AE30=1</formula>
    </cfRule>
  </conditionalFormatting>
  <conditionalFormatting sqref="X30:Y30">
    <cfRule type="expression" dxfId="3843" priority="3517">
      <formula>$AF30=4</formula>
    </cfRule>
    <cfRule type="expression" dxfId="3842" priority="3518">
      <formula>$AF30=3</formula>
    </cfRule>
    <cfRule type="expression" dxfId="3841" priority="3519">
      <formula>$AF30=2</formula>
    </cfRule>
    <cfRule type="expression" dxfId="3840" priority="3520">
      <formula>$AF30=1</formula>
    </cfRule>
  </conditionalFormatting>
  <conditionalFormatting sqref="N30">
    <cfRule type="expression" dxfId="3839" priority="3516">
      <formula>$AC30=2</formula>
    </cfRule>
  </conditionalFormatting>
  <conditionalFormatting sqref="N30">
    <cfRule type="expression" dxfId="3838" priority="3515">
      <formula>N30&gt;F30</formula>
    </cfRule>
  </conditionalFormatting>
  <conditionalFormatting sqref="Q32:R32">
    <cfRule type="expression" dxfId="3837" priority="3505">
      <formula>$AE32=4</formula>
    </cfRule>
    <cfRule type="expression" dxfId="3836" priority="3506">
      <formula>$AE32=3</formula>
    </cfRule>
    <cfRule type="expression" dxfId="3835" priority="3507">
      <formula>$AE32=2</formula>
    </cfRule>
    <cfRule type="expression" dxfId="3834" priority="3508">
      <formula>$AE32=1</formula>
    </cfRule>
  </conditionalFormatting>
  <conditionalFormatting sqref="X32:Y32">
    <cfRule type="expression" dxfId="3833" priority="3501">
      <formula>$AF32=4</formula>
    </cfRule>
    <cfRule type="expression" dxfId="3832" priority="3502">
      <formula>$AF32=3</formula>
    </cfRule>
    <cfRule type="expression" dxfId="3831" priority="3503">
      <formula>$AF32=2</formula>
    </cfRule>
    <cfRule type="expression" dxfId="3830" priority="3504">
      <formula>$AF32=1</formula>
    </cfRule>
  </conditionalFormatting>
  <conditionalFormatting sqref="N32">
    <cfRule type="expression" dxfId="3829" priority="3500">
      <formula>$AC32=2</formula>
    </cfRule>
  </conditionalFormatting>
  <conditionalFormatting sqref="N32">
    <cfRule type="expression" dxfId="3828" priority="3499">
      <formula>N32&gt;F32</formula>
    </cfRule>
  </conditionalFormatting>
  <conditionalFormatting sqref="Q33:R33">
    <cfRule type="expression" dxfId="3827" priority="3489">
      <formula>$AE33=4</formula>
    </cfRule>
    <cfRule type="expression" dxfId="3826" priority="3490">
      <formula>$AE33=3</formula>
    </cfRule>
    <cfRule type="expression" dxfId="3825" priority="3491">
      <formula>$AE33=2</formula>
    </cfRule>
    <cfRule type="expression" dxfId="3824" priority="3492">
      <formula>$AE33=1</formula>
    </cfRule>
  </conditionalFormatting>
  <conditionalFormatting sqref="X33:Y33">
    <cfRule type="expression" dxfId="3823" priority="3485">
      <formula>$AF33=4</formula>
    </cfRule>
    <cfRule type="expression" dxfId="3822" priority="3486">
      <formula>$AF33=3</formula>
    </cfRule>
    <cfRule type="expression" dxfId="3821" priority="3487">
      <formula>$AF33=2</formula>
    </cfRule>
    <cfRule type="expression" dxfId="3820" priority="3488">
      <formula>$AF33=1</formula>
    </cfRule>
  </conditionalFormatting>
  <conditionalFormatting sqref="N33">
    <cfRule type="expression" dxfId="3819" priority="3484">
      <formula>$AC33=2</formula>
    </cfRule>
  </conditionalFormatting>
  <conditionalFormatting sqref="N33">
    <cfRule type="expression" dxfId="3818" priority="3483">
      <formula>N33&gt;F33</formula>
    </cfRule>
  </conditionalFormatting>
  <conditionalFormatting sqref="Q34:R34">
    <cfRule type="expression" dxfId="3817" priority="3473">
      <formula>$AE34=4</formula>
    </cfRule>
    <cfRule type="expression" dxfId="3816" priority="3474">
      <formula>$AE34=3</formula>
    </cfRule>
    <cfRule type="expression" dxfId="3815" priority="3475">
      <formula>$AE34=2</formula>
    </cfRule>
    <cfRule type="expression" dxfId="3814" priority="3476">
      <formula>$AE34=1</formula>
    </cfRule>
  </conditionalFormatting>
  <conditionalFormatting sqref="X34:Y34">
    <cfRule type="expression" dxfId="3813" priority="3469">
      <formula>$AF34=4</formula>
    </cfRule>
    <cfRule type="expression" dxfId="3812" priority="3470">
      <formula>$AF34=3</formula>
    </cfRule>
    <cfRule type="expression" dxfId="3811" priority="3471">
      <formula>$AF34=2</formula>
    </cfRule>
    <cfRule type="expression" dxfId="3810" priority="3472">
      <formula>$AF34=1</formula>
    </cfRule>
  </conditionalFormatting>
  <conditionalFormatting sqref="N34">
    <cfRule type="expression" dxfId="3809" priority="3468">
      <formula>$AC34=2</formula>
    </cfRule>
  </conditionalFormatting>
  <conditionalFormatting sqref="N34">
    <cfRule type="expression" dxfId="3808" priority="3467">
      <formula>N34&gt;F34</formula>
    </cfRule>
  </conditionalFormatting>
  <conditionalFormatting sqref="O11:O24">
    <cfRule type="expression" dxfId="3807" priority="3408">
      <formula>$AC11=2</formula>
    </cfRule>
  </conditionalFormatting>
  <conditionalFormatting sqref="V11">
    <cfRule type="expression" dxfId="3806" priority="3407">
      <formula>$AC11=2</formula>
    </cfRule>
  </conditionalFormatting>
  <conditionalFormatting sqref="V12:V14">
    <cfRule type="expression" dxfId="3805" priority="3406">
      <formula>$AC12=2</formula>
    </cfRule>
  </conditionalFormatting>
  <conditionalFormatting sqref="V16">
    <cfRule type="expression" dxfId="3804" priority="3405">
      <formula>$AC16=2</formula>
    </cfRule>
  </conditionalFormatting>
  <conditionalFormatting sqref="V18:V19">
    <cfRule type="expression" dxfId="3803" priority="3404">
      <formula>$AC18=2</formula>
    </cfRule>
  </conditionalFormatting>
  <conditionalFormatting sqref="V21:V24">
    <cfRule type="expression" dxfId="3802" priority="3403">
      <formula>$AC21=2</formula>
    </cfRule>
  </conditionalFormatting>
  <conditionalFormatting sqref="V28:V30">
    <cfRule type="expression" dxfId="3801" priority="3402">
      <formula>$AC28=2</formula>
    </cfRule>
  </conditionalFormatting>
  <conditionalFormatting sqref="V32:V34">
    <cfRule type="expression" dxfId="3800" priority="3401">
      <formula>$AC32=2</formula>
    </cfRule>
  </conditionalFormatting>
  <conditionalFormatting sqref="U12:U14">
    <cfRule type="expression" dxfId="3799" priority="3396">
      <formula>$AC12=2</formula>
    </cfRule>
  </conditionalFormatting>
  <conditionalFormatting sqref="U12:U14">
    <cfRule type="expression" dxfId="3798" priority="3395">
      <formula>U12&gt;F12</formula>
    </cfRule>
  </conditionalFormatting>
  <conditionalFormatting sqref="U16">
    <cfRule type="expression" dxfId="3797" priority="3392">
      <formula>$AC16=2</formula>
    </cfRule>
  </conditionalFormatting>
  <conditionalFormatting sqref="U16">
    <cfRule type="expression" dxfId="3796" priority="3391">
      <formula>U16&gt;F16</formula>
    </cfRule>
  </conditionalFormatting>
  <conditionalFormatting sqref="U18:U19">
    <cfRule type="expression" dxfId="3795" priority="3388">
      <formula>$AC18=2</formula>
    </cfRule>
  </conditionalFormatting>
  <conditionalFormatting sqref="U18:U19">
    <cfRule type="expression" dxfId="3794" priority="3387">
      <formula>U18&gt;F18</formula>
    </cfRule>
  </conditionalFormatting>
  <conditionalFormatting sqref="U21:U24">
    <cfRule type="expression" dxfId="3793" priority="3384">
      <formula>$AC21=2</formula>
    </cfRule>
  </conditionalFormatting>
  <conditionalFormatting sqref="U21:U24">
    <cfRule type="expression" dxfId="3792" priority="3383">
      <formula>U21&gt;F21</formula>
    </cfRule>
  </conditionalFormatting>
  <conditionalFormatting sqref="U28:U30">
    <cfRule type="expression" dxfId="3791" priority="3380">
      <formula>$AC28=2</formula>
    </cfRule>
  </conditionalFormatting>
  <conditionalFormatting sqref="U28:U30">
    <cfRule type="expression" dxfId="3790" priority="3379">
      <formula>U28&gt;F28</formula>
    </cfRule>
  </conditionalFormatting>
  <conditionalFormatting sqref="U32:U34">
    <cfRule type="expression" dxfId="3789" priority="3376">
      <formula>$AC32=2</formula>
    </cfRule>
  </conditionalFormatting>
  <conditionalFormatting sqref="U32:U34">
    <cfRule type="expression" dxfId="3788" priority="3375">
      <formula>U32&gt;F32</formula>
    </cfRule>
  </conditionalFormatting>
  <conditionalFormatting sqref="J38:K40">
    <cfRule type="expression" dxfId="3787" priority="3369">
      <formula>$AD38=4</formula>
    </cfRule>
    <cfRule type="expression" dxfId="3786" priority="3370">
      <formula>$AD38=3</formula>
    </cfRule>
    <cfRule type="expression" dxfId="3785" priority="3371">
      <formula>$AD38=2</formula>
    </cfRule>
    <cfRule type="expression" dxfId="3784" priority="3372">
      <formula>$AD38=1</formula>
    </cfRule>
  </conditionalFormatting>
  <conditionalFormatting sqref="Q38:R40">
    <cfRule type="expression" dxfId="3783" priority="3365">
      <formula>$AE38=4</formula>
    </cfRule>
    <cfRule type="expression" dxfId="3782" priority="3366">
      <formula>$AE38=3</formula>
    </cfRule>
    <cfRule type="expression" dxfId="3781" priority="3367">
      <formula>$AE38=2</formula>
    </cfRule>
    <cfRule type="expression" dxfId="3780" priority="3368">
      <formula>$AE38=1</formula>
    </cfRule>
  </conditionalFormatting>
  <conditionalFormatting sqref="X38:Y40">
    <cfRule type="expression" dxfId="3779" priority="3361">
      <formula>$AF38=4</formula>
    </cfRule>
    <cfRule type="expression" dxfId="3778" priority="3362">
      <formula>$AF38=3</formula>
    </cfRule>
    <cfRule type="expression" dxfId="3777" priority="3363">
      <formula>$AF38=2</formula>
    </cfRule>
    <cfRule type="expression" dxfId="3776" priority="3364">
      <formula>$AF38=1</formula>
    </cfRule>
  </conditionalFormatting>
  <conditionalFormatting sqref="H38:K38 J39:K40">
    <cfRule type="expression" dxfId="3775" priority="3360">
      <formula>$AC38=2</formula>
    </cfRule>
  </conditionalFormatting>
  <conditionalFormatting sqref="L38:L40">
    <cfRule type="expression" dxfId="3774" priority="3355">
      <formula>$AC38=2</formula>
    </cfRule>
  </conditionalFormatting>
  <conditionalFormatting sqref="O38">
    <cfRule type="expression" dxfId="3773" priority="3353">
      <formula>$AC38=2</formula>
    </cfRule>
  </conditionalFormatting>
  <conditionalFormatting sqref="V38">
    <cfRule type="expression" dxfId="3772" priority="3352">
      <formula>$AC38=2</formula>
    </cfRule>
  </conditionalFormatting>
  <conditionalFormatting sqref="J66:K66">
    <cfRule type="expression" dxfId="3771" priority="3348">
      <formula>$AD66=4</formula>
    </cfRule>
    <cfRule type="expression" dxfId="3770" priority="3349">
      <formula>$AD66=3</formula>
    </cfRule>
    <cfRule type="expression" dxfId="3769" priority="3350">
      <formula>$AD66=2</formula>
    </cfRule>
    <cfRule type="expression" dxfId="3768" priority="3351">
      <formula>$AD66=1</formula>
    </cfRule>
  </conditionalFormatting>
  <conditionalFormatting sqref="Q66:R66">
    <cfRule type="expression" dxfId="3767" priority="3344">
      <formula>$AE66=4</formula>
    </cfRule>
    <cfRule type="expression" dxfId="3766" priority="3345">
      <formula>$AE66=3</formula>
    </cfRule>
    <cfRule type="expression" dxfId="3765" priority="3346">
      <formula>$AE66=2</formula>
    </cfRule>
    <cfRule type="expression" dxfId="3764" priority="3347">
      <formula>$AE66=1</formula>
    </cfRule>
  </conditionalFormatting>
  <conditionalFormatting sqref="X66:Y66">
    <cfRule type="expression" dxfId="3763" priority="3340">
      <formula>$AF66=4</formula>
    </cfRule>
    <cfRule type="expression" dxfId="3762" priority="3341">
      <formula>$AF66=3</formula>
    </cfRule>
    <cfRule type="expression" dxfId="3761" priority="3342">
      <formula>$AF66=2</formula>
    </cfRule>
    <cfRule type="expression" dxfId="3760" priority="3343">
      <formula>$AF66=1</formula>
    </cfRule>
  </conditionalFormatting>
  <conditionalFormatting sqref="H66:K66">
    <cfRule type="expression" dxfId="3759" priority="3339">
      <formula>$AC66=2</formula>
    </cfRule>
  </conditionalFormatting>
  <conditionalFormatting sqref="L66">
    <cfRule type="expression" dxfId="3758" priority="3334">
      <formula>$AC66=2</formula>
    </cfRule>
  </conditionalFormatting>
  <conditionalFormatting sqref="O66">
    <cfRule type="expression" dxfId="3757" priority="3332">
      <formula>$AC66=2</formula>
    </cfRule>
  </conditionalFormatting>
  <conditionalFormatting sqref="V66">
    <cfRule type="expression" dxfId="3756" priority="3331">
      <formula>$AC66=2</formula>
    </cfRule>
  </conditionalFormatting>
  <conditionalFormatting sqref="J96:K96">
    <cfRule type="expression" dxfId="3755" priority="3327">
      <formula>$AD96=4</formula>
    </cfRule>
    <cfRule type="expression" dxfId="3754" priority="3328">
      <formula>$AD96=3</formula>
    </cfRule>
    <cfRule type="expression" dxfId="3753" priority="3329">
      <formula>$AD96=2</formula>
    </cfRule>
    <cfRule type="expression" dxfId="3752" priority="3330">
      <formula>$AD96=1</formula>
    </cfRule>
  </conditionalFormatting>
  <conditionalFormatting sqref="Q96:R96">
    <cfRule type="expression" dxfId="3751" priority="3323">
      <formula>$AE96=4</formula>
    </cfRule>
    <cfRule type="expression" dxfId="3750" priority="3324">
      <formula>$AE96=3</formula>
    </cfRule>
    <cfRule type="expression" dxfId="3749" priority="3325">
      <formula>$AE96=2</formula>
    </cfRule>
    <cfRule type="expression" dxfId="3748" priority="3326">
      <formula>$AE96=1</formula>
    </cfRule>
  </conditionalFormatting>
  <conditionalFormatting sqref="X96:Y96">
    <cfRule type="expression" dxfId="3747" priority="3319">
      <formula>$AF96=4</formula>
    </cfRule>
    <cfRule type="expression" dxfId="3746" priority="3320">
      <formula>$AF96=3</formula>
    </cfRule>
    <cfRule type="expression" dxfId="3745" priority="3321">
      <formula>$AF96=2</formula>
    </cfRule>
    <cfRule type="expression" dxfId="3744" priority="3322">
      <formula>$AF96=1</formula>
    </cfRule>
  </conditionalFormatting>
  <conditionalFormatting sqref="H96:K96">
    <cfRule type="expression" dxfId="3743" priority="3318">
      <formula>$AC96=2</formula>
    </cfRule>
  </conditionalFormatting>
  <conditionalFormatting sqref="L96">
    <cfRule type="expression" dxfId="3742" priority="3313">
      <formula>$AC96=2</formula>
    </cfRule>
  </conditionalFormatting>
  <conditionalFormatting sqref="O96">
    <cfRule type="expression" dxfId="3741" priority="3311">
      <formula>$AC96=2</formula>
    </cfRule>
  </conditionalFormatting>
  <conditionalFormatting sqref="V96">
    <cfRule type="expression" dxfId="3740" priority="3310">
      <formula>$AC96=2</formula>
    </cfRule>
  </conditionalFormatting>
  <conditionalFormatting sqref="J105:K106">
    <cfRule type="expression" dxfId="3739" priority="3306">
      <formula>$AD105=4</formula>
    </cfRule>
    <cfRule type="expression" dxfId="3738" priority="3307">
      <formula>$AD105=3</formula>
    </cfRule>
    <cfRule type="expression" dxfId="3737" priority="3308">
      <formula>$AD105=2</formula>
    </cfRule>
    <cfRule type="expression" dxfId="3736" priority="3309">
      <formula>$AD105=1</formula>
    </cfRule>
  </conditionalFormatting>
  <conditionalFormatting sqref="Q105:R105">
    <cfRule type="expression" dxfId="3735" priority="3302">
      <formula>$AE105=4</formula>
    </cfRule>
    <cfRule type="expression" dxfId="3734" priority="3303">
      <formula>$AE105=3</formula>
    </cfRule>
    <cfRule type="expression" dxfId="3733" priority="3304">
      <formula>$AE105=2</formula>
    </cfRule>
    <cfRule type="expression" dxfId="3732" priority="3305">
      <formula>$AE105=1</formula>
    </cfRule>
  </conditionalFormatting>
  <conditionalFormatting sqref="X105:Y105">
    <cfRule type="expression" dxfId="3731" priority="3298">
      <formula>$AF105=4</formula>
    </cfRule>
    <cfRule type="expression" dxfId="3730" priority="3299">
      <formula>$AF105=3</formula>
    </cfRule>
    <cfRule type="expression" dxfId="3729" priority="3300">
      <formula>$AF105=2</formula>
    </cfRule>
    <cfRule type="expression" dxfId="3728" priority="3301">
      <formula>$AF105=1</formula>
    </cfRule>
  </conditionalFormatting>
  <conditionalFormatting sqref="H105:K105 J106:K106">
    <cfRule type="expression" dxfId="3727" priority="3297">
      <formula>$AC105=2</formula>
    </cfRule>
  </conditionalFormatting>
  <conditionalFormatting sqref="L105:L106">
    <cfRule type="expression" dxfId="3726" priority="3292">
      <formula>$AC105=2</formula>
    </cfRule>
  </conditionalFormatting>
  <conditionalFormatting sqref="O105">
    <cfRule type="expression" dxfId="3725" priority="3290">
      <formula>$AC105=2</formula>
    </cfRule>
  </conditionalFormatting>
  <conditionalFormatting sqref="V105">
    <cfRule type="expression" dxfId="3724" priority="3289">
      <formula>$AC105=2</formula>
    </cfRule>
  </conditionalFormatting>
  <conditionalFormatting sqref="J119:K119">
    <cfRule type="expression" dxfId="3723" priority="3285">
      <formula>$AD119=4</formula>
    </cfRule>
    <cfRule type="expression" dxfId="3722" priority="3286">
      <formula>$AD119=3</formula>
    </cfRule>
    <cfRule type="expression" dxfId="3721" priority="3287">
      <formula>$AD119=2</formula>
    </cfRule>
    <cfRule type="expression" dxfId="3720" priority="3288">
      <formula>$AD119=1</formula>
    </cfRule>
  </conditionalFormatting>
  <conditionalFormatting sqref="Q119:R119">
    <cfRule type="expression" dxfId="3719" priority="3281">
      <formula>$AE119=4</formula>
    </cfRule>
    <cfRule type="expression" dxfId="3718" priority="3282">
      <formula>$AE119=3</formula>
    </cfRule>
    <cfRule type="expression" dxfId="3717" priority="3283">
      <formula>$AE119=2</formula>
    </cfRule>
    <cfRule type="expression" dxfId="3716" priority="3284">
      <formula>$AE119=1</formula>
    </cfRule>
  </conditionalFormatting>
  <conditionalFormatting sqref="X119:Y119">
    <cfRule type="expression" dxfId="3715" priority="3277">
      <formula>$AF119=4</formula>
    </cfRule>
    <cfRule type="expression" dxfId="3714" priority="3278">
      <formula>$AF119=3</formula>
    </cfRule>
    <cfRule type="expression" dxfId="3713" priority="3279">
      <formula>$AF119=2</formula>
    </cfRule>
    <cfRule type="expression" dxfId="3712" priority="3280">
      <formula>$AF119=1</formula>
    </cfRule>
  </conditionalFormatting>
  <conditionalFormatting sqref="H119:K119">
    <cfRule type="expression" dxfId="3711" priority="3276">
      <formula>$AC119=2</formula>
    </cfRule>
  </conditionalFormatting>
  <conditionalFormatting sqref="L119">
    <cfRule type="expression" dxfId="3710" priority="3271">
      <formula>$AC119=2</formula>
    </cfRule>
  </conditionalFormatting>
  <conditionalFormatting sqref="O119">
    <cfRule type="expression" dxfId="3709" priority="3269">
      <formula>$AC119=2</formula>
    </cfRule>
  </conditionalFormatting>
  <conditionalFormatting sqref="V119">
    <cfRule type="expression" dxfId="3708" priority="3268">
      <formula>$AC119=2</formula>
    </cfRule>
  </conditionalFormatting>
  <conditionalFormatting sqref="J149:K149">
    <cfRule type="expression" dxfId="3707" priority="3264">
      <formula>$AD149=4</formula>
    </cfRule>
    <cfRule type="expression" dxfId="3706" priority="3265">
      <formula>$AD149=3</formula>
    </cfRule>
    <cfRule type="expression" dxfId="3705" priority="3266">
      <formula>$AD149=2</formula>
    </cfRule>
    <cfRule type="expression" dxfId="3704" priority="3267">
      <formula>$AD149=1</formula>
    </cfRule>
  </conditionalFormatting>
  <conditionalFormatting sqref="Q149:R149">
    <cfRule type="expression" dxfId="3703" priority="3260">
      <formula>$AE149=4</formula>
    </cfRule>
    <cfRule type="expression" dxfId="3702" priority="3261">
      <formula>$AE149=3</formula>
    </cfRule>
    <cfRule type="expression" dxfId="3701" priority="3262">
      <formula>$AE149=2</formula>
    </cfRule>
    <cfRule type="expression" dxfId="3700" priority="3263">
      <formula>$AE149=1</formula>
    </cfRule>
  </conditionalFormatting>
  <conditionalFormatting sqref="X149:Y149">
    <cfRule type="expression" dxfId="3699" priority="3256">
      <formula>$AF149=4</formula>
    </cfRule>
    <cfRule type="expression" dxfId="3698" priority="3257">
      <formula>$AF149=3</formula>
    </cfRule>
    <cfRule type="expression" dxfId="3697" priority="3258">
      <formula>$AF149=2</formula>
    </cfRule>
    <cfRule type="expression" dxfId="3696" priority="3259">
      <formula>$AF149=1</formula>
    </cfRule>
  </conditionalFormatting>
  <conditionalFormatting sqref="H149:K149">
    <cfRule type="expression" dxfId="3695" priority="3255">
      <formula>$AC149=2</formula>
    </cfRule>
  </conditionalFormatting>
  <conditionalFormatting sqref="L149">
    <cfRule type="expression" dxfId="3694" priority="3250">
      <formula>$AC149=2</formula>
    </cfRule>
  </conditionalFormatting>
  <conditionalFormatting sqref="O149">
    <cfRule type="expression" dxfId="3693" priority="3248">
      <formula>$AC149=2</formula>
    </cfRule>
  </conditionalFormatting>
  <conditionalFormatting sqref="V149">
    <cfRule type="expression" dxfId="3692" priority="3247">
      <formula>$AC149=2</formula>
    </cfRule>
  </conditionalFormatting>
  <conditionalFormatting sqref="J164:K164">
    <cfRule type="expression" dxfId="3691" priority="3243">
      <formula>$AD164=4</formula>
    </cfRule>
    <cfRule type="expression" dxfId="3690" priority="3244">
      <formula>$AD164=3</formula>
    </cfRule>
    <cfRule type="expression" dxfId="3689" priority="3245">
      <formula>$AD164=2</formula>
    </cfRule>
    <cfRule type="expression" dxfId="3688" priority="3246">
      <formula>$AD164=1</formula>
    </cfRule>
  </conditionalFormatting>
  <conditionalFormatting sqref="Q164:R164">
    <cfRule type="expression" dxfId="3687" priority="3239">
      <formula>$AE164=4</formula>
    </cfRule>
    <cfRule type="expression" dxfId="3686" priority="3240">
      <formula>$AE164=3</formula>
    </cfRule>
    <cfRule type="expression" dxfId="3685" priority="3241">
      <formula>$AE164=2</formula>
    </cfRule>
    <cfRule type="expression" dxfId="3684" priority="3242">
      <formula>$AE164=1</formula>
    </cfRule>
  </conditionalFormatting>
  <conditionalFormatting sqref="X164:Y164">
    <cfRule type="expression" dxfId="3683" priority="3235">
      <formula>$AF164=4</formula>
    </cfRule>
    <cfRule type="expression" dxfId="3682" priority="3236">
      <formula>$AF164=3</formula>
    </cfRule>
    <cfRule type="expression" dxfId="3681" priority="3237">
      <formula>$AF164=2</formula>
    </cfRule>
    <cfRule type="expression" dxfId="3680" priority="3238">
      <formula>$AF164=1</formula>
    </cfRule>
  </conditionalFormatting>
  <conditionalFormatting sqref="H164:K164">
    <cfRule type="expression" dxfId="3679" priority="3234">
      <formula>$AC164=2</formula>
    </cfRule>
  </conditionalFormatting>
  <conditionalFormatting sqref="L164">
    <cfRule type="expression" dxfId="3678" priority="3229">
      <formula>$AC164=2</formula>
    </cfRule>
  </conditionalFormatting>
  <conditionalFormatting sqref="O164">
    <cfRule type="expression" dxfId="3677" priority="3227">
      <formula>$AC164=2</formula>
    </cfRule>
  </conditionalFormatting>
  <conditionalFormatting sqref="V164">
    <cfRule type="expression" dxfId="3676" priority="3226">
      <formula>$AC164=2</formula>
    </cfRule>
  </conditionalFormatting>
  <conditionalFormatting sqref="J196:K196">
    <cfRule type="expression" dxfId="3675" priority="3222">
      <formula>$AD196=4</formula>
    </cfRule>
    <cfRule type="expression" dxfId="3674" priority="3223">
      <formula>$AD196=3</formula>
    </cfRule>
    <cfRule type="expression" dxfId="3673" priority="3224">
      <formula>$AD196=2</formula>
    </cfRule>
    <cfRule type="expression" dxfId="3672" priority="3225">
      <formula>$AD196=1</formula>
    </cfRule>
  </conditionalFormatting>
  <conditionalFormatting sqref="Q196:R196">
    <cfRule type="expression" dxfId="3671" priority="3218">
      <formula>$AE196=4</formula>
    </cfRule>
    <cfRule type="expression" dxfId="3670" priority="3219">
      <formula>$AE196=3</formula>
    </cfRule>
    <cfRule type="expression" dxfId="3669" priority="3220">
      <formula>$AE196=2</formula>
    </cfRule>
    <cfRule type="expression" dxfId="3668" priority="3221">
      <formula>$AE196=1</formula>
    </cfRule>
  </conditionalFormatting>
  <conditionalFormatting sqref="X196:Y196">
    <cfRule type="expression" dxfId="3667" priority="3214">
      <formula>$AF196=4</formula>
    </cfRule>
    <cfRule type="expression" dxfId="3666" priority="3215">
      <formula>$AF196=3</formula>
    </cfRule>
    <cfRule type="expression" dxfId="3665" priority="3216">
      <formula>$AF196=2</formula>
    </cfRule>
    <cfRule type="expression" dxfId="3664" priority="3217">
      <formula>$AF196=1</formula>
    </cfRule>
  </conditionalFormatting>
  <conditionalFormatting sqref="H196:K196">
    <cfRule type="expression" dxfId="3663" priority="3213">
      <formula>$AC196=2</formula>
    </cfRule>
  </conditionalFormatting>
  <conditionalFormatting sqref="L196">
    <cfRule type="expression" dxfId="3662" priority="3208">
      <formula>$AC196=2</formula>
    </cfRule>
  </conditionalFormatting>
  <conditionalFormatting sqref="O196">
    <cfRule type="expression" dxfId="3661" priority="3206">
      <formula>$AC196=2</formula>
    </cfRule>
  </conditionalFormatting>
  <conditionalFormatting sqref="V196">
    <cfRule type="expression" dxfId="3660" priority="3205">
      <formula>$AC196=2</formula>
    </cfRule>
  </conditionalFormatting>
  <conditionalFormatting sqref="Q46:R46">
    <cfRule type="expression" dxfId="3659" priority="3201">
      <formula>$AE46=4</formula>
    </cfRule>
    <cfRule type="expression" dxfId="3658" priority="3202">
      <formula>$AE46=3</formula>
    </cfRule>
    <cfRule type="expression" dxfId="3657" priority="3203">
      <formula>$AE46=2</formula>
    </cfRule>
    <cfRule type="expression" dxfId="3656" priority="3204">
      <formula>$AE46=1</formula>
    </cfRule>
  </conditionalFormatting>
  <conditionalFormatting sqref="X46:Y46">
    <cfRule type="expression" dxfId="3655" priority="3197">
      <formula>$AF46=4</formula>
    </cfRule>
    <cfRule type="expression" dxfId="3654" priority="3198">
      <formula>$AF46=3</formula>
    </cfRule>
    <cfRule type="expression" dxfId="3653" priority="3199">
      <formula>$AF46=2</formula>
    </cfRule>
    <cfRule type="expression" dxfId="3652" priority="3200">
      <formula>$AF46=1</formula>
    </cfRule>
  </conditionalFormatting>
  <conditionalFormatting sqref="X46:Y46">
    <cfRule type="expression" dxfId="3651" priority="3196">
      <formula>$AC46=2</formula>
    </cfRule>
  </conditionalFormatting>
  <conditionalFormatting sqref="J46:K46">
    <cfRule type="expression" dxfId="3650" priority="3187">
      <formula>$AD46=4</formula>
    </cfRule>
    <cfRule type="expression" dxfId="3649" priority="3188">
      <formula>$AD46=3</formula>
    </cfRule>
    <cfRule type="expression" dxfId="3648" priority="3189">
      <formula>$AD46=2</formula>
    </cfRule>
    <cfRule type="expression" dxfId="3647" priority="3190">
      <formula>$AD46=1</formula>
    </cfRule>
  </conditionalFormatting>
  <conditionalFormatting sqref="J46:K46">
    <cfRule type="expression" dxfId="3646" priority="3186">
      <formula>$AC46=2</formula>
    </cfRule>
  </conditionalFormatting>
  <conditionalFormatting sqref="L46">
    <cfRule type="expression" dxfId="3645" priority="3185">
      <formula>$AC46=2</formula>
    </cfRule>
  </conditionalFormatting>
  <conditionalFormatting sqref="O46">
    <cfRule type="expression" dxfId="3644" priority="3184">
      <formula>$AC46=2</formula>
    </cfRule>
  </conditionalFormatting>
  <conditionalFormatting sqref="V46">
    <cfRule type="expression" dxfId="3643" priority="3183">
      <formula>$AC46=2</formula>
    </cfRule>
  </conditionalFormatting>
  <conditionalFormatting sqref="Q51:R51">
    <cfRule type="expression" dxfId="3642" priority="3179">
      <formula>$AE51=4</formula>
    </cfRule>
    <cfRule type="expression" dxfId="3641" priority="3180">
      <formula>$AE51=3</formula>
    </cfRule>
    <cfRule type="expression" dxfId="3640" priority="3181">
      <formula>$AE51=2</formula>
    </cfRule>
    <cfRule type="expression" dxfId="3639" priority="3182">
      <formula>$AE51=1</formula>
    </cfRule>
  </conditionalFormatting>
  <conditionalFormatting sqref="X51:Y51">
    <cfRule type="expression" dxfId="3638" priority="3175">
      <formula>$AF51=4</formula>
    </cfRule>
    <cfRule type="expression" dxfId="3637" priority="3176">
      <formula>$AF51=3</formula>
    </cfRule>
    <cfRule type="expression" dxfId="3636" priority="3177">
      <formula>$AF51=2</formula>
    </cfRule>
    <cfRule type="expression" dxfId="3635" priority="3178">
      <formula>$AF51=1</formula>
    </cfRule>
  </conditionalFormatting>
  <conditionalFormatting sqref="X51:Y51">
    <cfRule type="expression" dxfId="3634" priority="3174">
      <formula>$AC51=2</formula>
    </cfRule>
  </conditionalFormatting>
  <conditionalFormatting sqref="J51:K51">
    <cfRule type="expression" dxfId="3633" priority="3165">
      <formula>$AD51=4</formula>
    </cfRule>
    <cfRule type="expression" dxfId="3632" priority="3166">
      <formula>$AD51=3</formula>
    </cfRule>
    <cfRule type="expression" dxfId="3631" priority="3167">
      <formula>$AD51=2</formula>
    </cfRule>
    <cfRule type="expression" dxfId="3630" priority="3168">
      <formula>$AD51=1</formula>
    </cfRule>
  </conditionalFormatting>
  <conditionalFormatting sqref="J51:K51">
    <cfRule type="expression" dxfId="3629" priority="3164">
      <formula>$AC51=2</formula>
    </cfRule>
  </conditionalFormatting>
  <conditionalFormatting sqref="L51">
    <cfRule type="expression" dxfId="3628" priority="3163">
      <formula>$AC51=2</formula>
    </cfRule>
  </conditionalFormatting>
  <conditionalFormatting sqref="O51">
    <cfRule type="expression" dxfId="3627" priority="3162">
      <formula>$AC51=2</formula>
    </cfRule>
  </conditionalFormatting>
  <conditionalFormatting sqref="V51">
    <cfRule type="expression" dxfId="3626" priority="3161">
      <formula>$AC51=2</formula>
    </cfRule>
  </conditionalFormatting>
  <conditionalFormatting sqref="Q55:R55">
    <cfRule type="expression" dxfId="3625" priority="3157">
      <formula>$AE55=4</formula>
    </cfRule>
    <cfRule type="expression" dxfId="3624" priority="3158">
      <formula>$AE55=3</formula>
    </cfRule>
    <cfRule type="expression" dxfId="3623" priority="3159">
      <formula>$AE55=2</formula>
    </cfRule>
    <cfRule type="expression" dxfId="3622" priority="3160">
      <formula>$AE55=1</formula>
    </cfRule>
  </conditionalFormatting>
  <conditionalFormatting sqref="X55:Y55">
    <cfRule type="expression" dxfId="3621" priority="3153">
      <formula>$AF55=4</formula>
    </cfRule>
    <cfRule type="expression" dxfId="3620" priority="3154">
      <formula>$AF55=3</formula>
    </cfRule>
    <cfRule type="expression" dxfId="3619" priority="3155">
      <formula>$AF55=2</formula>
    </cfRule>
    <cfRule type="expression" dxfId="3618" priority="3156">
      <formula>$AF55=1</formula>
    </cfRule>
  </conditionalFormatting>
  <conditionalFormatting sqref="X55:Y55">
    <cfRule type="expression" dxfId="3617" priority="3152">
      <formula>$AC55=2</formula>
    </cfRule>
  </conditionalFormatting>
  <conditionalFormatting sqref="J55:K55">
    <cfRule type="expression" dxfId="3616" priority="3143">
      <formula>$AD55=4</formula>
    </cfRule>
    <cfRule type="expression" dxfId="3615" priority="3144">
      <formula>$AD55=3</formula>
    </cfRule>
    <cfRule type="expression" dxfId="3614" priority="3145">
      <formula>$AD55=2</formula>
    </cfRule>
    <cfRule type="expression" dxfId="3613" priority="3146">
      <formula>$AD55=1</formula>
    </cfRule>
  </conditionalFormatting>
  <conditionalFormatting sqref="J55:K55">
    <cfRule type="expression" dxfId="3612" priority="3142">
      <formula>$AC55=2</formula>
    </cfRule>
  </conditionalFormatting>
  <conditionalFormatting sqref="L55">
    <cfRule type="expression" dxfId="3611" priority="3141">
      <formula>$AC55=2</formula>
    </cfRule>
  </conditionalFormatting>
  <conditionalFormatting sqref="O55">
    <cfRule type="expression" dxfId="3610" priority="3140">
      <formula>$AC55=2</formula>
    </cfRule>
  </conditionalFormatting>
  <conditionalFormatting sqref="V55">
    <cfRule type="expression" dxfId="3609" priority="3139">
      <formula>$AC55=2</formula>
    </cfRule>
  </conditionalFormatting>
  <conditionalFormatting sqref="Q58:R58">
    <cfRule type="expression" dxfId="3608" priority="3135">
      <formula>$AE58=4</formula>
    </cfRule>
    <cfRule type="expression" dxfId="3607" priority="3136">
      <formula>$AE58=3</formula>
    </cfRule>
    <cfRule type="expression" dxfId="3606" priority="3137">
      <formula>$AE58=2</formula>
    </cfRule>
    <cfRule type="expression" dxfId="3605" priority="3138">
      <formula>$AE58=1</formula>
    </cfRule>
  </conditionalFormatting>
  <conditionalFormatting sqref="X58:Y58">
    <cfRule type="expression" dxfId="3604" priority="3131">
      <formula>$AF58=4</formula>
    </cfRule>
    <cfRule type="expression" dxfId="3603" priority="3132">
      <formula>$AF58=3</formula>
    </cfRule>
    <cfRule type="expression" dxfId="3602" priority="3133">
      <formula>$AF58=2</formula>
    </cfRule>
    <cfRule type="expression" dxfId="3601" priority="3134">
      <formula>$AF58=1</formula>
    </cfRule>
  </conditionalFormatting>
  <conditionalFormatting sqref="X58:Y58">
    <cfRule type="expression" dxfId="3600" priority="3130">
      <formula>$AC58=2</formula>
    </cfRule>
  </conditionalFormatting>
  <conditionalFormatting sqref="J58:K58">
    <cfRule type="expression" dxfId="3599" priority="3121">
      <formula>$AD58=4</formula>
    </cfRule>
    <cfRule type="expression" dxfId="3598" priority="3122">
      <formula>$AD58=3</formula>
    </cfRule>
    <cfRule type="expression" dxfId="3597" priority="3123">
      <formula>$AD58=2</formula>
    </cfRule>
    <cfRule type="expression" dxfId="3596" priority="3124">
      <formula>$AD58=1</formula>
    </cfRule>
  </conditionalFormatting>
  <conditionalFormatting sqref="J58:K58">
    <cfRule type="expression" dxfId="3595" priority="3120">
      <formula>$AC58=2</formula>
    </cfRule>
  </conditionalFormatting>
  <conditionalFormatting sqref="L58">
    <cfRule type="expression" dxfId="3594" priority="3119">
      <formula>$AC58=2</formula>
    </cfRule>
  </conditionalFormatting>
  <conditionalFormatting sqref="O58">
    <cfRule type="expression" dxfId="3593" priority="3118">
      <formula>$AC58=2</formula>
    </cfRule>
  </conditionalFormatting>
  <conditionalFormatting sqref="V58">
    <cfRule type="expression" dxfId="3592" priority="3117">
      <formula>$AC58=2</formula>
    </cfRule>
  </conditionalFormatting>
  <conditionalFormatting sqref="Q61:R61">
    <cfRule type="expression" dxfId="3591" priority="3113">
      <formula>$AE61=4</formula>
    </cfRule>
    <cfRule type="expression" dxfId="3590" priority="3114">
      <formula>$AE61=3</formula>
    </cfRule>
    <cfRule type="expression" dxfId="3589" priority="3115">
      <formula>$AE61=2</formula>
    </cfRule>
    <cfRule type="expression" dxfId="3588" priority="3116">
      <formula>$AE61=1</formula>
    </cfRule>
  </conditionalFormatting>
  <conditionalFormatting sqref="X61:Y61">
    <cfRule type="expression" dxfId="3587" priority="3109">
      <formula>$AF61=4</formula>
    </cfRule>
    <cfRule type="expression" dxfId="3586" priority="3110">
      <formula>$AF61=3</formula>
    </cfRule>
    <cfRule type="expression" dxfId="3585" priority="3111">
      <formula>$AF61=2</formula>
    </cfRule>
    <cfRule type="expression" dxfId="3584" priority="3112">
      <formula>$AF61=1</formula>
    </cfRule>
  </conditionalFormatting>
  <conditionalFormatting sqref="X61:Y61">
    <cfRule type="expression" dxfId="3583" priority="3108">
      <formula>$AC61=2</formula>
    </cfRule>
  </conditionalFormatting>
  <conditionalFormatting sqref="J61:K61">
    <cfRule type="expression" dxfId="3582" priority="3099">
      <formula>$AD61=4</formula>
    </cfRule>
    <cfRule type="expression" dxfId="3581" priority="3100">
      <formula>$AD61=3</formula>
    </cfRule>
    <cfRule type="expression" dxfId="3580" priority="3101">
      <formula>$AD61=2</formula>
    </cfRule>
    <cfRule type="expression" dxfId="3579" priority="3102">
      <formula>$AD61=1</formula>
    </cfRule>
  </conditionalFormatting>
  <conditionalFormatting sqref="J61:K61">
    <cfRule type="expression" dxfId="3578" priority="3098">
      <formula>$AC61=2</formula>
    </cfRule>
  </conditionalFormatting>
  <conditionalFormatting sqref="L61">
    <cfRule type="expression" dxfId="3577" priority="3097">
      <formula>$AC61=2</formula>
    </cfRule>
  </conditionalFormatting>
  <conditionalFormatting sqref="O61">
    <cfRule type="expression" dxfId="3576" priority="4554">
      <formula>$AC61=2</formula>
    </cfRule>
  </conditionalFormatting>
  <conditionalFormatting sqref="V61">
    <cfRule type="expression" dxfId="3575" priority="3095">
      <formula>$AC61=2</formula>
    </cfRule>
  </conditionalFormatting>
  <conditionalFormatting sqref="Q74:R74">
    <cfRule type="expression" dxfId="3574" priority="3091">
      <formula>$AE74=4</formula>
    </cfRule>
    <cfRule type="expression" dxfId="3573" priority="3092">
      <formula>$AE74=3</formula>
    </cfRule>
    <cfRule type="expression" dxfId="3572" priority="3093">
      <formula>$AE74=2</formula>
    </cfRule>
    <cfRule type="expression" dxfId="3571" priority="3094">
      <formula>$AE74=1</formula>
    </cfRule>
  </conditionalFormatting>
  <conditionalFormatting sqref="X74:Y74">
    <cfRule type="expression" dxfId="3570" priority="3087">
      <formula>$AF74=4</formula>
    </cfRule>
    <cfRule type="expression" dxfId="3569" priority="3088">
      <formula>$AF74=3</formula>
    </cfRule>
    <cfRule type="expression" dxfId="3568" priority="3089">
      <formula>$AF74=2</formula>
    </cfRule>
    <cfRule type="expression" dxfId="3567" priority="3090">
      <formula>$AF74=1</formula>
    </cfRule>
  </conditionalFormatting>
  <conditionalFormatting sqref="X74:Y74">
    <cfRule type="expression" dxfId="3566" priority="3086">
      <formula>$AC74=2</formula>
    </cfRule>
  </conditionalFormatting>
  <conditionalFormatting sqref="J74:K74">
    <cfRule type="expression" dxfId="3565" priority="3077">
      <formula>$AD74=4</formula>
    </cfRule>
    <cfRule type="expression" dxfId="3564" priority="3078">
      <formula>$AD74=3</formula>
    </cfRule>
    <cfRule type="expression" dxfId="3563" priority="3079">
      <formula>$AD74=2</formula>
    </cfRule>
    <cfRule type="expression" dxfId="3562" priority="3080">
      <formula>$AD74=1</formula>
    </cfRule>
  </conditionalFormatting>
  <conditionalFormatting sqref="J74:K74">
    <cfRule type="expression" dxfId="3561" priority="3076">
      <formula>$AC74=2</formula>
    </cfRule>
  </conditionalFormatting>
  <conditionalFormatting sqref="L74">
    <cfRule type="expression" dxfId="3560" priority="3075">
      <formula>$AC74=2</formula>
    </cfRule>
  </conditionalFormatting>
  <conditionalFormatting sqref="O74">
    <cfRule type="expression" dxfId="3559" priority="3074">
      <formula>$AC74=2</formula>
    </cfRule>
  </conditionalFormatting>
  <conditionalFormatting sqref="V74">
    <cfRule type="expression" dxfId="3558" priority="3073">
      <formula>$AC74=2</formula>
    </cfRule>
  </conditionalFormatting>
  <conditionalFormatting sqref="Q78:R78">
    <cfRule type="expression" dxfId="3557" priority="3069">
      <formula>$AE78=4</formula>
    </cfRule>
    <cfRule type="expression" dxfId="3556" priority="3070">
      <formula>$AE78=3</formula>
    </cfRule>
    <cfRule type="expression" dxfId="3555" priority="3071">
      <formula>$AE78=2</formula>
    </cfRule>
    <cfRule type="expression" dxfId="3554" priority="3072">
      <formula>$AE78=1</formula>
    </cfRule>
  </conditionalFormatting>
  <conditionalFormatting sqref="X78:Y78">
    <cfRule type="expression" dxfId="3553" priority="3065">
      <formula>$AF78=4</formula>
    </cfRule>
    <cfRule type="expression" dxfId="3552" priority="3066">
      <formula>$AF78=3</formula>
    </cfRule>
    <cfRule type="expression" dxfId="3551" priority="3067">
      <formula>$AF78=2</formula>
    </cfRule>
    <cfRule type="expression" dxfId="3550" priority="3068">
      <formula>$AF78=1</formula>
    </cfRule>
  </conditionalFormatting>
  <conditionalFormatting sqref="X78:Y78">
    <cfRule type="expression" dxfId="3549" priority="3064">
      <formula>$AC78=2</formula>
    </cfRule>
  </conditionalFormatting>
  <conditionalFormatting sqref="J78:K78">
    <cfRule type="expression" dxfId="3548" priority="3055">
      <formula>$AD78=4</formula>
    </cfRule>
    <cfRule type="expression" dxfId="3547" priority="3056">
      <formula>$AD78=3</formula>
    </cfRule>
    <cfRule type="expression" dxfId="3546" priority="3057">
      <formula>$AD78=2</formula>
    </cfRule>
    <cfRule type="expression" dxfId="3545" priority="3058">
      <formula>$AD78=1</formula>
    </cfRule>
  </conditionalFormatting>
  <conditionalFormatting sqref="J78:K78">
    <cfRule type="expression" dxfId="3544" priority="3054">
      <formula>$AC78=2</formula>
    </cfRule>
  </conditionalFormatting>
  <conditionalFormatting sqref="L78">
    <cfRule type="expression" dxfId="3543" priority="3053">
      <formula>$AC78=2</formula>
    </cfRule>
  </conditionalFormatting>
  <conditionalFormatting sqref="O78">
    <cfRule type="expression" dxfId="3542" priority="3052">
      <formula>$AC78=2</formula>
    </cfRule>
  </conditionalFormatting>
  <conditionalFormatting sqref="V78">
    <cfRule type="expression" dxfId="3541" priority="3051">
      <formula>$AC78=2</formula>
    </cfRule>
  </conditionalFormatting>
  <conditionalFormatting sqref="Q81:R81">
    <cfRule type="expression" dxfId="3540" priority="3047">
      <formula>$AE81=4</formula>
    </cfRule>
    <cfRule type="expression" dxfId="3539" priority="3048">
      <formula>$AE81=3</formula>
    </cfRule>
    <cfRule type="expression" dxfId="3538" priority="3049">
      <formula>$AE81=2</formula>
    </cfRule>
    <cfRule type="expression" dxfId="3537" priority="3050">
      <formula>$AE81=1</formula>
    </cfRule>
  </conditionalFormatting>
  <conditionalFormatting sqref="X81:Y81">
    <cfRule type="expression" dxfId="3536" priority="3043">
      <formula>$AF81=4</formula>
    </cfRule>
    <cfRule type="expression" dxfId="3535" priority="3044">
      <formula>$AF81=3</formula>
    </cfRule>
    <cfRule type="expression" dxfId="3534" priority="3045">
      <formula>$AF81=2</formula>
    </cfRule>
    <cfRule type="expression" dxfId="3533" priority="3046">
      <formula>$AF81=1</formula>
    </cfRule>
  </conditionalFormatting>
  <conditionalFormatting sqref="X81:Y81">
    <cfRule type="expression" dxfId="3532" priority="3042">
      <formula>$AC81=2</formula>
    </cfRule>
  </conditionalFormatting>
  <conditionalFormatting sqref="J81:K81">
    <cfRule type="expression" dxfId="3531" priority="3033">
      <formula>$AD81=4</formula>
    </cfRule>
    <cfRule type="expression" dxfId="3530" priority="3034">
      <formula>$AD81=3</formula>
    </cfRule>
    <cfRule type="expression" dxfId="3529" priority="3035">
      <formula>$AD81=2</formula>
    </cfRule>
    <cfRule type="expression" dxfId="3528" priority="3036">
      <formula>$AD81=1</formula>
    </cfRule>
  </conditionalFormatting>
  <conditionalFormatting sqref="J81:K81">
    <cfRule type="expression" dxfId="3527" priority="3032">
      <formula>$AC81=2</formula>
    </cfRule>
  </conditionalFormatting>
  <conditionalFormatting sqref="L81">
    <cfRule type="expression" dxfId="3526" priority="3031">
      <formula>$AC81=2</formula>
    </cfRule>
  </conditionalFormatting>
  <conditionalFormatting sqref="O81">
    <cfRule type="expression" dxfId="3525" priority="3030">
      <formula>$AC81=2</formula>
    </cfRule>
  </conditionalFormatting>
  <conditionalFormatting sqref="V81">
    <cfRule type="expression" dxfId="3524" priority="3029">
      <formula>$AC81=2</formula>
    </cfRule>
  </conditionalFormatting>
  <conditionalFormatting sqref="Q84:R84">
    <cfRule type="expression" dxfId="3523" priority="3025">
      <formula>$AE84=4</formula>
    </cfRule>
    <cfRule type="expression" dxfId="3522" priority="3026">
      <formula>$AE84=3</formula>
    </cfRule>
    <cfRule type="expression" dxfId="3521" priority="3027">
      <formula>$AE84=2</formula>
    </cfRule>
    <cfRule type="expression" dxfId="3520" priority="3028">
      <formula>$AE84=1</formula>
    </cfRule>
  </conditionalFormatting>
  <conditionalFormatting sqref="X84:Y84">
    <cfRule type="expression" dxfId="3519" priority="3021">
      <formula>$AF84=4</formula>
    </cfRule>
    <cfRule type="expression" dxfId="3518" priority="3022">
      <formula>$AF84=3</formula>
    </cfRule>
    <cfRule type="expression" dxfId="3517" priority="3023">
      <formula>$AF84=2</formula>
    </cfRule>
    <cfRule type="expression" dxfId="3516" priority="3024">
      <formula>$AF84=1</formula>
    </cfRule>
  </conditionalFormatting>
  <conditionalFormatting sqref="X84:Y84">
    <cfRule type="expression" dxfId="3515" priority="3020">
      <formula>$AC84=2</formula>
    </cfRule>
  </conditionalFormatting>
  <conditionalFormatting sqref="J84:K84">
    <cfRule type="expression" dxfId="3514" priority="3011">
      <formula>$AD84=4</formula>
    </cfRule>
    <cfRule type="expression" dxfId="3513" priority="3012">
      <formula>$AD84=3</formula>
    </cfRule>
    <cfRule type="expression" dxfId="3512" priority="3013">
      <formula>$AD84=2</formula>
    </cfRule>
    <cfRule type="expression" dxfId="3511" priority="3014">
      <formula>$AD84=1</formula>
    </cfRule>
  </conditionalFormatting>
  <conditionalFormatting sqref="J84:K84">
    <cfRule type="expression" dxfId="3510" priority="3010">
      <formula>$AC84=2</formula>
    </cfRule>
  </conditionalFormatting>
  <conditionalFormatting sqref="L84">
    <cfRule type="expression" dxfId="3509" priority="3009">
      <formula>$AC84=2</formula>
    </cfRule>
  </conditionalFormatting>
  <conditionalFormatting sqref="O84">
    <cfRule type="expression" dxfId="3508" priority="3008">
      <formula>$AC84=2</formula>
    </cfRule>
  </conditionalFormatting>
  <conditionalFormatting sqref="V84">
    <cfRule type="expression" dxfId="3507" priority="3007">
      <formula>$AC84=2</formula>
    </cfRule>
  </conditionalFormatting>
  <conditionalFormatting sqref="Q88:R88">
    <cfRule type="expression" dxfId="3506" priority="3003">
      <formula>$AE88=4</formula>
    </cfRule>
    <cfRule type="expression" dxfId="3505" priority="3004">
      <formula>$AE88=3</formula>
    </cfRule>
    <cfRule type="expression" dxfId="3504" priority="3005">
      <formula>$AE88=2</formula>
    </cfRule>
    <cfRule type="expression" dxfId="3503" priority="3006">
      <formula>$AE88=1</formula>
    </cfRule>
  </conditionalFormatting>
  <conditionalFormatting sqref="X88:Y88">
    <cfRule type="expression" dxfId="3502" priority="2999">
      <formula>$AF88=4</formula>
    </cfRule>
    <cfRule type="expression" dxfId="3501" priority="3000">
      <formula>$AF88=3</formula>
    </cfRule>
    <cfRule type="expression" dxfId="3500" priority="3001">
      <formula>$AF88=2</formula>
    </cfRule>
    <cfRule type="expression" dxfId="3499" priority="3002">
      <formula>$AF88=1</formula>
    </cfRule>
  </conditionalFormatting>
  <conditionalFormatting sqref="X88:Y88">
    <cfRule type="expression" dxfId="3498" priority="2998">
      <formula>$AC88=2</formula>
    </cfRule>
  </conditionalFormatting>
  <conditionalFormatting sqref="J88:K88">
    <cfRule type="expression" dxfId="3497" priority="2989">
      <formula>$AD88=4</formula>
    </cfRule>
    <cfRule type="expression" dxfId="3496" priority="2990">
      <formula>$AD88=3</formula>
    </cfRule>
    <cfRule type="expression" dxfId="3495" priority="2991">
      <formula>$AD88=2</formula>
    </cfRule>
    <cfRule type="expression" dxfId="3494" priority="2992">
      <formula>$AD88=1</formula>
    </cfRule>
  </conditionalFormatting>
  <conditionalFormatting sqref="J88:K88">
    <cfRule type="expression" dxfId="3493" priority="2988">
      <formula>$AC88=2</formula>
    </cfRule>
  </conditionalFormatting>
  <conditionalFormatting sqref="L88">
    <cfRule type="expression" dxfId="3492" priority="2987">
      <formula>$AC88=2</formula>
    </cfRule>
  </conditionalFormatting>
  <conditionalFormatting sqref="O88">
    <cfRule type="expression" dxfId="3491" priority="2986">
      <formula>$AC88=2</formula>
    </cfRule>
  </conditionalFormatting>
  <conditionalFormatting sqref="V88">
    <cfRule type="expression" dxfId="3490" priority="2985">
      <formula>$AC88=2</formula>
    </cfRule>
  </conditionalFormatting>
  <conditionalFormatting sqref="Q91:R91">
    <cfRule type="expression" dxfId="3489" priority="2981">
      <formula>$AE91=4</formula>
    </cfRule>
    <cfRule type="expression" dxfId="3488" priority="2982">
      <formula>$AE91=3</formula>
    </cfRule>
    <cfRule type="expression" dxfId="3487" priority="2983">
      <formula>$AE91=2</formula>
    </cfRule>
    <cfRule type="expression" dxfId="3486" priority="2984">
      <formula>$AE91=1</formula>
    </cfRule>
  </conditionalFormatting>
  <conditionalFormatting sqref="X91:Y91">
    <cfRule type="expression" dxfId="3485" priority="2977">
      <formula>$AF91=4</formula>
    </cfRule>
    <cfRule type="expression" dxfId="3484" priority="2978">
      <formula>$AF91=3</formula>
    </cfRule>
    <cfRule type="expression" dxfId="3483" priority="2979">
      <formula>$AF91=2</formula>
    </cfRule>
    <cfRule type="expression" dxfId="3482" priority="2980">
      <formula>$AF91=1</formula>
    </cfRule>
  </conditionalFormatting>
  <conditionalFormatting sqref="X91:Y91">
    <cfRule type="expression" dxfId="3481" priority="2976">
      <formula>$AC91=2</formula>
    </cfRule>
  </conditionalFormatting>
  <conditionalFormatting sqref="J91:K91">
    <cfRule type="expression" dxfId="3480" priority="2967">
      <formula>$AD91=4</formula>
    </cfRule>
    <cfRule type="expression" dxfId="3479" priority="2968">
      <formula>$AD91=3</formula>
    </cfRule>
    <cfRule type="expression" dxfId="3478" priority="2969">
      <formula>$AD91=2</formula>
    </cfRule>
    <cfRule type="expression" dxfId="3477" priority="2970">
      <formula>$AD91=1</formula>
    </cfRule>
  </conditionalFormatting>
  <conditionalFormatting sqref="J91:K91">
    <cfRule type="expression" dxfId="3476" priority="2966">
      <formula>$AC91=2</formula>
    </cfRule>
  </conditionalFormatting>
  <conditionalFormatting sqref="L91">
    <cfRule type="expression" dxfId="3475" priority="2965">
      <formula>$AC91=2</formula>
    </cfRule>
  </conditionalFormatting>
  <conditionalFormatting sqref="O91">
    <cfRule type="expression" dxfId="3474" priority="2964">
      <formula>$AC91=2</formula>
    </cfRule>
  </conditionalFormatting>
  <conditionalFormatting sqref="V91">
    <cfRule type="expression" dxfId="3473" priority="2963">
      <formula>$AC91=2</formula>
    </cfRule>
  </conditionalFormatting>
  <conditionalFormatting sqref="Q99:R99">
    <cfRule type="expression" dxfId="3472" priority="2959">
      <formula>$AE99=4</formula>
    </cfRule>
    <cfRule type="expression" dxfId="3471" priority="2960">
      <formula>$AE99=3</formula>
    </cfRule>
    <cfRule type="expression" dxfId="3470" priority="2961">
      <formula>$AE99=2</formula>
    </cfRule>
    <cfRule type="expression" dxfId="3469" priority="2962">
      <formula>$AE99=1</formula>
    </cfRule>
  </conditionalFormatting>
  <conditionalFormatting sqref="X99:Y99">
    <cfRule type="expression" dxfId="3468" priority="2955">
      <formula>$AF99=4</formula>
    </cfRule>
    <cfRule type="expression" dxfId="3467" priority="2956">
      <formula>$AF99=3</formula>
    </cfRule>
    <cfRule type="expression" dxfId="3466" priority="2957">
      <formula>$AF99=2</formula>
    </cfRule>
    <cfRule type="expression" dxfId="3465" priority="2958">
      <formula>$AF99=1</formula>
    </cfRule>
  </conditionalFormatting>
  <conditionalFormatting sqref="X99:Y99">
    <cfRule type="expression" dxfId="3464" priority="2954">
      <formula>$AC99=2</formula>
    </cfRule>
  </conditionalFormatting>
  <conditionalFormatting sqref="J99:K99">
    <cfRule type="expression" dxfId="3463" priority="2945">
      <formula>$AD99=4</formula>
    </cfRule>
    <cfRule type="expression" dxfId="3462" priority="2946">
      <formula>$AD99=3</formula>
    </cfRule>
    <cfRule type="expression" dxfId="3461" priority="2947">
      <formula>$AD99=2</formula>
    </cfRule>
    <cfRule type="expression" dxfId="3460" priority="2948">
      <formula>$AD99=1</formula>
    </cfRule>
  </conditionalFormatting>
  <conditionalFormatting sqref="J99:K99">
    <cfRule type="expression" dxfId="3459" priority="2944">
      <formula>$AC99=2</formula>
    </cfRule>
  </conditionalFormatting>
  <conditionalFormatting sqref="L99">
    <cfRule type="expression" dxfId="3458" priority="2943">
      <formula>$AC99=2</formula>
    </cfRule>
  </conditionalFormatting>
  <conditionalFormatting sqref="O99">
    <cfRule type="expression" dxfId="3457" priority="2942">
      <formula>$AC99=2</formula>
    </cfRule>
  </conditionalFormatting>
  <conditionalFormatting sqref="V99">
    <cfRule type="expression" dxfId="3456" priority="2941">
      <formula>$AC99=2</formula>
    </cfRule>
  </conditionalFormatting>
  <conditionalFormatting sqref="Q108:R108">
    <cfRule type="expression" dxfId="3455" priority="2937">
      <formula>$AE108=4</formula>
    </cfRule>
    <cfRule type="expression" dxfId="3454" priority="2938">
      <formula>$AE108=3</formula>
    </cfRule>
    <cfRule type="expression" dxfId="3453" priority="2939">
      <formula>$AE108=2</formula>
    </cfRule>
    <cfRule type="expression" dxfId="3452" priority="2940">
      <formula>$AE108=1</formula>
    </cfRule>
  </conditionalFormatting>
  <conditionalFormatting sqref="X108:Y108">
    <cfRule type="expression" dxfId="3451" priority="2933">
      <formula>$AF108=4</formula>
    </cfRule>
    <cfRule type="expression" dxfId="3450" priority="2934">
      <formula>$AF108=3</formula>
    </cfRule>
    <cfRule type="expression" dxfId="3449" priority="2935">
      <formula>$AF108=2</formula>
    </cfRule>
    <cfRule type="expression" dxfId="3448" priority="2936">
      <formula>$AF108=1</formula>
    </cfRule>
  </conditionalFormatting>
  <conditionalFormatting sqref="X108:Y108">
    <cfRule type="expression" dxfId="3447" priority="2932">
      <formula>$AC108=2</formula>
    </cfRule>
  </conditionalFormatting>
  <conditionalFormatting sqref="J108:K108">
    <cfRule type="expression" dxfId="3446" priority="2923">
      <formula>$AD108=4</formula>
    </cfRule>
    <cfRule type="expression" dxfId="3445" priority="2924">
      <formula>$AD108=3</formula>
    </cfRule>
    <cfRule type="expression" dxfId="3444" priority="2925">
      <formula>$AD108=2</formula>
    </cfRule>
    <cfRule type="expression" dxfId="3443" priority="2926">
      <formula>$AD108=1</formula>
    </cfRule>
  </conditionalFormatting>
  <conditionalFormatting sqref="J108:K108">
    <cfRule type="expression" dxfId="3442" priority="2922">
      <formula>$AC108=2</formula>
    </cfRule>
  </conditionalFormatting>
  <conditionalFormatting sqref="L108">
    <cfRule type="expression" dxfId="3441" priority="2921">
      <formula>$AC108=2</formula>
    </cfRule>
  </conditionalFormatting>
  <conditionalFormatting sqref="O108">
    <cfRule type="expression" dxfId="3440" priority="2920">
      <formula>$AC108=2</formula>
    </cfRule>
  </conditionalFormatting>
  <conditionalFormatting sqref="V108">
    <cfRule type="expression" dxfId="3439" priority="2919">
      <formula>$AC108=2</formula>
    </cfRule>
  </conditionalFormatting>
  <conditionalFormatting sqref="Q110:R110">
    <cfRule type="expression" dxfId="3438" priority="2915">
      <formula>$AE110=4</formula>
    </cfRule>
    <cfRule type="expression" dxfId="3437" priority="2916">
      <formula>$AE110=3</formula>
    </cfRule>
    <cfRule type="expression" dxfId="3436" priority="2917">
      <formula>$AE110=2</formula>
    </cfRule>
    <cfRule type="expression" dxfId="3435" priority="2918">
      <formula>$AE110=1</formula>
    </cfRule>
  </conditionalFormatting>
  <conditionalFormatting sqref="X110:Y110">
    <cfRule type="expression" dxfId="3434" priority="2911">
      <formula>$AF110=4</formula>
    </cfRule>
    <cfRule type="expression" dxfId="3433" priority="2912">
      <formula>$AF110=3</formula>
    </cfRule>
    <cfRule type="expression" dxfId="3432" priority="2913">
      <formula>$AF110=2</formula>
    </cfRule>
    <cfRule type="expression" dxfId="3431" priority="2914">
      <formula>$AF110=1</formula>
    </cfRule>
  </conditionalFormatting>
  <conditionalFormatting sqref="X110:Y110">
    <cfRule type="expression" dxfId="3430" priority="2910">
      <formula>$AC110=2</formula>
    </cfRule>
  </conditionalFormatting>
  <conditionalFormatting sqref="J110:K110">
    <cfRule type="expression" dxfId="3429" priority="2901">
      <formula>$AD110=4</formula>
    </cfRule>
    <cfRule type="expression" dxfId="3428" priority="2902">
      <formula>$AD110=3</formula>
    </cfRule>
    <cfRule type="expression" dxfId="3427" priority="2903">
      <formula>$AD110=2</formula>
    </cfRule>
    <cfRule type="expression" dxfId="3426" priority="2904">
      <formula>$AD110=1</formula>
    </cfRule>
  </conditionalFormatting>
  <conditionalFormatting sqref="L110">
    <cfRule type="expression" dxfId="3425" priority="2899">
      <formula>$AC110=2</formula>
    </cfRule>
  </conditionalFormatting>
  <conditionalFormatting sqref="V110">
    <cfRule type="expression" dxfId="3424" priority="2897">
      <formula>$AC110=2</formula>
    </cfRule>
  </conditionalFormatting>
  <conditionalFormatting sqref="Q114:R114">
    <cfRule type="expression" dxfId="3423" priority="2893">
      <formula>$AE114=4</formula>
    </cfRule>
    <cfRule type="expression" dxfId="3422" priority="2894">
      <formula>$AE114=3</formula>
    </cfRule>
    <cfRule type="expression" dxfId="3421" priority="2895">
      <formula>$AE114=2</formula>
    </cfRule>
    <cfRule type="expression" dxfId="3420" priority="2896">
      <formula>$AE114=1</formula>
    </cfRule>
  </conditionalFormatting>
  <conditionalFormatting sqref="X114:Y114">
    <cfRule type="expression" dxfId="3419" priority="2889">
      <formula>$AF114=4</formula>
    </cfRule>
    <cfRule type="expression" dxfId="3418" priority="2890">
      <formula>$AF114=3</formula>
    </cfRule>
    <cfRule type="expression" dxfId="3417" priority="2891">
      <formula>$AF114=2</formula>
    </cfRule>
    <cfRule type="expression" dxfId="3416" priority="2892">
      <formula>$AF114=1</formula>
    </cfRule>
  </conditionalFormatting>
  <conditionalFormatting sqref="X114:Y114">
    <cfRule type="expression" dxfId="3415" priority="2888">
      <formula>$AC114=2</formula>
    </cfRule>
  </conditionalFormatting>
  <conditionalFormatting sqref="J114:K114">
    <cfRule type="expression" dxfId="3414" priority="2879">
      <formula>$AD114=4</formula>
    </cfRule>
    <cfRule type="expression" dxfId="3413" priority="2880">
      <formula>$AD114=3</formula>
    </cfRule>
    <cfRule type="expression" dxfId="3412" priority="2881">
      <formula>$AD114=2</formula>
    </cfRule>
    <cfRule type="expression" dxfId="3411" priority="2882">
      <formula>$AD114=1</formula>
    </cfRule>
  </conditionalFormatting>
  <conditionalFormatting sqref="J114:K114">
    <cfRule type="expression" dxfId="3410" priority="2878">
      <formula>$AC114=2</formula>
    </cfRule>
  </conditionalFormatting>
  <conditionalFormatting sqref="L114">
    <cfRule type="expression" dxfId="3409" priority="2877">
      <formula>$AC114=2</formula>
    </cfRule>
  </conditionalFormatting>
  <conditionalFormatting sqref="O114">
    <cfRule type="expression" dxfId="3408" priority="2876">
      <formula>$AC114=2</formula>
    </cfRule>
  </conditionalFormatting>
  <conditionalFormatting sqref="V114">
    <cfRule type="expression" dxfId="3407" priority="2875">
      <formula>$AC114=2</formula>
    </cfRule>
  </conditionalFormatting>
  <conditionalFormatting sqref="Q123:R123">
    <cfRule type="expression" dxfId="3406" priority="2871">
      <formula>$AE123=4</formula>
    </cfRule>
    <cfRule type="expression" dxfId="3405" priority="2872">
      <formula>$AE123=3</formula>
    </cfRule>
    <cfRule type="expression" dxfId="3404" priority="2873">
      <formula>$AE123=2</formula>
    </cfRule>
    <cfRule type="expression" dxfId="3403" priority="2874">
      <formula>$AE123=1</formula>
    </cfRule>
  </conditionalFormatting>
  <conditionalFormatting sqref="X123:Y123">
    <cfRule type="expression" dxfId="3402" priority="2867">
      <formula>$AF123=4</formula>
    </cfRule>
    <cfRule type="expression" dxfId="3401" priority="2868">
      <formula>$AF123=3</formula>
    </cfRule>
    <cfRule type="expression" dxfId="3400" priority="2869">
      <formula>$AF123=2</formula>
    </cfRule>
    <cfRule type="expression" dxfId="3399" priority="2870">
      <formula>$AF123=1</formula>
    </cfRule>
  </conditionalFormatting>
  <conditionalFormatting sqref="J123:K123">
    <cfRule type="expression" dxfId="3398" priority="2857">
      <formula>$AD123=4</formula>
    </cfRule>
    <cfRule type="expression" dxfId="3397" priority="2858">
      <formula>$AD123=3</formula>
    </cfRule>
    <cfRule type="expression" dxfId="3396" priority="2859">
      <formula>$AD123=2</formula>
    </cfRule>
    <cfRule type="expression" dxfId="3395" priority="2860">
      <formula>$AD123=1</formula>
    </cfRule>
  </conditionalFormatting>
  <conditionalFormatting sqref="J123:K123">
    <cfRule type="expression" dxfId="3394" priority="2856">
      <formula>$AC123=2</formula>
    </cfRule>
  </conditionalFormatting>
  <conditionalFormatting sqref="L123">
    <cfRule type="expression" dxfId="3393" priority="2855">
      <formula>$AC123=2</formula>
    </cfRule>
  </conditionalFormatting>
  <conditionalFormatting sqref="O123">
    <cfRule type="expression" dxfId="3392" priority="2854">
      <formula>$AC123=2</formula>
    </cfRule>
  </conditionalFormatting>
  <conditionalFormatting sqref="V123">
    <cfRule type="expression" dxfId="3391" priority="2853">
      <formula>$AC123=2</formula>
    </cfRule>
  </conditionalFormatting>
  <conditionalFormatting sqref="Q127:R127">
    <cfRule type="expression" dxfId="3390" priority="2849">
      <formula>$AE127=4</formula>
    </cfRule>
    <cfRule type="expression" dxfId="3389" priority="2850">
      <formula>$AE127=3</formula>
    </cfRule>
    <cfRule type="expression" dxfId="3388" priority="2851">
      <formula>$AE127=2</formula>
    </cfRule>
    <cfRule type="expression" dxfId="3387" priority="2852">
      <formula>$AE127=1</formula>
    </cfRule>
  </conditionalFormatting>
  <conditionalFormatting sqref="X127:Y127">
    <cfRule type="expression" dxfId="3386" priority="2845">
      <formula>$AF127=4</formula>
    </cfRule>
    <cfRule type="expression" dxfId="3385" priority="2846">
      <formula>$AF127=3</formula>
    </cfRule>
    <cfRule type="expression" dxfId="3384" priority="2847">
      <formula>$AF127=2</formula>
    </cfRule>
    <cfRule type="expression" dxfId="3383" priority="2848">
      <formula>$AF127=1</formula>
    </cfRule>
  </conditionalFormatting>
  <conditionalFormatting sqref="X127:Y127">
    <cfRule type="expression" dxfId="3382" priority="2844">
      <formula>$AC127=2</formula>
    </cfRule>
  </conditionalFormatting>
  <conditionalFormatting sqref="J127:K127">
    <cfRule type="expression" dxfId="3381" priority="2835">
      <formula>$AD127=4</formula>
    </cfRule>
    <cfRule type="expression" dxfId="3380" priority="2836">
      <formula>$AD127=3</formula>
    </cfRule>
    <cfRule type="expression" dxfId="3379" priority="2837">
      <formula>$AD127=2</formula>
    </cfRule>
    <cfRule type="expression" dxfId="3378" priority="2838">
      <formula>$AD127=1</formula>
    </cfRule>
  </conditionalFormatting>
  <conditionalFormatting sqref="J127:K127">
    <cfRule type="expression" dxfId="3377" priority="2834">
      <formula>$AC127=2</formula>
    </cfRule>
  </conditionalFormatting>
  <conditionalFormatting sqref="L127">
    <cfRule type="expression" dxfId="3376" priority="2833">
      <formula>$AC127=2</formula>
    </cfRule>
  </conditionalFormatting>
  <conditionalFormatting sqref="O127">
    <cfRule type="expression" dxfId="3375" priority="2832">
      <formula>$AC127=2</formula>
    </cfRule>
  </conditionalFormatting>
  <conditionalFormatting sqref="V127">
    <cfRule type="expression" dxfId="3374" priority="2831">
      <formula>$AC127=2</formula>
    </cfRule>
  </conditionalFormatting>
  <conditionalFormatting sqref="Q131:R131">
    <cfRule type="expression" dxfId="3373" priority="2827">
      <formula>$AE131=4</formula>
    </cfRule>
    <cfRule type="expression" dxfId="3372" priority="2828">
      <formula>$AE131=3</formula>
    </cfRule>
    <cfRule type="expression" dxfId="3371" priority="2829">
      <formula>$AE131=2</formula>
    </cfRule>
    <cfRule type="expression" dxfId="3370" priority="2830">
      <formula>$AE131=1</formula>
    </cfRule>
  </conditionalFormatting>
  <conditionalFormatting sqref="X131:Y131">
    <cfRule type="expression" dxfId="3369" priority="2823">
      <formula>$AF131=4</formula>
    </cfRule>
    <cfRule type="expression" dxfId="3368" priority="2824">
      <formula>$AF131=3</formula>
    </cfRule>
    <cfRule type="expression" dxfId="3367" priority="2825">
      <formula>$AF131=2</formula>
    </cfRule>
    <cfRule type="expression" dxfId="3366" priority="2826">
      <formula>$AF131=1</formula>
    </cfRule>
  </conditionalFormatting>
  <conditionalFormatting sqref="X131:Y131">
    <cfRule type="expression" dxfId="3365" priority="2822">
      <formula>$AC131=2</formula>
    </cfRule>
  </conditionalFormatting>
  <conditionalFormatting sqref="J131:K131">
    <cfRule type="expression" dxfId="3364" priority="2813">
      <formula>$AD131=4</formula>
    </cfRule>
    <cfRule type="expression" dxfId="3363" priority="2814">
      <formula>$AD131=3</formula>
    </cfRule>
    <cfRule type="expression" dxfId="3362" priority="2815">
      <formula>$AD131=2</formula>
    </cfRule>
    <cfRule type="expression" dxfId="3361" priority="2816">
      <formula>$AD131=1</formula>
    </cfRule>
  </conditionalFormatting>
  <conditionalFormatting sqref="J131:K131">
    <cfRule type="expression" dxfId="3360" priority="2812">
      <formula>$AC131=2</formula>
    </cfRule>
  </conditionalFormatting>
  <conditionalFormatting sqref="L131">
    <cfRule type="expression" dxfId="3359" priority="2811">
      <formula>$AC131=2</formula>
    </cfRule>
  </conditionalFormatting>
  <conditionalFormatting sqref="O131">
    <cfRule type="expression" dxfId="3358" priority="2810">
      <formula>$AC131=2</formula>
    </cfRule>
  </conditionalFormatting>
  <conditionalFormatting sqref="V131">
    <cfRule type="expression" dxfId="3357" priority="2809">
      <formula>$AC131=2</formula>
    </cfRule>
  </conditionalFormatting>
  <conditionalFormatting sqref="Q137:R137">
    <cfRule type="expression" dxfId="3356" priority="2805">
      <formula>$AE137=4</formula>
    </cfRule>
    <cfRule type="expression" dxfId="3355" priority="2806">
      <formula>$AE137=3</formula>
    </cfRule>
    <cfRule type="expression" dxfId="3354" priority="2807">
      <formula>$AE137=2</formula>
    </cfRule>
    <cfRule type="expression" dxfId="3353" priority="2808">
      <formula>$AE137=1</formula>
    </cfRule>
  </conditionalFormatting>
  <conditionalFormatting sqref="X137:Y137">
    <cfRule type="expression" dxfId="3352" priority="2801">
      <formula>$AF137=4</formula>
    </cfRule>
    <cfRule type="expression" dxfId="3351" priority="2802">
      <formula>$AF137=3</formula>
    </cfRule>
    <cfRule type="expression" dxfId="3350" priority="2803">
      <formula>$AF137=2</formula>
    </cfRule>
    <cfRule type="expression" dxfId="3349" priority="2804">
      <formula>$AF137=1</formula>
    </cfRule>
  </conditionalFormatting>
  <conditionalFormatting sqref="X137:Y137">
    <cfRule type="expression" dxfId="3348" priority="2800">
      <formula>$AC137=2</formula>
    </cfRule>
  </conditionalFormatting>
  <conditionalFormatting sqref="K137">
    <cfRule type="expression" dxfId="3347" priority="2791">
      <formula>$AD137=4</formula>
    </cfRule>
    <cfRule type="expression" dxfId="3346" priority="2792">
      <formula>$AD137=3</formula>
    </cfRule>
    <cfRule type="expression" dxfId="3345" priority="2793">
      <formula>$AD137=2</formula>
    </cfRule>
    <cfRule type="expression" dxfId="3344" priority="2794">
      <formula>$AD137=1</formula>
    </cfRule>
  </conditionalFormatting>
  <conditionalFormatting sqref="K137">
    <cfRule type="expression" dxfId="3343" priority="2790">
      <formula>$AC137=2</formula>
    </cfRule>
  </conditionalFormatting>
  <conditionalFormatting sqref="L137">
    <cfRule type="expression" dxfId="3342" priority="2789">
      <formula>$AC137=2</formula>
    </cfRule>
  </conditionalFormatting>
  <conditionalFormatting sqref="O137">
    <cfRule type="expression" dxfId="3341" priority="2788">
      <formula>$AC137=2</formula>
    </cfRule>
  </conditionalFormatting>
  <conditionalFormatting sqref="V137">
    <cfRule type="expression" dxfId="3340" priority="2787">
      <formula>$AC137=2</formula>
    </cfRule>
  </conditionalFormatting>
  <conditionalFormatting sqref="Q142:R142">
    <cfRule type="expression" dxfId="3339" priority="2783">
      <formula>$AE142=4</formula>
    </cfRule>
    <cfRule type="expression" dxfId="3338" priority="2784">
      <formula>$AE142=3</formula>
    </cfRule>
    <cfRule type="expression" dxfId="3337" priority="2785">
      <formula>$AE142=2</formula>
    </cfRule>
    <cfRule type="expression" dxfId="3336" priority="2786">
      <formula>$AE142=1</formula>
    </cfRule>
  </conditionalFormatting>
  <conditionalFormatting sqref="X142:Y142">
    <cfRule type="expression" dxfId="3335" priority="2779">
      <formula>$AF142=4</formula>
    </cfRule>
    <cfRule type="expression" dxfId="3334" priority="2780">
      <formula>$AF142=3</formula>
    </cfRule>
    <cfRule type="expression" dxfId="3333" priority="2781">
      <formula>$AF142=2</formula>
    </cfRule>
    <cfRule type="expression" dxfId="3332" priority="2782">
      <formula>$AF142=1</formula>
    </cfRule>
  </conditionalFormatting>
  <conditionalFormatting sqref="X142:Y142">
    <cfRule type="expression" dxfId="3331" priority="2778">
      <formula>$AC142=2</formula>
    </cfRule>
  </conditionalFormatting>
  <conditionalFormatting sqref="J142:K142">
    <cfRule type="expression" dxfId="3330" priority="2769">
      <formula>$AD142=4</formula>
    </cfRule>
    <cfRule type="expression" dxfId="3329" priority="2770">
      <formula>$AD142=3</formula>
    </cfRule>
    <cfRule type="expression" dxfId="3328" priority="2771">
      <formula>$AD142=2</formula>
    </cfRule>
    <cfRule type="expression" dxfId="3327" priority="2772">
      <formula>$AD142=1</formula>
    </cfRule>
  </conditionalFormatting>
  <conditionalFormatting sqref="J142:K142">
    <cfRule type="expression" dxfId="3326" priority="2768">
      <formula>$AC142=2</formula>
    </cfRule>
  </conditionalFormatting>
  <conditionalFormatting sqref="L142">
    <cfRule type="expression" dxfId="3325" priority="2767">
      <formula>$AC142=2</formula>
    </cfRule>
  </conditionalFormatting>
  <conditionalFormatting sqref="O142">
    <cfRule type="expression" dxfId="3324" priority="2766">
      <formula>$AC142=2</formula>
    </cfRule>
  </conditionalFormatting>
  <conditionalFormatting sqref="V142">
    <cfRule type="expression" dxfId="3323" priority="2765">
      <formula>$AC142=2</formula>
    </cfRule>
  </conditionalFormatting>
  <conditionalFormatting sqref="Q155:R155">
    <cfRule type="expression" dxfId="3322" priority="2761">
      <formula>$AE155=4</formula>
    </cfRule>
    <cfRule type="expression" dxfId="3321" priority="2762">
      <formula>$AE155=3</formula>
    </cfRule>
    <cfRule type="expression" dxfId="3320" priority="2763">
      <formula>$AE155=2</formula>
    </cfRule>
    <cfRule type="expression" dxfId="3319" priority="2764">
      <formula>$AE155=1</formula>
    </cfRule>
  </conditionalFormatting>
  <conditionalFormatting sqref="X155:Y155">
    <cfRule type="expression" dxfId="3318" priority="2757">
      <formula>$AF155=4</formula>
    </cfRule>
    <cfRule type="expression" dxfId="3317" priority="2758">
      <formula>$AF155=3</formula>
    </cfRule>
    <cfRule type="expression" dxfId="3316" priority="2759">
      <formula>$AF155=2</formula>
    </cfRule>
    <cfRule type="expression" dxfId="3315" priority="2760">
      <formula>$AF155=1</formula>
    </cfRule>
  </conditionalFormatting>
  <conditionalFormatting sqref="X155:Y155">
    <cfRule type="expression" dxfId="3314" priority="2756">
      <formula>$AC155=2</formula>
    </cfRule>
  </conditionalFormatting>
  <conditionalFormatting sqref="J155:K155">
    <cfRule type="expression" dxfId="3313" priority="2747">
      <formula>$AD155=4</formula>
    </cfRule>
    <cfRule type="expression" dxfId="3312" priority="2748">
      <formula>$AD155=3</formula>
    </cfRule>
    <cfRule type="expression" dxfId="3311" priority="2749">
      <formula>$AD155=2</formula>
    </cfRule>
    <cfRule type="expression" dxfId="3310" priority="2750">
      <formula>$AD155=1</formula>
    </cfRule>
  </conditionalFormatting>
  <conditionalFormatting sqref="J155:K155">
    <cfRule type="expression" dxfId="3309" priority="2746">
      <formula>$AC155=2</formula>
    </cfRule>
  </conditionalFormatting>
  <conditionalFormatting sqref="L155">
    <cfRule type="expression" dxfId="3308" priority="2745">
      <formula>$AC155=2</formula>
    </cfRule>
  </conditionalFormatting>
  <conditionalFormatting sqref="O155">
    <cfRule type="expression" dxfId="3307" priority="2744">
      <formula>$AC155=2</formula>
    </cfRule>
  </conditionalFormatting>
  <conditionalFormatting sqref="V155">
    <cfRule type="expression" dxfId="3306" priority="2743">
      <formula>$AC155=2</formula>
    </cfRule>
  </conditionalFormatting>
  <conditionalFormatting sqref="Q157:R157">
    <cfRule type="expression" dxfId="3305" priority="2739">
      <formula>$AE157=4</formula>
    </cfRule>
    <cfRule type="expression" dxfId="3304" priority="2740">
      <formula>$AE157=3</formula>
    </cfRule>
    <cfRule type="expression" dxfId="3303" priority="2741">
      <formula>$AE157=2</formula>
    </cfRule>
    <cfRule type="expression" dxfId="3302" priority="2742">
      <formula>$AE157=1</formula>
    </cfRule>
  </conditionalFormatting>
  <conditionalFormatting sqref="X157:Y157">
    <cfRule type="expression" dxfId="3301" priority="2735">
      <formula>$AF157=4</formula>
    </cfRule>
    <cfRule type="expression" dxfId="3300" priority="2736">
      <formula>$AF157=3</formula>
    </cfRule>
    <cfRule type="expression" dxfId="3299" priority="2737">
      <formula>$AF157=2</formula>
    </cfRule>
    <cfRule type="expression" dxfId="3298" priority="2738">
      <formula>$AF157=1</formula>
    </cfRule>
  </conditionalFormatting>
  <conditionalFormatting sqref="X157:Y157">
    <cfRule type="expression" dxfId="3297" priority="2734">
      <formula>$AC157=2</formula>
    </cfRule>
  </conditionalFormatting>
  <conditionalFormatting sqref="J157:K157">
    <cfRule type="expression" dxfId="3296" priority="2725">
      <formula>$AD157=4</formula>
    </cfRule>
    <cfRule type="expression" dxfId="3295" priority="2726">
      <formula>$AD157=3</formula>
    </cfRule>
    <cfRule type="expression" dxfId="3294" priority="2727">
      <formula>$AD157=2</formula>
    </cfRule>
    <cfRule type="expression" dxfId="3293" priority="2728">
      <formula>$AD157=1</formula>
    </cfRule>
  </conditionalFormatting>
  <conditionalFormatting sqref="J157:K157">
    <cfRule type="expression" dxfId="3292" priority="2724">
      <formula>$AC157=2</formula>
    </cfRule>
  </conditionalFormatting>
  <conditionalFormatting sqref="L157">
    <cfRule type="expression" dxfId="3291" priority="2723">
      <formula>$AC157=2</formula>
    </cfRule>
  </conditionalFormatting>
  <conditionalFormatting sqref="O157">
    <cfRule type="expression" dxfId="3290" priority="2722">
      <formula>$AC157=2</formula>
    </cfRule>
  </conditionalFormatting>
  <conditionalFormatting sqref="V157">
    <cfRule type="expression" dxfId="3289" priority="2721">
      <formula>$AC157=2</formula>
    </cfRule>
  </conditionalFormatting>
  <conditionalFormatting sqref="Q159:R159">
    <cfRule type="expression" dxfId="3288" priority="2717">
      <formula>$AE159=4</formula>
    </cfRule>
    <cfRule type="expression" dxfId="3287" priority="2718">
      <formula>$AE159=3</formula>
    </cfRule>
    <cfRule type="expression" dxfId="3286" priority="2719">
      <formula>$AE159=2</formula>
    </cfRule>
    <cfRule type="expression" dxfId="3285" priority="2720">
      <formula>$AE159=1</formula>
    </cfRule>
  </conditionalFormatting>
  <conditionalFormatting sqref="X159:Y159">
    <cfRule type="expression" dxfId="3284" priority="2713">
      <formula>$AF159=4</formula>
    </cfRule>
    <cfRule type="expression" dxfId="3283" priority="2714">
      <formula>$AF159=3</formula>
    </cfRule>
    <cfRule type="expression" dxfId="3282" priority="2715">
      <formula>$AF159=2</formula>
    </cfRule>
    <cfRule type="expression" dxfId="3281" priority="2716">
      <formula>$AF159=1</formula>
    </cfRule>
  </conditionalFormatting>
  <conditionalFormatting sqref="X159:Y159">
    <cfRule type="expression" dxfId="3280" priority="2712">
      <formula>$AC159=2</formula>
    </cfRule>
  </conditionalFormatting>
  <conditionalFormatting sqref="J159:K159">
    <cfRule type="expression" dxfId="3279" priority="2703">
      <formula>$AD159=4</formula>
    </cfRule>
    <cfRule type="expression" dxfId="3278" priority="2704">
      <formula>$AD159=3</formula>
    </cfRule>
    <cfRule type="expression" dxfId="3277" priority="2705">
      <formula>$AD159=2</formula>
    </cfRule>
    <cfRule type="expression" dxfId="3276" priority="2706">
      <formula>$AD159=1</formula>
    </cfRule>
  </conditionalFormatting>
  <conditionalFormatting sqref="J159:K159">
    <cfRule type="expression" dxfId="3275" priority="2702">
      <formula>$AC159=2</formula>
    </cfRule>
  </conditionalFormatting>
  <conditionalFormatting sqref="L159">
    <cfRule type="expression" dxfId="3274" priority="2701">
      <formula>$AC159=2</formula>
    </cfRule>
  </conditionalFormatting>
  <conditionalFormatting sqref="O159">
    <cfRule type="expression" dxfId="3273" priority="2700">
      <formula>$AC159=2</formula>
    </cfRule>
  </conditionalFormatting>
  <conditionalFormatting sqref="V159">
    <cfRule type="expression" dxfId="3272" priority="2699">
      <formula>$AC159=2</formula>
    </cfRule>
  </conditionalFormatting>
  <conditionalFormatting sqref="Q167:R167">
    <cfRule type="expression" dxfId="3271" priority="2695">
      <formula>$AE167=4</formula>
    </cfRule>
    <cfRule type="expression" dxfId="3270" priority="2696">
      <formula>$AE167=3</formula>
    </cfRule>
    <cfRule type="expression" dxfId="3269" priority="2697">
      <formula>$AE167=2</formula>
    </cfRule>
    <cfRule type="expression" dxfId="3268" priority="2698">
      <formula>$AE167=1</formula>
    </cfRule>
  </conditionalFormatting>
  <conditionalFormatting sqref="X167:Y167">
    <cfRule type="expression" dxfId="3267" priority="2691">
      <formula>$AF167=4</formula>
    </cfRule>
    <cfRule type="expression" dxfId="3266" priority="2692">
      <formula>$AF167=3</formula>
    </cfRule>
    <cfRule type="expression" dxfId="3265" priority="2693">
      <formula>$AF167=2</formula>
    </cfRule>
    <cfRule type="expression" dxfId="3264" priority="2694">
      <formula>$AF167=1</formula>
    </cfRule>
  </conditionalFormatting>
  <conditionalFormatting sqref="X167:Y167">
    <cfRule type="expression" dxfId="3263" priority="2690">
      <formula>$AC167=2</formula>
    </cfRule>
  </conditionalFormatting>
  <conditionalFormatting sqref="J167:K167">
    <cfRule type="expression" dxfId="3262" priority="2681">
      <formula>$AD167=4</formula>
    </cfRule>
    <cfRule type="expression" dxfId="3261" priority="2682">
      <formula>$AD167=3</formula>
    </cfRule>
    <cfRule type="expression" dxfId="3260" priority="2683">
      <formula>$AD167=2</formula>
    </cfRule>
    <cfRule type="expression" dxfId="3259" priority="2684">
      <formula>$AD167=1</formula>
    </cfRule>
  </conditionalFormatting>
  <conditionalFormatting sqref="J167:K167">
    <cfRule type="expression" dxfId="3258" priority="2680">
      <formula>$AC167=2</formula>
    </cfRule>
  </conditionalFormatting>
  <conditionalFormatting sqref="L167">
    <cfRule type="expression" dxfId="3257" priority="2679">
      <formula>$AC167=2</formula>
    </cfRule>
  </conditionalFormatting>
  <conditionalFormatting sqref="O167">
    <cfRule type="expression" dxfId="3256" priority="2678">
      <formula>$AC167=2</formula>
    </cfRule>
  </conditionalFormatting>
  <conditionalFormatting sqref="V167">
    <cfRule type="expression" dxfId="3255" priority="2677">
      <formula>$AC167=2</formula>
    </cfRule>
  </conditionalFormatting>
  <conditionalFormatting sqref="Q171:R172">
    <cfRule type="expression" dxfId="3254" priority="2673">
      <formula>$AE171=4</formula>
    </cfRule>
    <cfRule type="expression" dxfId="3253" priority="2674">
      <formula>$AE171=3</formula>
    </cfRule>
    <cfRule type="expression" dxfId="3252" priority="2675">
      <formula>$AE171=2</formula>
    </cfRule>
    <cfRule type="expression" dxfId="3251" priority="2676">
      <formula>$AE171=1</formula>
    </cfRule>
  </conditionalFormatting>
  <conditionalFormatting sqref="X171:Y172">
    <cfRule type="expression" dxfId="3250" priority="2669">
      <formula>$AF171=4</formula>
    </cfRule>
    <cfRule type="expression" dxfId="3249" priority="2670">
      <formula>$AF171=3</formula>
    </cfRule>
    <cfRule type="expression" dxfId="3248" priority="2671">
      <formula>$AF171=2</formula>
    </cfRule>
    <cfRule type="expression" dxfId="3247" priority="2672">
      <formula>$AF171=1</formula>
    </cfRule>
  </conditionalFormatting>
  <conditionalFormatting sqref="X171:Y172">
    <cfRule type="expression" dxfId="3246" priority="2668">
      <formula>$AC171=2</formula>
    </cfRule>
  </conditionalFormatting>
  <conditionalFormatting sqref="J171:K172">
    <cfRule type="expression" dxfId="3245" priority="2659">
      <formula>$AD171=4</formula>
    </cfRule>
    <cfRule type="expression" dxfId="3244" priority="2660">
      <formula>$AD171=3</formula>
    </cfRule>
    <cfRule type="expression" dxfId="3243" priority="2661">
      <formula>$AD171=2</formula>
    </cfRule>
    <cfRule type="expression" dxfId="3242" priority="2662">
      <formula>$AD171=1</formula>
    </cfRule>
  </conditionalFormatting>
  <conditionalFormatting sqref="J171:K172">
    <cfRule type="expression" dxfId="3241" priority="2658">
      <formula>$AC171=2</formula>
    </cfRule>
  </conditionalFormatting>
  <conditionalFormatting sqref="L171:L172">
    <cfRule type="expression" dxfId="3240" priority="2657">
      <formula>$AC171=2</formula>
    </cfRule>
  </conditionalFormatting>
  <conditionalFormatting sqref="O171:O172">
    <cfRule type="expression" dxfId="3239" priority="2656">
      <formula>$AC171=2</formula>
    </cfRule>
  </conditionalFormatting>
  <conditionalFormatting sqref="V171:V172">
    <cfRule type="expression" dxfId="3238" priority="2655">
      <formula>$AC171=2</formula>
    </cfRule>
  </conditionalFormatting>
  <conditionalFormatting sqref="Q175:R175">
    <cfRule type="expression" dxfId="3237" priority="2651">
      <formula>$AE175=4</formula>
    </cfRule>
    <cfRule type="expression" dxfId="3236" priority="2652">
      <formula>$AE175=3</formula>
    </cfRule>
    <cfRule type="expression" dxfId="3235" priority="2653">
      <formula>$AE175=2</formula>
    </cfRule>
    <cfRule type="expression" dxfId="3234" priority="2654">
      <formula>$AE175=1</formula>
    </cfRule>
  </conditionalFormatting>
  <conditionalFormatting sqref="X175:Y175">
    <cfRule type="expression" dxfId="3233" priority="2647">
      <formula>$AF175=4</formula>
    </cfRule>
    <cfRule type="expression" dxfId="3232" priority="2648">
      <formula>$AF175=3</formula>
    </cfRule>
    <cfRule type="expression" dxfId="3231" priority="2649">
      <formula>$AF175=2</formula>
    </cfRule>
    <cfRule type="expression" dxfId="3230" priority="2650">
      <formula>$AF175=1</formula>
    </cfRule>
  </conditionalFormatting>
  <conditionalFormatting sqref="X175:Y175">
    <cfRule type="expression" dxfId="3229" priority="2646">
      <formula>$AC175=2</formula>
    </cfRule>
  </conditionalFormatting>
  <conditionalFormatting sqref="J175:K175">
    <cfRule type="expression" dxfId="3228" priority="2637">
      <formula>$AD175=4</formula>
    </cfRule>
    <cfRule type="expression" dxfId="3227" priority="2638">
      <formula>$AD175=3</formula>
    </cfRule>
    <cfRule type="expression" dxfId="3226" priority="2639">
      <formula>$AD175=2</formula>
    </cfRule>
    <cfRule type="expression" dxfId="3225" priority="2640">
      <formula>$AD175=1</formula>
    </cfRule>
  </conditionalFormatting>
  <conditionalFormatting sqref="J175:K175">
    <cfRule type="expression" dxfId="3224" priority="2636">
      <formula>$AC175=2</formula>
    </cfRule>
  </conditionalFormatting>
  <conditionalFormatting sqref="L175">
    <cfRule type="expression" dxfId="3223" priority="2635">
      <formula>$AC175=2</formula>
    </cfRule>
  </conditionalFormatting>
  <conditionalFormatting sqref="O175">
    <cfRule type="expression" dxfId="3222" priority="2634">
      <formula>$AC175=2</formula>
    </cfRule>
  </conditionalFormatting>
  <conditionalFormatting sqref="V175">
    <cfRule type="expression" dxfId="3221" priority="2633">
      <formula>$AC175=2</formula>
    </cfRule>
  </conditionalFormatting>
  <conditionalFormatting sqref="Q179:R179">
    <cfRule type="expression" dxfId="3220" priority="2629">
      <formula>$AE179=4</formula>
    </cfRule>
    <cfRule type="expression" dxfId="3219" priority="2630">
      <formula>$AE179=3</formula>
    </cfRule>
    <cfRule type="expression" dxfId="3218" priority="2631">
      <formula>$AE179=2</formula>
    </cfRule>
    <cfRule type="expression" dxfId="3217" priority="2632">
      <formula>$AE179=1</formula>
    </cfRule>
  </conditionalFormatting>
  <conditionalFormatting sqref="X179:Y179">
    <cfRule type="expression" dxfId="3216" priority="2625">
      <formula>$AF179=4</formula>
    </cfRule>
    <cfRule type="expression" dxfId="3215" priority="2626">
      <formula>$AF179=3</formula>
    </cfRule>
    <cfRule type="expression" dxfId="3214" priority="2627">
      <formula>$AF179=2</formula>
    </cfRule>
    <cfRule type="expression" dxfId="3213" priority="2628">
      <formula>$AF179=1</formula>
    </cfRule>
  </conditionalFormatting>
  <conditionalFormatting sqref="X179:Y179">
    <cfRule type="expression" dxfId="3212" priority="2624">
      <formula>$AC179=2</formula>
    </cfRule>
  </conditionalFormatting>
  <conditionalFormatting sqref="J179:K179">
    <cfRule type="expression" dxfId="3211" priority="2615">
      <formula>$AD179=4</formula>
    </cfRule>
    <cfRule type="expression" dxfId="3210" priority="2616">
      <formula>$AD179=3</formula>
    </cfRule>
    <cfRule type="expression" dxfId="3209" priority="2617">
      <formula>$AD179=2</formula>
    </cfRule>
    <cfRule type="expression" dxfId="3208" priority="2618">
      <formula>$AD179=1</formula>
    </cfRule>
  </conditionalFormatting>
  <conditionalFormatting sqref="J179:K179">
    <cfRule type="expression" dxfId="3207" priority="2614">
      <formula>$AC179=2</formula>
    </cfRule>
  </conditionalFormatting>
  <conditionalFormatting sqref="L179">
    <cfRule type="expression" dxfId="3206" priority="2613">
      <formula>$AC179=2</formula>
    </cfRule>
  </conditionalFormatting>
  <conditionalFormatting sqref="O179">
    <cfRule type="expression" dxfId="3205" priority="2612">
      <formula>$AC179=2</formula>
    </cfRule>
  </conditionalFormatting>
  <conditionalFormatting sqref="V179">
    <cfRule type="expression" dxfId="3204" priority="2611">
      <formula>$AC179=2</formula>
    </cfRule>
  </conditionalFormatting>
  <conditionalFormatting sqref="Q183:R183">
    <cfRule type="expression" dxfId="3203" priority="2607">
      <formula>$AE183=4</formula>
    </cfRule>
    <cfRule type="expression" dxfId="3202" priority="2608">
      <formula>$AE183=3</formula>
    </cfRule>
    <cfRule type="expression" dxfId="3201" priority="2609">
      <formula>$AE183=2</formula>
    </cfRule>
    <cfRule type="expression" dxfId="3200" priority="2610">
      <formula>$AE183=1</formula>
    </cfRule>
  </conditionalFormatting>
  <conditionalFormatting sqref="X183:Y183">
    <cfRule type="expression" dxfId="3199" priority="2603">
      <formula>$AF183=4</formula>
    </cfRule>
    <cfRule type="expression" dxfId="3198" priority="2604">
      <formula>$AF183=3</formula>
    </cfRule>
    <cfRule type="expression" dxfId="3197" priority="2605">
      <formula>$AF183=2</formula>
    </cfRule>
    <cfRule type="expression" dxfId="3196" priority="2606">
      <formula>$AF183=1</formula>
    </cfRule>
  </conditionalFormatting>
  <conditionalFormatting sqref="X183:Y183">
    <cfRule type="expression" dxfId="3195" priority="2602">
      <formula>$AC183=2</formula>
    </cfRule>
  </conditionalFormatting>
  <conditionalFormatting sqref="J183:K183">
    <cfRule type="expression" dxfId="3194" priority="2593">
      <formula>$AD183=4</formula>
    </cfRule>
    <cfRule type="expression" dxfId="3193" priority="2594">
      <formula>$AD183=3</formula>
    </cfRule>
    <cfRule type="expression" dxfId="3192" priority="2595">
      <formula>$AD183=2</formula>
    </cfRule>
    <cfRule type="expression" dxfId="3191" priority="2596">
      <formula>$AD183=1</formula>
    </cfRule>
  </conditionalFormatting>
  <conditionalFormatting sqref="J183:K183">
    <cfRule type="expression" dxfId="3190" priority="2592">
      <formula>$AC183=2</formula>
    </cfRule>
  </conditionalFormatting>
  <conditionalFormatting sqref="L183">
    <cfRule type="expression" dxfId="3189" priority="2591">
      <formula>$AC183=2</formula>
    </cfRule>
  </conditionalFormatting>
  <conditionalFormatting sqref="O183">
    <cfRule type="expression" dxfId="3188" priority="2590">
      <formula>$AC183=2</formula>
    </cfRule>
  </conditionalFormatting>
  <conditionalFormatting sqref="V183">
    <cfRule type="expression" dxfId="3187" priority="2589">
      <formula>$AC183=2</formula>
    </cfRule>
  </conditionalFormatting>
  <conditionalFormatting sqref="Q185:R185">
    <cfRule type="expression" dxfId="3186" priority="2585">
      <formula>$AE185=4</formula>
    </cfRule>
    <cfRule type="expression" dxfId="3185" priority="2586">
      <formula>$AE185=3</formula>
    </cfRule>
    <cfRule type="expression" dxfId="3184" priority="2587">
      <formula>$AE185=2</formula>
    </cfRule>
    <cfRule type="expression" dxfId="3183" priority="2588">
      <formula>$AE185=1</formula>
    </cfRule>
  </conditionalFormatting>
  <conditionalFormatting sqref="X185:Y185">
    <cfRule type="expression" dxfId="3182" priority="2581">
      <formula>$AF185=4</formula>
    </cfRule>
    <cfRule type="expression" dxfId="3181" priority="2582">
      <formula>$AF185=3</formula>
    </cfRule>
    <cfRule type="expression" dxfId="3180" priority="2583">
      <formula>$AF185=2</formula>
    </cfRule>
    <cfRule type="expression" dxfId="3179" priority="2584">
      <formula>$AF185=1</formula>
    </cfRule>
  </conditionalFormatting>
  <conditionalFormatting sqref="X185:Y185">
    <cfRule type="expression" dxfId="3178" priority="2580">
      <formula>$AC185=2</formula>
    </cfRule>
  </conditionalFormatting>
  <conditionalFormatting sqref="J185:K185">
    <cfRule type="expression" dxfId="3177" priority="2571">
      <formula>$AD185=4</formula>
    </cfRule>
    <cfRule type="expression" dxfId="3176" priority="2572">
      <formula>$AD185=3</formula>
    </cfRule>
    <cfRule type="expression" dxfId="3175" priority="2573">
      <formula>$AD185=2</formula>
    </cfRule>
    <cfRule type="expression" dxfId="3174" priority="2574">
      <formula>$AD185=1</formula>
    </cfRule>
  </conditionalFormatting>
  <conditionalFormatting sqref="J185:K185">
    <cfRule type="expression" dxfId="3173" priority="2570">
      <formula>$AC185=2</formula>
    </cfRule>
  </conditionalFormatting>
  <conditionalFormatting sqref="L185">
    <cfRule type="expression" dxfId="3172" priority="2569">
      <formula>$AC185=2</formula>
    </cfRule>
  </conditionalFormatting>
  <conditionalFormatting sqref="O185">
    <cfRule type="expression" dxfId="3171" priority="2568">
      <formula>$AC185=2</formula>
    </cfRule>
  </conditionalFormatting>
  <conditionalFormatting sqref="V185">
    <cfRule type="expression" dxfId="3170" priority="2567">
      <formula>$AC185=2</formula>
    </cfRule>
  </conditionalFormatting>
  <conditionalFormatting sqref="Q188:R188">
    <cfRule type="expression" dxfId="3169" priority="2563">
      <formula>$AE188=4</formula>
    </cfRule>
    <cfRule type="expression" dxfId="3168" priority="2564">
      <formula>$AE188=3</formula>
    </cfRule>
    <cfRule type="expression" dxfId="3167" priority="2565">
      <formula>$AE188=2</formula>
    </cfRule>
    <cfRule type="expression" dxfId="3166" priority="2566">
      <formula>$AE188=1</formula>
    </cfRule>
  </conditionalFormatting>
  <conditionalFormatting sqref="X188:Y188">
    <cfRule type="expression" dxfId="3165" priority="2559">
      <formula>$AF188=4</formula>
    </cfRule>
    <cfRule type="expression" dxfId="3164" priority="2560">
      <formula>$AF188=3</formula>
    </cfRule>
    <cfRule type="expression" dxfId="3163" priority="2561">
      <formula>$AF188=2</formula>
    </cfRule>
    <cfRule type="expression" dxfId="3162" priority="2562">
      <formula>$AF188=1</formula>
    </cfRule>
  </conditionalFormatting>
  <conditionalFormatting sqref="X188:Y188">
    <cfRule type="expression" dxfId="3161" priority="2558">
      <formula>$AC188=2</formula>
    </cfRule>
  </conditionalFormatting>
  <conditionalFormatting sqref="J188:K188">
    <cfRule type="expression" dxfId="3160" priority="2549">
      <formula>$AD188=4</formula>
    </cfRule>
    <cfRule type="expression" dxfId="3159" priority="2550">
      <formula>$AD188=3</formula>
    </cfRule>
    <cfRule type="expression" dxfId="3158" priority="2551">
      <formula>$AD188=2</formula>
    </cfRule>
    <cfRule type="expression" dxfId="3157" priority="2552">
      <formula>$AD188=1</formula>
    </cfRule>
  </conditionalFormatting>
  <conditionalFormatting sqref="J188:K188">
    <cfRule type="expression" dxfId="3156" priority="2548">
      <formula>$AC188=2</formula>
    </cfRule>
  </conditionalFormatting>
  <conditionalFormatting sqref="L188">
    <cfRule type="expression" dxfId="3155" priority="2547">
      <formula>$AC188=2</formula>
    </cfRule>
  </conditionalFormatting>
  <conditionalFormatting sqref="O188">
    <cfRule type="expression" dxfId="3154" priority="2546">
      <formula>$AC188=2</formula>
    </cfRule>
  </conditionalFormatting>
  <conditionalFormatting sqref="V188">
    <cfRule type="expression" dxfId="3153" priority="2545">
      <formula>$AC188=2</formula>
    </cfRule>
  </conditionalFormatting>
  <conditionalFormatting sqref="Q201:R201">
    <cfRule type="expression" dxfId="3152" priority="2541">
      <formula>$AE201=4</formula>
    </cfRule>
    <cfRule type="expression" dxfId="3151" priority="2542">
      <formula>$AE201=3</formula>
    </cfRule>
    <cfRule type="expression" dxfId="3150" priority="2543">
      <formula>$AE201=2</formula>
    </cfRule>
    <cfRule type="expression" dxfId="3149" priority="2544">
      <formula>$AE201=1</formula>
    </cfRule>
  </conditionalFormatting>
  <conditionalFormatting sqref="X201:Y201">
    <cfRule type="expression" dxfId="3148" priority="2537">
      <formula>$AF201=4</formula>
    </cfRule>
    <cfRule type="expression" dxfId="3147" priority="2538">
      <formula>$AF201=3</formula>
    </cfRule>
    <cfRule type="expression" dxfId="3146" priority="2539">
      <formula>$AF201=2</formula>
    </cfRule>
    <cfRule type="expression" dxfId="3145" priority="2540">
      <formula>$AF201=1</formula>
    </cfRule>
  </conditionalFormatting>
  <conditionalFormatting sqref="X201:Y201">
    <cfRule type="expression" dxfId="3144" priority="2536">
      <formula>$AC201=2</formula>
    </cfRule>
  </conditionalFormatting>
  <conditionalFormatting sqref="J201:K201">
    <cfRule type="expression" dxfId="3143" priority="2527">
      <formula>$AD201=4</formula>
    </cfRule>
    <cfRule type="expression" dxfId="3142" priority="2528">
      <formula>$AD201=3</formula>
    </cfRule>
    <cfRule type="expression" dxfId="3141" priority="2529">
      <formula>$AD201=2</formula>
    </cfRule>
    <cfRule type="expression" dxfId="3140" priority="2530">
      <formula>$AD201=1</formula>
    </cfRule>
  </conditionalFormatting>
  <conditionalFormatting sqref="J201:K201">
    <cfRule type="expression" dxfId="3139" priority="2526">
      <formula>$AC201=2</formula>
    </cfRule>
  </conditionalFormatting>
  <conditionalFormatting sqref="L201">
    <cfRule type="expression" dxfId="3138" priority="2525">
      <formula>$AC201=2</formula>
    </cfRule>
  </conditionalFormatting>
  <conditionalFormatting sqref="O201">
    <cfRule type="expression" dxfId="3137" priority="2524">
      <formula>$AC201=2</formula>
    </cfRule>
  </conditionalFormatting>
  <conditionalFormatting sqref="V201">
    <cfRule type="expression" dxfId="3136" priority="2523">
      <formula>$AC201=2</formula>
    </cfRule>
  </conditionalFormatting>
  <conditionalFormatting sqref="Q204:R204">
    <cfRule type="expression" dxfId="3135" priority="2519">
      <formula>$AE204=4</formula>
    </cfRule>
    <cfRule type="expression" dxfId="3134" priority="2520">
      <formula>$AE204=3</formula>
    </cfRule>
    <cfRule type="expression" dxfId="3133" priority="2521">
      <formula>$AE204=2</formula>
    </cfRule>
    <cfRule type="expression" dxfId="3132" priority="2522">
      <formula>$AE204=1</formula>
    </cfRule>
  </conditionalFormatting>
  <conditionalFormatting sqref="X204:Y204">
    <cfRule type="expression" dxfId="3131" priority="2515">
      <formula>$AF204=4</formula>
    </cfRule>
    <cfRule type="expression" dxfId="3130" priority="2516">
      <formula>$AF204=3</formula>
    </cfRule>
    <cfRule type="expression" dxfId="3129" priority="2517">
      <formula>$AF204=2</formula>
    </cfRule>
    <cfRule type="expression" dxfId="3128" priority="2518">
      <formula>$AF204=1</formula>
    </cfRule>
  </conditionalFormatting>
  <conditionalFormatting sqref="X204:Y204">
    <cfRule type="expression" dxfId="3127" priority="2514">
      <formula>$AC204=2</formula>
    </cfRule>
  </conditionalFormatting>
  <conditionalFormatting sqref="J204:K204">
    <cfRule type="expression" dxfId="3126" priority="2505">
      <formula>$AD204=4</formula>
    </cfRule>
    <cfRule type="expression" dxfId="3125" priority="2506">
      <formula>$AD204=3</formula>
    </cfRule>
    <cfRule type="expression" dxfId="3124" priority="2507">
      <formula>$AD204=2</formula>
    </cfRule>
    <cfRule type="expression" dxfId="3123" priority="2508">
      <formula>$AD204=1</formula>
    </cfRule>
  </conditionalFormatting>
  <conditionalFormatting sqref="J204:K204">
    <cfRule type="expression" dxfId="3122" priority="2504">
      <formula>$AC204=2</formula>
    </cfRule>
  </conditionalFormatting>
  <conditionalFormatting sqref="L204">
    <cfRule type="expression" dxfId="3121" priority="2503">
      <formula>$AC204=2</formula>
    </cfRule>
  </conditionalFormatting>
  <conditionalFormatting sqref="O204">
    <cfRule type="expression" dxfId="3120" priority="2502">
      <formula>$AC204=2</formula>
    </cfRule>
  </conditionalFormatting>
  <conditionalFormatting sqref="V204">
    <cfRule type="expression" dxfId="3119" priority="2501">
      <formula>$AC204=2</formula>
    </cfRule>
  </conditionalFormatting>
  <conditionalFormatting sqref="Q207:R207">
    <cfRule type="expression" dxfId="3118" priority="2497">
      <formula>$AE207=4</formula>
    </cfRule>
    <cfRule type="expression" dxfId="3117" priority="2498">
      <formula>$AE207=3</formula>
    </cfRule>
    <cfRule type="expression" dxfId="3116" priority="2499">
      <formula>$AE207=2</formula>
    </cfRule>
    <cfRule type="expression" dxfId="3115" priority="2500">
      <formula>$AE207=1</formula>
    </cfRule>
  </conditionalFormatting>
  <conditionalFormatting sqref="X207:Y207">
    <cfRule type="expression" dxfId="3114" priority="2493">
      <formula>$AF207=4</formula>
    </cfRule>
    <cfRule type="expression" dxfId="3113" priority="2494">
      <formula>$AF207=3</formula>
    </cfRule>
    <cfRule type="expression" dxfId="3112" priority="2495">
      <formula>$AF207=2</formula>
    </cfRule>
    <cfRule type="expression" dxfId="3111" priority="2496">
      <formula>$AF207=1</formula>
    </cfRule>
  </conditionalFormatting>
  <conditionalFormatting sqref="X207:Y207">
    <cfRule type="expression" dxfId="3110" priority="2492">
      <formula>$AC207=2</formula>
    </cfRule>
  </conditionalFormatting>
  <conditionalFormatting sqref="J207:K207">
    <cfRule type="expression" dxfId="3109" priority="2483">
      <formula>$AD207=4</formula>
    </cfRule>
    <cfRule type="expression" dxfId="3108" priority="2484">
      <formula>$AD207=3</formula>
    </cfRule>
    <cfRule type="expression" dxfId="3107" priority="2485">
      <formula>$AD207=2</formula>
    </cfRule>
    <cfRule type="expression" dxfId="3106" priority="2486">
      <formula>$AD207=1</formula>
    </cfRule>
  </conditionalFormatting>
  <conditionalFormatting sqref="J207:K207">
    <cfRule type="expression" dxfId="3105" priority="2482">
      <formula>$AC207=2</formula>
    </cfRule>
  </conditionalFormatting>
  <conditionalFormatting sqref="L207">
    <cfRule type="expression" dxfId="3104" priority="2481">
      <formula>$AC207=2</formula>
    </cfRule>
  </conditionalFormatting>
  <conditionalFormatting sqref="O207">
    <cfRule type="expression" dxfId="3103" priority="2480">
      <formula>$AC207=2</formula>
    </cfRule>
  </conditionalFormatting>
  <conditionalFormatting sqref="V207">
    <cfRule type="expression" dxfId="3102" priority="2479">
      <formula>$AC207=2</formula>
    </cfRule>
  </conditionalFormatting>
  <conditionalFormatting sqref="Q41:R45">
    <cfRule type="expression" dxfId="3101" priority="2475">
      <formula>$AE41=4</formula>
    </cfRule>
    <cfRule type="expression" dxfId="3100" priority="2476">
      <formula>$AE41=3</formula>
    </cfRule>
    <cfRule type="expression" dxfId="3099" priority="2477">
      <formula>$AE41=2</formula>
    </cfRule>
    <cfRule type="expression" dxfId="3098" priority="2478">
      <formula>$AE41=1</formula>
    </cfRule>
  </conditionalFormatting>
  <conditionalFormatting sqref="X41:Y45">
    <cfRule type="expression" dxfId="3097" priority="2471">
      <formula>$AF41=4</formula>
    </cfRule>
    <cfRule type="expression" dxfId="3096" priority="2472">
      <formula>$AF41=3</formula>
    </cfRule>
    <cfRule type="expression" dxfId="3095" priority="2473">
      <formula>$AF41=2</formula>
    </cfRule>
    <cfRule type="expression" dxfId="3094" priority="2474">
      <formula>$AF41=1</formula>
    </cfRule>
  </conditionalFormatting>
  <conditionalFormatting sqref="N41:N45">
    <cfRule type="expression" dxfId="3093" priority="2470">
      <formula>$AC41=2</formula>
    </cfRule>
  </conditionalFormatting>
  <conditionalFormatting sqref="N41:N45">
    <cfRule type="expression" dxfId="3092" priority="2469">
      <formula>N41&gt;F41</formula>
    </cfRule>
  </conditionalFormatting>
  <conditionalFormatting sqref="G41:G45">
    <cfRule type="expression" dxfId="3091" priority="2456">
      <formula>G41&gt;F41</formula>
    </cfRule>
  </conditionalFormatting>
  <conditionalFormatting sqref="J41:K45">
    <cfRule type="expression" dxfId="3090" priority="2460">
      <formula>$AD41=4</formula>
    </cfRule>
    <cfRule type="expression" dxfId="3089" priority="2461">
      <formula>$AD41=3</formula>
    </cfRule>
    <cfRule type="expression" dxfId="3088" priority="2462">
      <formula>$AD41=2</formula>
    </cfRule>
    <cfRule type="expression" dxfId="3087" priority="2463">
      <formula>$AD41=1</formula>
    </cfRule>
  </conditionalFormatting>
  <conditionalFormatting sqref="J41:K45">
    <cfRule type="expression" dxfId="3086" priority="2459">
      <formula>$AC41=2</formula>
    </cfRule>
  </conditionalFormatting>
  <conditionalFormatting sqref="L41:L45">
    <cfRule type="expression" dxfId="3085" priority="2458">
      <formula>$AC41=2</formula>
    </cfRule>
  </conditionalFormatting>
  <conditionalFormatting sqref="G41:G45">
    <cfRule type="expression" dxfId="3084" priority="2457">
      <formula>$AC41=2</formula>
    </cfRule>
  </conditionalFormatting>
  <conditionalFormatting sqref="O41:O45">
    <cfRule type="expression" dxfId="3083" priority="2455">
      <formula>$AC41=2</formula>
    </cfRule>
  </conditionalFormatting>
  <conditionalFormatting sqref="V41:V45">
    <cfRule type="expression" dxfId="3082" priority="2454">
      <formula>$AC41=2</formula>
    </cfRule>
  </conditionalFormatting>
  <conditionalFormatting sqref="U41:U45">
    <cfRule type="expression" dxfId="3081" priority="2453">
      <formula>$AC41=2</formula>
    </cfRule>
  </conditionalFormatting>
  <conditionalFormatting sqref="U41:U45">
    <cfRule type="expression" dxfId="3080" priority="2452">
      <formula>U41&gt;F41</formula>
    </cfRule>
  </conditionalFormatting>
  <conditionalFormatting sqref="Q47:R50">
    <cfRule type="expression" dxfId="3079" priority="2446">
      <formula>$AE47=4</formula>
    </cfRule>
    <cfRule type="expression" dxfId="3078" priority="2447">
      <formula>$AE47=3</formula>
    </cfRule>
    <cfRule type="expression" dxfId="3077" priority="2448">
      <formula>$AE47=2</formula>
    </cfRule>
    <cfRule type="expression" dxfId="3076" priority="2449">
      <formula>$AE47=1</formula>
    </cfRule>
  </conditionalFormatting>
  <conditionalFormatting sqref="X47:Y50">
    <cfRule type="expression" dxfId="3075" priority="2442">
      <formula>$AF47=4</formula>
    </cfRule>
    <cfRule type="expression" dxfId="3074" priority="2443">
      <formula>$AF47=3</formula>
    </cfRule>
    <cfRule type="expression" dxfId="3073" priority="2444">
      <formula>$AF47=2</formula>
    </cfRule>
    <cfRule type="expression" dxfId="3072" priority="2445">
      <formula>$AF47=1</formula>
    </cfRule>
  </conditionalFormatting>
  <conditionalFormatting sqref="N47:N50">
    <cfRule type="expression" dxfId="3071" priority="2441">
      <formula>$AC47=2</formula>
    </cfRule>
  </conditionalFormatting>
  <conditionalFormatting sqref="N47:N50">
    <cfRule type="expression" dxfId="3070" priority="2440">
      <formula>N47&gt;F47</formula>
    </cfRule>
  </conditionalFormatting>
  <conditionalFormatting sqref="G48:G50">
    <cfRule type="expression" dxfId="3069" priority="2427">
      <formula>G48&gt;F48</formula>
    </cfRule>
  </conditionalFormatting>
  <conditionalFormatting sqref="J47:K50">
    <cfRule type="expression" dxfId="3068" priority="2431">
      <formula>$AD47=4</formula>
    </cfRule>
    <cfRule type="expression" dxfId="3067" priority="2432">
      <formula>$AD47=3</formula>
    </cfRule>
    <cfRule type="expression" dxfId="3066" priority="2433">
      <formula>$AD47=2</formula>
    </cfRule>
    <cfRule type="expression" dxfId="3065" priority="2434">
      <formula>$AD47=1</formula>
    </cfRule>
  </conditionalFormatting>
  <conditionalFormatting sqref="J47:K50">
    <cfRule type="expression" dxfId="3064" priority="2430">
      <formula>$AC47=2</formula>
    </cfRule>
  </conditionalFormatting>
  <conditionalFormatting sqref="L47:L50">
    <cfRule type="expression" dxfId="3063" priority="2429">
      <formula>$AC47=2</formula>
    </cfRule>
  </conditionalFormatting>
  <conditionalFormatting sqref="G48:G50">
    <cfRule type="expression" dxfId="3062" priority="2428">
      <formula>$AC48=2</formula>
    </cfRule>
  </conditionalFormatting>
  <conditionalFormatting sqref="O47:O50">
    <cfRule type="expression" dxfId="3061" priority="2426">
      <formula>$AC47=2</formula>
    </cfRule>
  </conditionalFormatting>
  <conditionalFormatting sqref="V47:V50">
    <cfRule type="expression" dxfId="3060" priority="2425">
      <formula>$AC47=2</formula>
    </cfRule>
  </conditionalFormatting>
  <conditionalFormatting sqref="U47:U50">
    <cfRule type="expression" dxfId="3059" priority="2424">
      <formula>$AC47=2</formula>
    </cfRule>
  </conditionalFormatting>
  <conditionalFormatting sqref="U47:U50">
    <cfRule type="expression" dxfId="3058" priority="2423">
      <formula>U47&gt;F47</formula>
    </cfRule>
  </conditionalFormatting>
  <conditionalFormatting sqref="Q52:R54">
    <cfRule type="expression" dxfId="3057" priority="2417">
      <formula>$AE52=4</formula>
    </cfRule>
    <cfRule type="expression" dxfId="3056" priority="2418">
      <formula>$AE52=3</formula>
    </cfRule>
    <cfRule type="expression" dxfId="3055" priority="2419">
      <formula>$AE52=2</formula>
    </cfRule>
    <cfRule type="expression" dxfId="3054" priority="2420">
      <formula>$AE52=1</formula>
    </cfRule>
  </conditionalFormatting>
  <conditionalFormatting sqref="X52:Y54">
    <cfRule type="expression" dxfId="3053" priority="2413">
      <formula>$AF52=4</formula>
    </cfRule>
    <cfRule type="expression" dxfId="3052" priority="2414">
      <formula>$AF52=3</formula>
    </cfRule>
    <cfRule type="expression" dxfId="3051" priority="2415">
      <formula>$AF52=2</formula>
    </cfRule>
    <cfRule type="expression" dxfId="3050" priority="2416">
      <formula>$AF52=1</formula>
    </cfRule>
  </conditionalFormatting>
  <conditionalFormatting sqref="N52:N54">
    <cfRule type="expression" dxfId="3049" priority="2412">
      <formula>$AC52=2</formula>
    </cfRule>
  </conditionalFormatting>
  <conditionalFormatting sqref="N52:N54">
    <cfRule type="expression" dxfId="3048" priority="2411">
      <formula>N52&gt;F52</formula>
    </cfRule>
  </conditionalFormatting>
  <conditionalFormatting sqref="G52:G54">
    <cfRule type="expression" dxfId="3047" priority="2398">
      <formula>G52&gt;F52</formula>
    </cfRule>
  </conditionalFormatting>
  <conditionalFormatting sqref="J52:K54">
    <cfRule type="expression" dxfId="3046" priority="2402">
      <formula>$AD52=4</formula>
    </cfRule>
    <cfRule type="expression" dxfId="3045" priority="2403">
      <formula>$AD52=3</formula>
    </cfRule>
    <cfRule type="expression" dxfId="3044" priority="2404">
      <formula>$AD52=2</formula>
    </cfRule>
    <cfRule type="expression" dxfId="3043" priority="2405">
      <formula>$AD52=1</formula>
    </cfRule>
  </conditionalFormatting>
  <conditionalFormatting sqref="J52:K54">
    <cfRule type="expression" dxfId="3042" priority="2401">
      <formula>$AC52=2</formula>
    </cfRule>
  </conditionalFormatting>
  <conditionalFormatting sqref="L52:L54">
    <cfRule type="expression" dxfId="3041" priority="2400">
      <formula>$AC52=2</formula>
    </cfRule>
  </conditionalFormatting>
  <conditionalFormatting sqref="G52:G54">
    <cfRule type="expression" dxfId="3040" priority="2399">
      <formula>$AC52=2</formula>
    </cfRule>
  </conditionalFormatting>
  <conditionalFormatting sqref="O52:O54">
    <cfRule type="expression" dxfId="3039" priority="2397">
      <formula>$AC52=2</formula>
    </cfRule>
  </conditionalFormatting>
  <conditionalFormatting sqref="V52:V54">
    <cfRule type="expression" dxfId="3038" priority="2396">
      <formula>$AC52=2</formula>
    </cfRule>
  </conditionalFormatting>
  <conditionalFormatting sqref="U52:U54">
    <cfRule type="expression" dxfId="3037" priority="2394">
      <formula>U52&gt;F52</formula>
    </cfRule>
  </conditionalFormatting>
  <conditionalFormatting sqref="Q56:R57">
    <cfRule type="expression" dxfId="3036" priority="2388">
      <formula>$AE56=4</formula>
    </cfRule>
    <cfRule type="expression" dxfId="3035" priority="2389">
      <formula>$AE56=3</formula>
    </cfRule>
    <cfRule type="expression" dxfId="3034" priority="2390">
      <formula>$AE56=2</formula>
    </cfRule>
    <cfRule type="expression" dxfId="3033" priority="2391">
      <formula>$AE56=1</formula>
    </cfRule>
  </conditionalFormatting>
  <conditionalFormatting sqref="X56:Y57">
    <cfRule type="expression" dxfId="3032" priority="2384">
      <formula>$AF56=4</formula>
    </cfRule>
    <cfRule type="expression" dxfId="3031" priority="2385">
      <formula>$AF56=3</formula>
    </cfRule>
    <cfRule type="expression" dxfId="3030" priority="2386">
      <formula>$AF56=2</formula>
    </cfRule>
    <cfRule type="expression" dxfId="3029" priority="2387">
      <formula>$AF56=1</formula>
    </cfRule>
  </conditionalFormatting>
  <conditionalFormatting sqref="N57">
    <cfRule type="expression" dxfId="3028" priority="2383">
      <formula>$AC57=2</formula>
    </cfRule>
  </conditionalFormatting>
  <conditionalFormatting sqref="N57">
    <cfRule type="expression" dxfId="3027" priority="2382">
      <formula>N57&gt;F57</formula>
    </cfRule>
  </conditionalFormatting>
  <conditionalFormatting sqref="G57">
    <cfRule type="expression" dxfId="3026" priority="2369">
      <formula>G57&gt;F57</formula>
    </cfRule>
  </conditionalFormatting>
  <conditionalFormatting sqref="J56:K57">
    <cfRule type="expression" dxfId="3025" priority="2373">
      <formula>$AD56=4</formula>
    </cfRule>
    <cfRule type="expression" dxfId="3024" priority="2374">
      <formula>$AD56=3</formula>
    </cfRule>
    <cfRule type="expression" dxfId="3023" priority="2375">
      <formula>$AD56=2</formula>
    </cfRule>
    <cfRule type="expression" dxfId="3022" priority="2376">
      <formula>$AD56=1</formula>
    </cfRule>
  </conditionalFormatting>
  <conditionalFormatting sqref="J56:K57">
    <cfRule type="expression" dxfId="3021" priority="2372">
      <formula>$AC56=2</formula>
    </cfRule>
  </conditionalFormatting>
  <conditionalFormatting sqref="L56:L57">
    <cfRule type="expression" dxfId="3020" priority="2371">
      <formula>$AC56=2</formula>
    </cfRule>
  </conditionalFormatting>
  <conditionalFormatting sqref="G57">
    <cfRule type="expression" dxfId="3019" priority="2370">
      <formula>$AC57=2</formula>
    </cfRule>
  </conditionalFormatting>
  <conditionalFormatting sqref="O56:O57">
    <cfRule type="expression" dxfId="3018" priority="2368">
      <formula>$AC56=2</formula>
    </cfRule>
  </conditionalFormatting>
  <conditionalFormatting sqref="V56:V57">
    <cfRule type="expression" dxfId="3017" priority="2367">
      <formula>$AC56=2</formula>
    </cfRule>
  </conditionalFormatting>
  <conditionalFormatting sqref="U57">
    <cfRule type="expression" dxfId="3016" priority="2366">
      <formula>$AC57=2</formula>
    </cfRule>
  </conditionalFormatting>
  <conditionalFormatting sqref="U57">
    <cfRule type="expression" dxfId="3015" priority="2365">
      <formula>U57&gt;F57</formula>
    </cfRule>
  </conditionalFormatting>
  <conditionalFormatting sqref="Q59:R60">
    <cfRule type="expression" dxfId="3014" priority="2359">
      <formula>$AE59=4</formula>
    </cfRule>
    <cfRule type="expression" dxfId="3013" priority="2360">
      <formula>$AE59=3</formula>
    </cfRule>
    <cfRule type="expression" dxfId="3012" priority="2361">
      <formula>$AE59=2</formula>
    </cfRule>
    <cfRule type="expression" dxfId="3011" priority="2362">
      <formula>$AE59=1</formula>
    </cfRule>
  </conditionalFormatting>
  <conditionalFormatting sqref="X59:Y60">
    <cfRule type="expression" dxfId="3010" priority="2355">
      <formula>$AF59=4</formula>
    </cfRule>
    <cfRule type="expression" dxfId="3009" priority="2356">
      <formula>$AF59=3</formula>
    </cfRule>
    <cfRule type="expression" dxfId="3008" priority="2357">
      <formula>$AF59=2</formula>
    </cfRule>
    <cfRule type="expression" dxfId="3007" priority="2358">
      <formula>$AF59=1</formula>
    </cfRule>
  </conditionalFormatting>
  <conditionalFormatting sqref="N59:N60">
    <cfRule type="expression" dxfId="3006" priority="2354">
      <formula>$AC59=2</formula>
    </cfRule>
  </conditionalFormatting>
  <conditionalFormatting sqref="N59:N60">
    <cfRule type="expression" dxfId="3005" priority="2353">
      <formula>N59&gt;F59</formula>
    </cfRule>
  </conditionalFormatting>
  <conditionalFormatting sqref="G59:G60">
    <cfRule type="expression" dxfId="3004" priority="2340">
      <formula>G59&gt;F59</formula>
    </cfRule>
  </conditionalFormatting>
  <conditionalFormatting sqref="J59:K60">
    <cfRule type="expression" dxfId="3003" priority="2344">
      <formula>$AD59=4</formula>
    </cfRule>
    <cfRule type="expression" dxfId="3002" priority="2345">
      <formula>$AD59=3</formula>
    </cfRule>
    <cfRule type="expression" dxfId="3001" priority="2346">
      <formula>$AD59=2</formula>
    </cfRule>
    <cfRule type="expression" dxfId="3000" priority="2347">
      <formula>$AD59=1</formula>
    </cfRule>
  </conditionalFormatting>
  <conditionalFormatting sqref="J59:K60">
    <cfRule type="expression" dxfId="2999" priority="2343">
      <formula>$AC59=2</formula>
    </cfRule>
  </conditionalFormatting>
  <conditionalFormatting sqref="G59:G60">
    <cfRule type="expression" dxfId="2998" priority="2341">
      <formula>$AC59=2</formula>
    </cfRule>
  </conditionalFormatting>
  <conditionalFormatting sqref="V59:V60">
    <cfRule type="expression" dxfId="2997" priority="2338">
      <formula>$AC59=2</formula>
    </cfRule>
  </conditionalFormatting>
  <conditionalFormatting sqref="U59:U60">
    <cfRule type="expression" dxfId="2996" priority="2337">
      <formula>$AC59=2</formula>
    </cfRule>
  </conditionalFormatting>
  <conditionalFormatting sqref="U59:U60">
    <cfRule type="expression" dxfId="2995" priority="2336">
      <formula>U59&gt;F59</formula>
    </cfRule>
  </conditionalFormatting>
  <conditionalFormatting sqref="Q62:R62">
    <cfRule type="expression" dxfId="2994" priority="2330">
      <formula>$AE62=4</formula>
    </cfRule>
    <cfRule type="expression" dxfId="2993" priority="2331">
      <formula>$AE62=3</formula>
    </cfRule>
    <cfRule type="expression" dxfId="2992" priority="2332">
      <formula>$AE62=2</formula>
    </cfRule>
    <cfRule type="expression" dxfId="2991" priority="2333">
      <formula>$AE62=1</formula>
    </cfRule>
  </conditionalFormatting>
  <conditionalFormatting sqref="X62:Y62">
    <cfRule type="expression" dxfId="2990" priority="2326">
      <formula>$AF62=4</formula>
    </cfRule>
    <cfRule type="expression" dxfId="2989" priority="2327">
      <formula>$AF62=3</formula>
    </cfRule>
    <cfRule type="expression" dxfId="2988" priority="2328">
      <formula>$AF62=2</formula>
    </cfRule>
    <cfRule type="expression" dxfId="2987" priority="2329">
      <formula>$AF62=1</formula>
    </cfRule>
  </conditionalFormatting>
  <conditionalFormatting sqref="N62">
    <cfRule type="expression" dxfId="2986" priority="2325">
      <formula>$AC62=2</formula>
    </cfRule>
  </conditionalFormatting>
  <conditionalFormatting sqref="N62">
    <cfRule type="expression" dxfId="2985" priority="2324">
      <formula>N62&gt;F62</formula>
    </cfRule>
  </conditionalFormatting>
  <conditionalFormatting sqref="G62">
    <cfRule type="expression" dxfId="2984" priority="2311">
      <formula>G62&gt;F62</formula>
    </cfRule>
  </conditionalFormatting>
  <conditionalFormatting sqref="J62:K62">
    <cfRule type="expression" dxfId="2983" priority="2315">
      <formula>$AD62=4</formula>
    </cfRule>
    <cfRule type="expression" dxfId="2982" priority="2316">
      <formula>$AD62=3</formula>
    </cfRule>
    <cfRule type="expression" dxfId="2981" priority="2317">
      <formula>$AD62=2</formula>
    </cfRule>
    <cfRule type="expression" dxfId="2980" priority="2318">
      <formula>$AD62=1</formula>
    </cfRule>
  </conditionalFormatting>
  <conditionalFormatting sqref="J62:K62">
    <cfRule type="expression" dxfId="2979" priority="2314">
      <formula>$AC62=2</formula>
    </cfRule>
  </conditionalFormatting>
  <conditionalFormatting sqref="L62">
    <cfRule type="expression" dxfId="2978" priority="2313">
      <formula>$AC62=2</formula>
    </cfRule>
  </conditionalFormatting>
  <conditionalFormatting sqref="G62">
    <cfRule type="expression" dxfId="2977" priority="2312">
      <formula>$AC62=2</formula>
    </cfRule>
  </conditionalFormatting>
  <conditionalFormatting sqref="O62">
    <cfRule type="expression" dxfId="2976" priority="2310">
      <formula>$AC62=2</formula>
    </cfRule>
  </conditionalFormatting>
  <conditionalFormatting sqref="V62">
    <cfRule type="expression" dxfId="2975" priority="4550">
      <formula>$AC62=2</formula>
    </cfRule>
  </conditionalFormatting>
  <conditionalFormatting sqref="U62">
    <cfRule type="expression" dxfId="2974" priority="2308">
      <formula>$AC62=2</formula>
    </cfRule>
  </conditionalFormatting>
  <conditionalFormatting sqref="U62">
    <cfRule type="expression" dxfId="2973" priority="2307">
      <formula>U62&gt;F62</formula>
    </cfRule>
  </conditionalFormatting>
  <conditionalFormatting sqref="Q67:R73">
    <cfRule type="expression" dxfId="2972" priority="2301">
      <formula>$AE67=4</formula>
    </cfRule>
    <cfRule type="expression" dxfId="2971" priority="2302">
      <formula>$AE67=3</formula>
    </cfRule>
    <cfRule type="expression" dxfId="2970" priority="2303">
      <formula>$AE67=2</formula>
    </cfRule>
    <cfRule type="expression" dxfId="2969" priority="2304">
      <formula>$AE67=1</formula>
    </cfRule>
  </conditionalFormatting>
  <conditionalFormatting sqref="X67:Y73">
    <cfRule type="expression" dxfId="2968" priority="2297">
      <formula>$AF67=4</formula>
    </cfRule>
    <cfRule type="expression" dxfId="2967" priority="2298">
      <formula>$AF67=3</formula>
    </cfRule>
    <cfRule type="expression" dxfId="2966" priority="2299">
      <formula>$AF67=2</formula>
    </cfRule>
    <cfRule type="expression" dxfId="2965" priority="2300">
      <formula>$AF67=1</formula>
    </cfRule>
  </conditionalFormatting>
  <conditionalFormatting sqref="N67:N73">
    <cfRule type="expression" dxfId="2964" priority="2296">
      <formula>$AC67=2</formula>
    </cfRule>
  </conditionalFormatting>
  <conditionalFormatting sqref="N67:N73">
    <cfRule type="expression" dxfId="2963" priority="2295">
      <formula>N67&gt;F67</formula>
    </cfRule>
  </conditionalFormatting>
  <conditionalFormatting sqref="G67:G69 G71 G73">
    <cfRule type="expression" dxfId="2962" priority="2282">
      <formula>G67&gt;F67</formula>
    </cfRule>
  </conditionalFormatting>
  <conditionalFormatting sqref="J67:K73">
    <cfRule type="expression" dxfId="2961" priority="2286">
      <formula>$AD67=4</formula>
    </cfRule>
    <cfRule type="expression" dxfId="2960" priority="2287">
      <formula>$AD67=3</formula>
    </cfRule>
    <cfRule type="expression" dxfId="2959" priority="2288">
      <formula>$AD67=2</formula>
    </cfRule>
    <cfRule type="expression" dxfId="2958" priority="2289">
      <formula>$AD67=1</formula>
    </cfRule>
  </conditionalFormatting>
  <conditionalFormatting sqref="J67:K73">
    <cfRule type="expression" dxfId="2957" priority="2285">
      <formula>$AC67=2</formula>
    </cfRule>
  </conditionalFormatting>
  <conditionalFormatting sqref="L68:L73">
    <cfRule type="expression" dxfId="2956" priority="2284">
      <formula>$AC68=2</formula>
    </cfRule>
  </conditionalFormatting>
  <conditionalFormatting sqref="G67:G69 G71 G73">
    <cfRule type="expression" dxfId="2955" priority="2283">
      <formula>$AC67=2</formula>
    </cfRule>
  </conditionalFormatting>
  <conditionalFormatting sqref="O67:O73">
    <cfRule type="expression" dxfId="2954" priority="2281">
      <formula>$AC67=2</formula>
    </cfRule>
  </conditionalFormatting>
  <conditionalFormatting sqref="V67:V73">
    <cfRule type="expression" dxfId="2953" priority="2280">
      <formula>$AC67=2</formula>
    </cfRule>
  </conditionalFormatting>
  <conditionalFormatting sqref="U67:U69 U71 U73">
    <cfRule type="expression" dxfId="2952" priority="2279">
      <formula>$AC67=2</formula>
    </cfRule>
  </conditionalFormatting>
  <conditionalFormatting sqref="U67:U69 U71 U73">
    <cfRule type="expression" dxfId="2951" priority="2278">
      <formula>U67&gt;F67</formula>
    </cfRule>
  </conditionalFormatting>
  <conditionalFormatting sqref="Q75:R77">
    <cfRule type="expression" dxfId="2950" priority="2272">
      <formula>$AE75=4</formula>
    </cfRule>
    <cfRule type="expression" dxfId="2949" priority="2273">
      <formula>$AE75=3</formula>
    </cfRule>
    <cfRule type="expression" dxfId="2948" priority="2274">
      <formula>$AE75=2</formula>
    </cfRule>
    <cfRule type="expression" dxfId="2947" priority="2275">
      <formula>$AE75=1</formula>
    </cfRule>
  </conditionalFormatting>
  <conditionalFormatting sqref="X75:Y77">
    <cfRule type="expression" dxfId="2946" priority="2268">
      <formula>$AF75=4</formula>
    </cfRule>
    <cfRule type="expression" dxfId="2945" priority="2269">
      <formula>$AF75=3</formula>
    </cfRule>
    <cfRule type="expression" dxfId="2944" priority="2270">
      <formula>$AF75=2</formula>
    </cfRule>
    <cfRule type="expression" dxfId="2943" priority="2271">
      <formula>$AF75=1</formula>
    </cfRule>
  </conditionalFormatting>
  <conditionalFormatting sqref="N75:N77">
    <cfRule type="expression" dxfId="2942" priority="2267">
      <formula>$AC75=2</formula>
    </cfRule>
  </conditionalFormatting>
  <conditionalFormatting sqref="N75:N77">
    <cfRule type="expression" dxfId="2941" priority="2266">
      <formula>N75&gt;F75</formula>
    </cfRule>
  </conditionalFormatting>
  <conditionalFormatting sqref="G75:G77">
    <cfRule type="expression" dxfId="2940" priority="2253">
      <formula>G75&gt;F75</formula>
    </cfRule>
  </conditionalFormatting>
  <conditionalFormatting sqref="J75:K77">
    <cfRule type="expression" dxfId="2939" priority="2257">
      <formula>$AD75=4</formula>
    </cfRule>
    <cfRule type="expression" dxfId="2938" priority="2258">
      <formula>$AD75=3</formula>
    </cfRule>
    <cfRule type="expression" dxfId="2937" priority="2259">
      <formula>$AD75=2</formula>
    </cfRule>
    <cfRule type="expression" dxfId="2936" priority="2260">
      <formula>$AD75=1</formula>
    </cfRule>
  </conditionalFormatting>
  <conditionalFormatting sqref="J75:K77">
    <cfRule type="expression" dxfId="2935" priority="2256">
      <formula>$AC75=2</formula>
    </cfRule>
  </conditionalFormatting>
  <conditionalFormatting sqref="L75:L77">
    <cfRule type="expression" dxfId="2934" priority="2255">
      <formula>$AC75=2</formula>
    </cfRule>
  </conditionalFormatting>
  <conditionalFormatting sqref="G75:G77">
    <cfRule type="expression" dxfId="2933" priority="2254">
      <formula>$AC75=2</formula>
    </cfRule>
  </conditionalFormatting>
  <conditionalFormatting sqref="O75:O77">
    <cfRule type="expression" dxfId="2932" priority="2252">
      <formula>$AC75=2</formula>
    </cfRule>
  </conditionalFormatting>
  <conditionalFormatting sqref="V75:V77">
    <cfRule type="expression" dxfId="2931" priority="2251">
      <formula>$AC75=2</formula>
    </cfRule>
  </conditionalFormatting>
  <conditionalFormatting sqref="U75:U77">
    <cfRule type="expression" dxfId="2930" priority="2250">
      <formula>$AC75=2</formula>
    </cfRule>
  </conditionalFormatting>
  <conditionalFormatting sqref="U75:U77">
    <cfRule type="expression" dxfId="2929" priority="2249">
      <formula>U75&gt;F75</formula>
    </cfRule>
  </conditionalFormatting>
  <conditionalFormatting sqref="Q79:R80">
    <cfRule type="expression" dxfId="2928" priority="2243">
      <formula>$AE79=4</formula>
    </cfRule>
    <cfRule type="expression" dxfId="2927" priority="2244">
      <formula>$AE79=3</formula>
    </cfRule>
    <cfRule type="expression" dxfId="2926" priority="2245">
      <formula>$AE79=2</formula>
    </cfRule>
    <cfRule type="expression" dxfId="2925" priority="2246">
      <formula>$AE79=1</formula>
    </cfRule>
  </conditionalFormatting>
  <conditionalFormatting sqref="X79:Y80">
    <cfRule type="expression" dxfId="2924" priority="2239">
      <formula>$AF79=4</formula>
    </cfRule>
    <cfRule type="expression" dxfId="2923" priority="2240">
      <formula>$AF79=3</formula>
    </cfRule>
    <cfRule type="expression" dxfId="2922" priority="2241">
      <formula>$AF79=2</formula>
    </cfRule>
    <cfRule type="expression" dxfId="2921" priority="2242">
      <formula>$AF79=1</formula>
    </cfRule>
  </conditionalFormatting>
  <conditionalFormatting sqref="N79:N80">
    <cfRule type="expression" dxfId="2920" priority="2238">
      <formula>$AC79=2</formula>
    </cfRule>
  </conditionalFormatting>
  <conditionalFormatting sqref="N79:N80">
    <cfRule type="expression" dxfId="2919" priority="2237">
      <formula>N79&gt;F79</formula>
    </cfRule>
  </conditionalFormatting>
  <conditionalFormatting sqref="G79:G80">
    <cfRule type="expression" dxfId="2918" priority="2224">
      <formula>G79&gt;F79</formula>
    </cfRule>
  </conditionalFormatting>
  <conditionalFormatting sqref="J79:K80">
    <cfRule type="expression" dxfId="2917" priority="2228">
      <formula>$AD79=4</formula>
    </cfRule>
    <cfRule type="expression" dxfId="2916" priority="2229">
      <formula>$AD79=3</formula>
    </cfRule>
    <cfRule type="expression" dxfId="2915" priority="2230">
      <formula>$AD79=2</formula>
    </cfRule>
    <cfRule type="expression" dxfId="2914" priority="2231">
      <formula>$AD79=1</formula>
    </cfRule>
  </conditionalFormatting>
  <conditionalFormatting sqref="J79:K80">
    <cfRule type="expression" dxfId="2913" priority="2227">
      <formula>$AC79=2</formula>
    </cfRule>
  </conditionalFormatting>
  <conditionalFormatting sqref="L79:L80">
    <cfRule type="expression" dxfId="2912" priority="2226">
      <formula>$AC79=2</formula>
    </cfRule>
  </conditionalFormatting>
  <conditionalFormatting sqref="G79:G80">
    <cfRule type="expression" dxfId="2911" priority="2225">
      <formula>$AC79=2</formula>
    </cfRule>
  </conditionalFormatting>
  <conditionalFormatting sqref="O79:O80">
    <cfRule type="expression" dxfId="2910" priority="2223">
      <formula>$AC79=2</formula>
    </cfRule>
  </conditionalFormatting>
  <conditionalFormatting sqref="V79:V80">
    <cfRule type="expression" dxfId="2909" priority="2222">
      <formula>$AC79=2</formula>
    </cfRule>
  </conditionalFormatting>
  <conditionalFormatting sqref="U79:U80">
    <cfRule type="expression" dxfId="2908" priority="2221">
      <formula>$AC79=2</formula>
    </cfRule>
  </conditionalFormatting>
  <conditionalFormatting sqref="U79:U80">
    <cfRule type="expression" dxfId="2907" priority="2220">
      <formula>U79&gt;F79</formula>
    </cfRule>
  </conditionalFormatting>
  <conditionalFormatting sqref="Q82:R83">
    <cfRule type="expression" dxfId="2906" priority="2214">
      <formula>$AE82=4</formula>
    </cfRule>
    <cfRule type="expression" dxfId="2905" priority="2215">
      <formula>$AE82=3</formula>
    </cfRule>
    <cfRule type="expression" dxfId="2904" priority="2216">
      <formula>$AE82=2</formula>
    </cfRule>
    <cfRule type="expression" dxfId="2903" priority="2217">
      <formula>$AE82=1</formula>
    </cfRule>
  </conditionalFormatting>
  <conditionalFormatting sqref="X82:Y83">
    <cfRule type="expression" dxfId="2902" priority="2210">
      <formula>$AF82=4</formula>
    </cfRule>
    <cfRule type="expression" dxfId="2901" priority="2211">
      <formula>$AF82=3</formula>
    </cfRule>
    <cfRule type="expression" dxfId="2900" priority="2212">
      <formula>$AF82=2</formula>
    </cfRule>
    <cfRule type="expression" dxfId="2899" priority="2213">
      <formula>$AF82=1</formula>
    </cfRule>
  </conditionalFormatting>
  <conditionalFormatting sqref="N82:N83">
    <cfRule type="expression" dxfId="2898" priority="2209">
      <formula>$AC82=2</formula>
    </cfRule>
  </conditionalFormatting>
  <conditionalFormatting sqref="N82:N83">
    <cfRule type="expression" dxfId="2897" priority="2208">
      <formula>N82&gt;F82</formula>
    </cfRule>
  </conditionalFormatting>
  <conditionalFormatting sqref="G82:G83">
    <cfRule type="expression" dxfId="2896" priority="2195">
      <formula>G82&gt;F82</formula>
    </cfRule>
  </conditionalFormatting>
  <conditionalFormatting sqref="J82:K83">
    <cfRule type="expression" dxfId="2895" priority="2199">
      <formula>$AD82=4</formula>
    </cfRule>
    <cfRule type="expression" dxfId="2894" priority="2200">
      <formula>$AD82=3</formula>
    </cfRule>
    <cfRule type="expression" dxfId="2893" priority="2201">
      <formula>$AD82=2</formula>
    </cfRule>
    <cfRule type="expression" dxfId="2892" priority="2202">
      <formula>$AD82=1</formula>
    </cfRule>
  </conditionalFormatting>
  <conditionalFormatting sqref="J82:K83">
    <cfRule type="expression" dxfId="2891" priority="2198">
      <formula>$AC82=2</formula>
    </cfRule>
  </conditionalFormatting>
  <conditionalFormatting sqref="L82:L83">
    <cfRule type="expression" dxfId="2890" priority="2197">
      <formula>$AC82=2</formula>
    </cfRule>
  </conditionalFormatting>
  <conditionalFormatting sqref="G82:G83">
    <cfRule type="expression" dxfId="2889" priority="2196">
      <formula>$AC82=2</formula>
    </cfRule>
  </conditionalFormatting>
  <conditionalFormatting sqref="O82:O83">
    <cfRule type="expression" dxfId="2888" priority="2194">
      <formula>$AC82=2</formula>
    </cfRule>
  </conditionalFormatting>
  <conditionalFormatting sqref="V82:V83">
    <cfRule type="expression" dxfId="2887" priority="2193">
      <formula>$AC82=2</formula>
    </cfRule>
  </conditionalFormatting>
  <conditionalFormatting sqref="U82:U83">
    <cfRule type="expression" dxfId="2886" priority="2192">
      <formula>$AC82=2</formula>
    </cfRule>
  </conditionalFormatting>
  <conditionalFormatting sqref="U82:U83">
    <cfRule type="expression" dxfId="2885" priority="2191">
      <formula>U82&gt;F82</formula>
    </cfRule>
  </conditionalFormatting>
  <conditionalFormatting sqref="Q85:R85">
    <cfRule type="expression" dxfId="2884" priority="2185">
      <formula>$AE85=4</formula>
    </cfRule>
    <cfRule type="expression" dxfId="2883" priority="2186">
      <formula>$AE85=3</formula>
    </cfRule>
    <cfRule type="expression" dxfId="2882" priority="2187">
      <formula>$AE85=2</formula>
    </cfRule>
    <cfRule type="expression" dxfId="2881" priority="2188">
      <formula>$AE85=1</formula>
    </cfRule>
  </conditionalFormatting>
  <conditionalFormatting sqref="X85:Y85">
    <cfRule type="expression" dxfId="2880" priority="2181">
      <formula>$AF85=4</formula>
    </cfRule>
    <cfRule type="expression" dxfId="2879" priority="2182">
      <formula>$AF85=3</formula>
    </cfRule>
    <cfRule type="expression" dxfId="2878" priority="2183">
      <formula>$AF85=2</formula>
    </cfRule>
    <cfRule type="expression" dxfId="2877" priority="2184">
      <formula>$AF85=1</formula>
    </cfRule>
  </conditionalFormatting>
  <conditionalFormatting sqref="N85">
    <cfRule type="expression" dxfId="2876" priority="2180">
      <formula>$AC85=2</formula>
    </cfRule>
  </conditionalFormatting>
  <conditionalFormatting sqref="N85 N87">
    <cfRule type="expression" dxfId="2875" priority="2179">
      <formula>N85&gt;F85</formula>
    </cfRule>
  </conditionalFormatting>
  <conditionalFormatting sqref="G85 G87">
    <cfRule type="expression" dxfId="2874" priority="2166">
      <formula>G85&gt;F85</formula>
    </cfRule>
  </conditionalFormatting>
  <conditionalFormatting sqref="J85:K85">
    <cfRule type="expression" dxfId="2873" priority="2170">
      <formula>$AD85=4</formula>
    </cfRule>
    <cfRule type="expression" dxfId="2872" priority="2171">
      <formula>$AD85=3</formula>
    </cfRule>
    <cfRule type="expression" dxfId="2871" priority="2172">
      <formula>$AD85=2</formula>
    </cfRule>
    <cfRule type="expression" dxfId="2870" priority="2173">
      <formula>$AD85=1</formula>
    </cfRule>
  </conditionalFormatting>
  <conditionalFormatting sqref="J85:K85">
    <cfRule type="expression" dxfId="2869" priority="2169">
      <formula>$AC85=2</formula>
    </cfRule>
  </conditionalFormatting>
  <conditionalFormatting sqref="L85">
    <cfRule type="expression" dxfId="2868" priority="2168">
      <formula>$AC85=2</formula>
    </cfRule>
  </conditionalFormatting>
  <conditionalFormatting sqref="G85">
    <cfRule type="expression" dxfId="2867" priority="2167">
      <formula>$AC85=2</formula>
    </cfRule>
  </conditionalFormatting>
  <conditionalFormatting sqref="O85">
    <cfRule type="expression" dxfId="2866" priority="2165">
      <formula>$AC85=2</formula>
    </cfRule>
  </conditionalFormatting>
  <conditionalFormatting sqref="V85">
    <cfRule type="expression" dxfId="2865" priority="2164">
      <formula>$AC85=2</formula>
    </cfRule>
  </conditionalFormatting>
  <conditionalFormatting sqref="U85">
    <cfRule type="expression" dxfId="2864" priority="2163">
      <formula>$AC85=2</formula>
    </cfRule>
  </conditionalFormatting>
  <conditionalFormatting sqref="U85">
    <cfRule type="expression" dxfId="2863" priority="2162">
      <formula>U85&gt;F85</formula>
    </cfRule>
  </conditionalFormatting>
  <conditionalFormatting sqref="Q89:R90">
    <cfRule type="expression" dxfId="2862" priority="2156">
      <formula>$AE89=4</formula>
    </cfRule>
    <cfRule type="expression" dxfId="2861" priority="2157">
      <formula>$AE89=3</formula>
    </cfRule>
    <cfRule type="expression" dxfId="2860" priority="2158">
      <formula>$AE89=2</formula>
    </cfRule>
    <cfRule type="expression" dxfId="2859" priority="2159">
      <formula>$AE89=1</formula>
    </cfRule>
  </conditionalFormatting>
  <conditionalFormatting sqref="X89:Y90">
    <cfRule type="expression" dxfId="2858" priority="2152">
      <formula>$AF89=4</formula>
    </cfRule>
    <cfRule type="expression" dxfId="2857" priority="2153">
      <formula>$AF89=3</formula>
    </cfRule>
    <cfRule type="expression" dxfId="2856" priority="2154">
      <formula>$AF89=2</formula>
    </cfRule>
    <cfRule type="expression" dxfId="2855" priority="2155">
      <formula>$AF89=1</formula>
    </cfRule>
  </conditionalFormatting>
  <conditionalFormatting sqref="N89:N90">
    <cfRule type="expression" dxfId="2854" priority="2151">
      <formula>$AC89=2</formula>
    </cfRule>
  </conditionalFormatting>
  <conditionalFormatting sqref="N89:N90">
    <cfRule type="expression" dxfId="2853" priority="2150">
      <formula>N89&gt;F89</formula>
    </cfRule>
  </conditionalFormatting>
  <conditionalFormatting sqref="G89:G90">
    <cfRule type="expression" dxfId="2852" priority="2137">
      <formula>G89&gt;F89</formula>
    </cfRule>
  </conditionalFormatting>
  <conditionalFormatting sqref="J89:K90">
    <cfRule type="expression" dxfId="2851" priority="2141">
      <formula>$AD89=4</formula>
    </cfRule>
    <cfRule type="expression" dxfId="2850" priority="2142">
      <formula>$AD89=3</formula>
    </cfRule>
    <cfRule type="expression" dxfId="2849" priority="2143">
      <formula>$AD89=2</formula>
    </cfRule>
    <cfRule type="expression" dxfId="2848" priority="2144">
      <formula>$AD89=1</formula>
    </cfRule>
  </conditionalFormatting>
  <conditionalFormatting sqref="J89:K90">
    <cfRule type="expression" dxfId="2847" priority="2140">
      <formula>$AC89=2</formula>
    </cfRule>
  </conditionalFormatting>
  <conditionalFormatting sqref="L89:L90">
    <cfRule type="expression" dxfId="2846" priority="2139">
      <formula>$AC89=2</formula>
    </cfRule>
  </conditionalFormatting>
  <conditionalFormatting sqref="G89:G90">
    <cfRule type="expression" dxfId="2845" priority="2138">
      <formula>$AC89=2</formula>
    </cfRule>
  </conditionalFormatting>
  <conditionalFormatting sqref="O89:O90">
    <cfRule type="expression" dxfId="2844" priority="2136">
      <formula>$AC89=2</formula>
    </cfRule>
  </conditionalFormatting>
  <conditionalFormatting sqref="V89:V90">
    <cfRule type="expression" dxfId="2843" priority="2135">
      <formula>$AC89=2</formula>
    </cfRule>
  </conditionalFormatting>
  <conditionalFormatting sqref="U89:U90">
    <cfRule type="expression" dxfId="2842" priority="2134">
      <formula>$AC89=2</formula>
    </cfRule>
  </conditionalFormatting>
  <conditionalFormatting sqref="U89:U90">
    <cfRule type="expression" dxfId="2841" priority="2133">
      <formula>U89&gt;F89</formula>
    </cfRule>
  </conditionalFormatting>
  <conditionalFormatting sqref="Q92:R92">
    <cfRule type="expression" dxfId="2840" priority="2127">
      <formula>$AE92=4</formula>
    </cfRule>
    <cfRule type="expression" dxfId="2839" priority="2128">
      <formula>$AE92=3</formula>
    </cfRule>
    <cfRule type="expression" dxfId="2838" priority="2129">
      <formula>$AE92=2</formula>
    </cfRule>
    <cfRule type="expression" dxfId="2837" priority="2130">
      <formula>$AE92=1</formula>
    </cfRule>
  </conditionalFormatting>
  <conditionalFormatting sqref="X92:Y92">
    <cfRule type="expression" dxfId="2836" priority="2123">
      <formula>$AF92=4</formula>
    </cfRule>
    <cfRule type="expression" dxfId="2835" priority="2124">
      <formula>$AF92=3</formula>
    </cfRule>
    <cfRule type="expression" dxfId="2834" priority="2125">
      <formula>$AF92=2</formula>
    </cfRule>
    <cfRule type="expression" dxfId="2833" priority="2126">
      <formula>$AF92=1</formula>
    </cfRule>
  </conditionalFormatting>
  <conditionalFormatting sqref="N92">
    <cfRule type="expression" dxfId="2832" priority="2122">
      <formula>$AC92=2</formula>
    </cfRule>
  </conditionalFormatting>
  <conditionalFormatting sqref="N92">
    <cfRule type="expression" dxfId="2831" priority="2121">
      <formula>N92&gt;F92</formula>
    </cfRule>
  </conditionalFormatting>
  <conditionalFormatting sqref="G92">
    <cfRule type="expression" dxfId="2830" priority="2108">
      <formula>G92&gt;F92</formula>
    </cfRule>
  </conditionalFormatting>
  <conditionalFormatting sqref="J92:K92">
    <cfRule type="expression" dxfId="2829" priority="2112">
      <formula>$AD92=4</formula>
    </cfRule>
    <cfRule type="expression" dxfId="2828" priority="2113">
      <formula>$AD92=3</formula>
    </cfRule>
    <cfRule type="expression" dxfId="2827" priority="2114">
      <formula>$AD92=2</formula>
    </cfRule>
    <cfRule type="expression" dxfId="2826" priority="2115">
      <formula>$AD92=1</formula>
    </cfRule>
  </conditionalFormatting>
  <conditionalFormatting sqref="J92:K92">
    <cfRule type="expression" dxfId="2825" priority="2111">
      <formula>$AC92=2</formula>
    </cfRule>
  </conditionalFormatting>
  <conditionalFormatting sqref="L92">
    <cfRule type="expression" dxfId="2824" priority="2110">
      <formula>$AC92=2</formula>
    </cfRule>
  </conditionalFormatting>
  <conditionalFormatting sqref="G92">
    <cfRule type="expression" dxfId="2823" priority="2109">
      <formula>$AC92=2</formula>
    </cfRule>
  </conditionalFormatting>
  <conditionalFormatting sqref="O92">
    <cfRule type="expression" dxfId="2822" priority="2107">
      <formula>$AC92=2</formula>
    </cfRule>
  </conditionalFormatting>
  <conditionalFormatting sqref="V92">
    <cfRule type="expression" dxfId="2821" priority="2106">
      <formula>$AC92=2</formula>
    </cfRule>
  </conditionalFormatting>
  <conditionalFormatting sqref="U92">
    <cfRule type="expression" dxfId="2820" priority="2105">
      <formula>$AC92=2</formula>
    </cfRule>
  </conditionalFormatting>
  <conditionalFormatting sqref="U92">
    <cfRule type="expression" dxfId="2819" priority="2104">
      <formula>U92&gt;F92</formula>
    </cfRule>
  </conditionalFormatting>
  <conditionalFormatting sqref="Q97:R98">
    <cfRule type="expression" dxfId="2818" priority="2098">
      <formula>$AE97=4</formula>
    </cfRule>
    <cfRule type="expression" dxfId="2817" priority="2099">
      <formula>$AE97=3</formula>
    </cfRule>
    <cfRule type="expression" dxfId="2816" priority="2100">
      <formula>$AE97=2</formula>
    </cfRule>
    <cfRule type="expression" dxfId="2815" priority="2101">
      <formula>$AE97=1</formula>
    </cfRule>
  </conditionalFormatting>
  <conditionalFormatting sqref="X97:Y98">
    <cfRule type="expression" dxfId="2814" priority="2094">
      <formula>$AF97=4</formula>
    </cfRule>
    <cfRule type="expression" dxfId="2813" priority="2095">
      <formula>$AF97=3</formula>
    </cfRule>
    <cfRule type="expression" dxfId="2812" priority="2096">
      <formula>$AF97=2</formula>
    </cfRule>
    <cfRule type="expression" dxfId="2811" priority="2097">
      <formula>$AF97=1</formula>
    </cfRule>
  </conditionalFormatting>
  <conditionalFormatting sqref="N97:N98">
    <cfRule type="expression" dxfId="2810" priority="2093">
      <formula>$AC97=2</formula>
    </cfRule>
  </conditionalFormatting>
  <conditionalFormatting sqref="N97:N98">
    <cfRule type="expression" dxfId="2809" priority="2092">
      <formula>N97&gt;F97</formula>
    </cfRule>
  </conditionalFormatting>
  <conditionalFormatting sqref="G97:G98">
    <cfRule type="expression" dxfId="2808" priority="2079">
      <formula>G97&gt;F97</formula>
    </cfRule>
  </conditionalFormatting>
  <conditionalFormatting sqref="J97:K98">
    <cfRule type="expression" dxfId="2807" priority="2083">
      <formula>$AD97=4</formula>
    </cfRule>
    <cfRule type="expression" dxfId="2806" priority="2084">
      <formula>$AD97=3</formula>
    </cfRule>
    <cfRule type="expression" dxfId="2805" priority="2085">
      <formula>$AD97=2</formula>
    </cfRule>
    <cfRule type="expression" dxfId="2804" priority="2086">
      <formula>$AD97=1</formula>
    </cfRule>
  </conditionalFormatting>
  <conditionalFormatting sqref="J97:K98">
    <cfRule type="expression" dxfId="2803" priority="2082">
      <formula>$AC97=2</formula>
    </cfRule>
  </conditionalFormatting>
  <conditionalFormatting sqref="L97:L98">
    <cfRule type="expression" dxfId="2802" priority="2081">
      <formula>$AC97=2</formula>
    </cfRule>
  </conditionalFormatting>
  <conditionalFormatting sqref="G97:G98">
    <cfRule type="expression" dxfId="2801" priority="2080">
      <formula>$AC97=2</formula>
    </cfRule>
  </conditionalFormatting>
  <conditionalFormatting sqref="O97:O98">
    <cfRule type="expression" dxfId="2800" priority="2078">
      <formula>$AC97=2</formula>
    </cfRule>
  </conditionalFormatting>
  <conditionalFormatting sqref="V97:V98">
    <cfRule type="expression" dxfId="2799" priority="2077">
      <formula>$AC97=2</formula>
    </cfRule>
  </conditionalFormatting>
  <conditionalFormatting sqref="U97:U98">
    <cfRule type="expression" dxfId="2798" priority="2076">
      <formula>$AC97=2</formula>
    </cfRule>
  </conditionalFormatting>
  <conditionalFormatting sqref="U97:U98">
    <cfRule type="expression" dxfId="2797" priority="2075">
      <formula>U97&gt;F97</formula>
    </cfRule>
  </conditionalFormatting>
  <conditionalFormatting sqref="Q101:R101">
    <cfRule type="expression" dxfId="2796" priority="2069">
      <formula>$AE101=4</formula>
    </cfRule>
    <cfRule type="expression" dxfId="2795" priority="2070">
      <formula>$AE101=3</formula>
    </cfRule>
    <cfRule type="expression" dxfId="2794" priority="2071">
      <formula>$AE101=2</formula>
    </cfRule>
    <cfRule type="expression" dxfId="2793" priority="2072">
      <formula>$AE101=1</formula>
    </cfRule>
  </conditionalFormatting>
  <conditionalFormatting sqref="X101:Y101">
    <cfRule type="expression" dxfId="2792" priority="2065">
      <formula>$AF101=4</formula>
    </cfRule>
    <cfRule type="expression" dxfId="2791" priority="2066">
      <formula>$AF101=3</formula>
    </cfRule>
    <cfRule type="expression" dxfId="2790" priority="2067">
      <formula>$AF101=2</formula>
    </cfRule>
    <cfRule type="expression" dxfId="2789" priority="2068">
      <formula>$AF101=1</formula>
    </cfRule>
  </conditionalFormatting>
  <conditionalFormatting sqref="N101">
    <cfRule type="expression" dxfId="2788" priority="2064">
      <formula>$AC101=2</formula>
    </cfRule>
  </conditionalFormatting>
  <conditionalFormatting sqref="N101">
    <cfRule type="expression" dxfId="2787" priority="2063">
      <formula>N101&gt;F101</formula>
    </cfRule>
  </conditionalFormatting>
  <conditionalFormatting sqref="G101">
    <cfRule type="expression" dxfId="2786" priority="2050">
      <formula>G101&gt;F101</formula>
    </cfRule>
  </conditionalFormatting>
  <conditionalFormatting sqref="J101:K101">
    <cfRule type="expression" dxfId="2785" priority="2054">
      <formula>$AD101=4</formula>
    </cfRule>
    <cfRule type="expression" dxfId="2784" priority="2055">
      <formula>$AD101=3</formula>
    </cfRule>
    <cfRule type="expression" dxfId="2783" priority="2056">
      <formula>$AD101=2</formula>
    </cfRule>
    <cfRule type="expression" dxfId="2782" priority="2057">
      <formula>$AD101=1</formula>
    </cfRule>
  </conditionalFormatting>
  <conditionalFormatting sqref="J101:K101">
    <cfRule type="expression" dxfId="2781" priority="2053">
      <formula>$AC101=2</formula>
    </cfRule>
  </conditionalFormatting>
  <conditionalFormatting sqref="L101">
    <cfRule type="expression" dxfId="2780" priority="2052">
      <formula>$AC101=2</formula>
    </cfRule>
  </conditionalFormatting>
  <conditionalFormatting sqref="G101">
    <cfRule type="expression" dxfId="2779" priority="2051">
      <formula>$AC101=2</formula>
    </cfRule>
  </conditionalFormatting>
  <conditionalFormatting sqref="O101">
    <cfRule type="expression" dxfId="2778" priority="2049">
      <formula>$AC101=2</formula>
    </cfRule>
  </conditionalFormatting>
  <conditionalFormatting sqref="V101">
    <cfRule type="expression" dxfId="2777" priority="2048">
      <formula>$AC101=2</formula>
    </cfRule>
  </conditionalFormatting>
  <conditionalFormatting sqref="U101">
    <cfRule type="expression" dxfId="2776" priority="2047">
      <formula>$AC101=2</formula>
    </cfRule>
  </conditionalFormatting>
  <conditionalFormatting sqref="U101">
    <cfRule type="expression" dxfId="2775" priority="2046">
      <formula>U101&gt;F101</formula>
    </cfRule>
  </conditionalFormatting>
  <conditionalFormatting sqref="Q107:R107">
    <cfRule type="expression" dxfId="2774" priority="2040">
      <formula>$AE107=4</formula>
    </cfRule>
    <cfRule type="expression" dxfId="2773" priority="2041">
      <formula>$AE107=3</formula>
    </cfRule>
    <cfRule type="expression" dxfId="2772" priority="2042">
      <formula>$AE107=2</formula>
    </cfRule>
    <cfRule type="expression" dxfId="2771" priority="2043">
      <formula>$AE107=1</formula>
    </cfRule>
  </conditionalFormatting>
  <conditionalFormatting sqref="X107:Y107">
    <cfRule type="expression" dxfId="2770" priority="2036">
      <formula>$AF107=4</formula>
    </cfRule>
    <cfRule type="expression" dxfId="2769" priority="2037">
      <formula>$AF107=3</formula>
    </cfRule>
    <cfRule type="expression" dxfId="2768" priority="2038">
      <formula>$AF107=2</formula>
    </cfRule>
    <cfRule type="expression" dxfId="2767" priority="2039">
      <formula>$AF107=1</formula>
    </cfRule>
  </conditionalFormatting>
  <conditionalFormatting sqref="J107:K107">
    <cfRule type="expression" dxfId="2766" priority="2025">
      <formula>$AD107=4</formula>
    </cfRule>
    <cfRule type="expression" dxfId="2765" priority="2026">
      <formula>$AD107=3</formula>
    </cfRule>
    <cfRule type="expression" dxfId="2764" priority="2027">
      <formula>$AD107=2</formula>
    </cfRule>
    <cfRule type="expression" dxfId="2763" priority="2028">
      <formula>$AD107=1</formula>
    </cfRule>
  </conditionalFormatting>
  <conditionalFormatting sqref="J107:K107">
    <cfRule type="expression" dxfId="2762" priority="2024">
      <formula>$AC107=2</formula>
    </cfRule>
  </conditionalFormatting>
  <conditionalFormatting sqref="L107">
    <cfRule type="expression" dxfId="2761" priority="2023">
      <formula>$AC107=2</formula>
    </cfRule>
  </conditionalFormatting>
  <conditionalFormatting sqref="O107">
    <cfRule type="expression" dxfId="2760" priority="2020">
      <formula>$AC107=2</formula>
    </cfRule>
  </conditionalFormatting>
  <conditionalFormatting sqref="V107">
    <cfRule type="expression" dxfId="2759" priority="2019">
      <formula>$AC107=2</formula>
    </cfRule>
  </conditionalFormatting>
  <conditionalFormatting sqref="Q109:R109">
    <cfRule type="expression" dxfId="2758" priority="2011">
      <formula>$AE109=4</formula>
    </cfRule>
    <cfRule type="expression" dxfId="2757" priority="2012">
      <formula>$AE109=3</formula>
    </cfRule>
    <cfRule type="expression" dxfId="2756" priority="2013">
      <formula>$AE109=2</formula>
    </cfRule>
    <cfRule type="expression" dxfId="2755" priority="2014">
      <formula>$AE109=1</formula>
    </cfRule>
  </conditionalFormatting>
  <conditionalFormatting sqref="X109:Y109">
    <cfRule type="expression" dxfId="2754" priority="2007">
      <formula>$AF109=4</formula>
    </cfRule>
    <cfRule type="expression" dxfId="2753" priority="2008">
      <formula>$AF109=3</formula>
    </cfRule>
    <cfRule type="expression" dxfId="2752" priority="2009">
      <formula>$AF109=2</formula>
    </cfRule>
    <cfRule type="expression" dxfId="2751" priority="2010">
      <formula>$AF109=1</formula>
    </cfRule>
  </conditionalFormatting>
  <conditionalFormatting sqref="N109">
    <cfRule type="expression" dxfId="2750" priority="2006">
      <formula>$AC109=2</formula>
    </cfRule>
  </conditionalFormatting>
  <conditionalFormatting sqref="N109">
    <cfRule type="expression" dxfId="2749" priority="2005">
      <formula>N109&gt;F109</formula>
    </cfRule>
  </conditionalFormatting>
  <conditionalFormatting sqref="G109">
    <cfRule type="expression" dxfId="2748" priority="1992">
      <formula>G109&gt;F109</formula>
    </cfRule>
  </conditionalFormatting>
  <conditionalFormatting sqref="J109:K109">
    <cfRule type="expression" dxfId="2747" priority="1996">
      <formula>$AD109=4</formula>
    </cfRule>
    <cfRule type="expression" dxfId="2746" priority="1997">
      <formula>$AD109=3</formula>
    </cfRule>
    <cfRule type="expression" dxfId="2745" priority="1998">
      <formula>$AD109=2</formula>
    </cfRule>
    <cfRule type="expression" dxfId="2744" priority="1999">
      <formula>$AD109=1</formula>
    </cfRule>
  </conditionalFormatting>
  <conditionalFormatting sqref="J109:K109">
    <cfRule type="expression" dxfId="2743" priority="1995">
      <formula>$AC109=2</formula>
    </cfRule>
  </conditionalFormatting>
  <conditionalFormatting sqref="L109">
    <cfRule type="expression" dxfId="2742" priority="1994">
      <formula>$AC109=2</formula>
    </cfRule>
  </conditionalFormatting>
  <conditionalFormatting sqref="G109">
    <cfRule type="expression" dxfId="2741" priority="1993">
      <formula>$AC109=2</formula>
    </cfRule>
  </conditionalFormatting>
  <conditionalFormatting sqref="O109">
    <cfRule type="expression" dxfId="2740" priority="1991">
      <formula>$AC109=2</formula>
    </cfRule>
  </conditionalFormatting>
  <conditionalFormatting sqref="V109">
    <cfRule type="expression" dxfId="2739" priority="1990">
      <formula>$AC109=2</formula>
    </cfRule>
  </conditionalFormatting>
  <conditionalFormatting sqref="U109">
    <cfRule type="expression" dxfId="2738" priority="1989">
      <formula>$AC109=2</formula>
    </cfRule>
  </conditionalFormatting>
  <conditionalFormatting sqref="U109">
    <cfRule type="expression" dxfId="2737" priority="1988">
      <formula>U109&gt;F109</formula>
    </cfRule>
  </conditionalFormatting>
  <conditionalFormatting sqref="Q111:R113">
    <cfRule type="expression" dxfId="2736" priority="1982">
      <formula>$AE111=4</formula>
    </cfRule>
    <cfRule type="expression" dxfId="2735" priority="1983">
      <formula>$AE111=3</formula>
    </cfRule>
    <cfRule type="expression" dxfId="2734" priority="1984">
      <formula>$AE111=2</formula>
    </cfRule>
    <cfRule type="expression" dxfId="2733" priority="1985">
      <formula>$AE111=1</formula>
    </cfRule>
  </conditionalFormatting>
  <conditionalFormatting sqref="X111:Y113">
    <cfRule type="expression" dxfId="2732" priority="1978">
      <formula>$AF111=4</formula>
    </cfRule>
    <cfRule type="expression" dxfId="2731" priority="1979">
      <formula>$AF111=3</formula>
    </cfRule>
    <cfRule type="expression" dxfId="2730" priority="1980">
      <formula>$AF111=2</formula>
    </cfRule>
    <cfRule type="expression" dxfId="2729" priority="1981">
      <formula>$AF111=1</formula>
    </cfRule>
  </conditionalFormatting>
  <conditionalFormatting sqref="N111:N113">
    <cfRule type="expression" dxfId="2728" priority="1977">
      <formula>$AC111=2</formula>
    </cfRule>
  </conditionalFormatting>
  <conditionalFormatting sqref="N111:N113">
    <cfRule type="expression" dxfId="2727" priority="1976">
      <formula>N111&gt;F111</formula>
    </cfRule>
  </conditionalFormatting>
  <conditionalFormatting sqref="G111:G113">
    <cfRule type="expression" dxfId="2726" priority="1963">
      <formula>G111&gt;F111</formula>
    </cfRule>
  </conditionalFormatting>
  <conditionalFormatting sqref="J111:K113">
    <cfRule type="expression" dxfId="2725" priority="1967">
      <formula>$AD111=4</formula>
    </cfRule>
    <cfRule type="expression" dxfId="2724" priority="1968">
      <formula>$AD111=3</formula>
    </cfRule>
    <cfRule type="expression" dxfId="2723" priority="1969">
      <formula>$AD111=2</formula>
    </cfRule>
    <cfRule type="expression" dxfId="2722" priority="1970">
      <formula>$AD111=1</formula>
    </cfRule>
  </conditionalFormatting>
  <conditionalFormatting sqref="J111:K113">
    <cfRule type="expression" dxfId="2721" priority="1966">
      <formula>$AC111=2</formula>
    </cfRule>
  </conditionalFormatting>
  <conditionalFormatting sqref="L111:L113">
    <cfRule type="expression" dxfId="2720" priority="1965">
      <formula>$AC111=2</formula>
    </cfRule>
  </conditionalFormatting>
  <conditionalFormatting sqref="G111:G113">
    <cfRule type="expression" dxfId="2719" priority="1964">
      <formula>$AC111=2</formula>
    </cfRule>
  </conditionalFormatting>
  <conditionalFormatting sqref="O111:O113">
    <cfRule type="expression" dxfId="2718" priority="1962">
      <formula>$AC111=2</formula>
    </cfRule>
  </conditionalFormatting>
  <conditionalFormatting sqref="V111:V113">
    <cfRule type="expression" dxfId="2717" priority="1961">
      <formula>$AC111=2</formula>
    </cfRule>
  </conditionalFormatting>
  <conditionalFormatting sqref="U111:U113">
    <cfRule type="expression" dxfId="2716" priority="1960">
      <formula>$AC111=2</formula>
    </cfRule>
  </conditionalFormatting>
  <conditionalFormatting sqref="U111:U113">
    <cfRule type="expression" dxfId="2715" priority="1959">
      <formula>U111&gt;F111</formula>
    </cfRule>
  </conditionalFormatting>
  <conditionalFormatting sqref="Q115:R115">
    <cfRule type="expression" dxfId="2714" priority="1953">
      <formula>$AE115=4</formula>
    </cfRule>
    <cfRule type="expression" dxfId="2713" priority="1954">
      <formula>$AE115=3</formula>
    </cfRule>
    <cfRule type="expression" dxfId="2712" priority="1955">
      <formula>$AE115=2</formula>
    </cfRule>
    <cfRule type="expression" dxfId="2711" priority="1956">
      <formula>$AE115=1</formula>
    </cfRule>
  </conditionalFormatting>
  <conditionalFormatting sqref="X115:Y115">
    <cfRule type="expression" dxfId="2710" priority="1949">
      <formula>$AF115=4</formula>
    </cfRule>
    <cfRule type="expression" dxfId="2709" priority="1950">
      <formula>$AF115=3</formula>
    </cfRule>
    <cfRule type="expression" dxfId="2708" priority="1951">
      <formula>$AF115=2</formula>
    </cfRule>
    <cfRule type="expression" dxfId="2707" priority="1952">
      <formula>$AF115=1</formula>
    </cfRule>
  </conditionalFormatting>
  <conditionalFormatting sqref="N115">
    <cfRule type="expression" dxfId="2706" priority="1948">
      <formula>$AC115=2</formula>
    </cfRule>
  </conditionalFormatting>
  <conditionalFormatting sqref="N115">
    <cfRule type="expression" dxfId="2705" priority="1947">
      <formula>N115&gt;F115</formula>
    </cfRule>
  </conditionalFormatting>
  <conditionalFormatting sqref="G115">
    <cfRule type="expression" dxfId="2704" priority="1934">
      <formula>G115&gt;F115</formula>
    </cfRule>
  </conditionalFormatting>
  <conditionalFormatting sqref="J115:K115">
    <cfRule type="expression" dxfId="2703" priority="1938">
      <formula>$AD115=4</formula>
    </cfRule>
    <cfRule type="expression" dxfId="2702" priority="1939">
      <formula>$AD115=3</formula>
    </cfRule>
    <cfRule type="expression" dxfId="2701" priority="1940">
      <formula>$AD115=2</formula>
    </cfRule>
    <cfRule type="expression" dxfId="2700" priority="1941">
      <formula>$AD115=1</formula>
    </cfRule>
  </conditionalFormatting>
  <conditionalFormatting sqref="J115:K115">
    <cfRule type="expression" dxfId="2699" priority="1937">
      <formula>$AC115=2</formula>
    </cfRule>
  </conditionalFormatting>
  <conditionalFormatting sqref="L115">
    <cfRule type="expression" dxfId="2698" priority="1936">
      <formula>$AC115=2</formula>
    </cfRule>
  </conditionalFormatting>
  <conditionalFormatting sqref="G115">
    <cfRule type="expression" dxfId="2697" priority="1935">
      <formula>$AC115=2</formula>
    </cfRule>
  </conditionalFormatting>
  <conditionalFormatting sqref="O115">
    <cfRule type="expression" dxfId="2696" priority="1933">
      <formula>$AC115=2</formula>
    </cfRule>
  </conditionalFormatting>
  <conditionalFormatting sqref="V115">
    <cfRule type="expression" dxfId="2695" priority="1932">
      <formula>$AC115=2</formula>
    </cfRule>
  </conditionalFormatting>
  <conditionalFormatting sqref="U115">
    <cfRule type="expression" dxfId="2694" priority="1931">
      <formula>$AC115=2</formula>
    </cfRule>
  </conditionalFormatting>
  <conditionalFormatting sqref="U115">
    <cfRule type="expression" dxfId="2693" priority="1930">
      <formula>U115&gt;F115</formula>
    </cfRule>
  </conditionalFormatting>
  <conditionalFormatting sqref="Q120:R121">
    <cfRule type="expression" dxfId="2692" priority="1924">
      <formula>$AE120=4</formula>
    </cfRule>
    <cfRule type="expression" dxfId="2691" priority="1925">
      <formula>$AE120=3</formula>
    </cfRule>
    <cfRule type="expression" dxfId="2690" priority="1926">
      <formula>$AE120=2</formula>
    </cfRule>
    <cfRule type="expression" dxfId="2689" priority="1927">
      <formula>$AE120=1</formula>
    </cfRule>
  </conditionalFormatting>
  <conditionalFormatting sqref="X120:Y121">
    <cfRule type="expression" dxfId="2688" priority="1920">
      <formula>$AF120=4</formula>
    </cfRule>
    <cfRule type="expression" dxfId="2687" priority="1921">
      <formula>$AF120=3</formula>
    </cfRule>
    <cfRule type="expression" dxfId="2686" priority="1922">
      <formula>$AF120=2</formula>
    </cfRule>
    <cfRule type="expression" dxfId="2685" priority="1923">
      <formula>$AF120=1</formula>
    </cfRule>
  </conditionalFormatting>
  <conditionalFormatting sqref="N121">
    <cfRule type="expression" dxfId="2684" priority="1919">
      <formula>$AC121=2</formula>
    </cfRule>
  </conditionalFormatting>
  <conditionalFormatting sqref="N121">
    <cfRule type="expression" dxfId="2683" priority="1918">
      <formula>N121&gt;F121</formula>
    </cfRule>
  </conditionalFormatting>
  <conditionalFormatting sqref="G121">
    <cfRule type="expression" dxfId="2682" priority="1905">
      <formula>G121&gt;F121</formula>
    </cfRule>
  </conditionalFormatting>
  <conditionalFormatting sqref="J120:K121">
    <cfRule type="expression" dxfId="2681" priority="1909">
      <formula>$AD120=4</formula>
    </cfRule>
    <cfRule type="expression" dxfId="2680" priority="1910">
      <formula>$AD120=3</formula>
    </cfRule>
    <cfRule type="expression" dxfId="2679" priority="1911">
      <formula>$AD120=2</formula>
    </cfRule>
    <cfRule type="expression" dxfId="2678" priority="1912">
      <formula>$AD120=1</formula>
    </cfRule>
  </conditionalFormatting>
  <conditionalFormatting sqref="J120:K121">
    <cfRule type="expression" dxfId="2677" priority="1908">
      <formula>$AC120=2</formula>
    </cfRule>
  </conditionalFormatting>
  <conditionalFormatting sqref="L120:L121">
    <cfRule type="expression" dxfId="2676" priority="1907">
      <formula>$AC120=2</formula>
    </cfRule>
  </conditionalFormatting>
  <conditionalFormatting sqref="G121">
    <cfRule type="expression" dxfId="2675" priority="1906">
      <formula>$AC121=2</formula>
    </cfRule>
  </conditionalFormatting>
  <conditionalFormatting sqref="O120:O121">
    <cfRule type="expression" dxfId="2674" priority="1904">
      <formula>$AC120=2</formula>
    </cfRule>
  </conditionalFormatting>
  <conditionalFormatting sqref="V120:V121">
    <cfRule type="expression" dxfId="2673" priority="1903">
      <formula>$AC120=2</formula>
    </cfRule>
  </conditionalFormatting>
  <conditionalFormatting sqref="U121">
    <cfRule type="expression" dxfId="2672" priority="1902">
      <formula>$AC121=2</formula>
    </cfRule>
  </conditionalFormatting>
  <conditionalFormatting sqref="U121">
    <cfRule type="expression" dxfId="2671" priority="1901">
      <formula>U121&gt;F121</formula>
    </cfRule>
  </conditionalFormatting>
  <conditionalFormatting sqref="Q122:R122">
    <cfRule type="expression" dxfId="2670" priority="1895">
      <formula>$AE122=4</formula>
    </cfRule>
    <cfRule type="expression" dxfId="2669" priority="1896">
      <formula>$AE122=3</formula>
    </cfRule>
    <cfRule type="expression" dxfId="2668" priority="1897">
      <formula>$AE122=2</formula>
    </cfRule>
    <cfRule type="expression" dxfId="2667" priority="1898">
      <formula>$AE122=1</formula>
    </cfRule>
  </conditionalFormatting>
  <conditionalFormatting sqref="X122:Y122">
    <cfRule type="expression" dxfId="2666" priority="1891">
      <formula>$AF122=4</formula>
    </cfRule>
    <cfRule type="expression" dxfId="2665" priority="1892">
      <formula>$AF122=3</formula>
    </cfRule>
    <cfRule type="expression" dxfId="2664" priority="1893">
      <formula>$AF122=2</formula>
    </cfRule>
    <cfRule type="expression" dxfId="2663" priority="1894">
      <formula>$AF122=1</formula>
    </cfRule>
  </conditionalFormatting>
  <conditionalFormatting sqref="N122">
    <cfRule type="expression" dxfId="2662" priority="1890">
      <formula>$AC122=2</formula>
    </cfRule>
  </conditionalFormatting>
  <conditionalFormatting sqref="N122">
    <cfRule type="expression" dxfId="2661" priority="1889">
      <formula>N122&gt;F122</formula>
    </cfRule>
  </conditionalFormatting>
  <conditionalFormatting sqref="G122">
    <cfRule type="expression" dxfId="2660" priority="1876">
      <formula>G122&gt;F122</formula>
    </cfRule>
  </conditionalFormatting>
  <conditionalFormatting sqref="J122:K122">
    <cfRule type="expression" dxfId="2659" priority="1880">
      <formula>$AD122=4</formula>
    </cfRule>
    <cfRule type="expression" dxfId="2658" priority="1881">
      <formula>$AD122=3</formula>
    </cfRule>
    <cfRule type="expression" dxfId="2657" priority="1882">
      <formula>$AD122=2</formula>
    </cfRule>
    <cfRule type="expression" dxfId="2656" priority="1883">
      <formula>$AD122=1</formula>
    </cfRule>
  </conditionalFormatting>
  <conditionalFormatting sqref="J122:K122">
    <cfRule type="expression" dxfId="2655" priority="1879">
      <formula>$AC122=2</formula>
    </cfRule>
  </conditionalFormatting>
  <conditionalFormatting sqref="L122">
    <cfRule type="expression" dxfId="2654" priority="1878">
      <formula>$AC122=2</formula>
    </cfRule>
  </conditionalFormatting>
  <conditionalFormatting sqref="G122">
    <cfRule type="expression" dxfId="2653" priority="1877">
      <formula>$AC122=2</formula>
    </cfRule>
  </conditionalFormatting>
  <conditionalFormatting sqref="O122">
    <cfRule type="expression" dxfId="2652" priority="1875">
      <formula>$AC122=2</formula>
    </cfRule>
  </conditionalFormatting>
  <conditionalFormatting sqref="V122">
    <cfRule type="expression" dxfId="2651" priority="1874">
      <formula>$AC122=2</formula>
    </cfRule>
  </conditionalFormatting>
  <conditionalFormatting sqref="U122">
    <cfRule type="expression" dxfId="2650" priority="1873">
      <formula>$AC122=2</formula>
    </cfRule>
  </conditionalFormatting>
  <conditionalFormatting sqref="U122">
    <cfRule type="expression" dxfId="2649" priority="1872">
      <formula>U122&gt;F122</formula>
    </cfRule>
  </conditionalFormatting>
  <conditionalFormatting sqref="Q124:R126">
    <cfRule type="expression" dxfId="2648" priority="1866">
      <formula>$AE124=4</formula>
    </cfRule>
    <cfRule type="expression" dxfId="2647" priority="1867">
      <formula>$AE124=3</formula>
    </cfRule>
    <cfRule type="expression" dxfId="2646" priority="1868">
      <formula>$AE124=2</formula>
    </cfRule>
    <cfRule type="expression" dxfId="2645" priority="1869">
      <formula>$AE124=1</formula>
    </cfRule>
  </conditionalFormatting>
  <conditionalFormatting sqref="X124:Y126">
    <cfRule type="expression" dxfId="2644" priority="1862">
      <formula>$AF124=4</formula>
    </cfRule>
    <cfRule type="expression" dxfId="2643" priority="1863">
      <formula>$AF124=3</formula>
    </cfRule>
    <cfRule type="expression" dxfId="2642" priority="1864">
      <formula>$AF124=2</formula>
    </cfRule>
    <cfRule type="expression" dxfId="2641" priority="1865">
      <formula>$AF124=1</formula>
    </cfRule>
  </conditionalFormatting>
  <conditionalFormatting sqref="N125:N126">
    <cfRule type="expression" dxfId="2640" priority="1861">
      <formula>$AC125=2</formula>
    </cfRule>
  </conditionalFormatting>
  <conditionalFormatting sqref="N125:N126">
    <cfRule type="expression" dxfId="2639" priority="1860">
      <formula>N125&gt;F125</formula>
    </cfRule>
  </conditionalFormatting>
  <conditionalFormatting sqref="G125:G126">
    <cfRule type="expression" dxfId="2638" priority="1847">
      <formula>G125&gt;F125</formula>
    </cfRule>
  </conditionalFormatting>
  <conditionalFormatting sqref="J124:K126">
    <cfRule type="expression" dxfId="2637" priority="1851">
      <formula>$AD124=4</formula>
    </cfRule>
    <cfRule type="expression" dxfId="2636" priority="1852">
      <formula>$AD124=3</formula>
    </cfRule>
    <cfRule type="expression" dxfId="2635" priority="1853">
      <formula>$AD124=2</formula>
    </cfRule>
    <cfRule type="expression" dxfId="2634" priority="1854">
      <formula>$AD124=1</formula>
    </cfRule>
  </conditionalFormatting>
  <conditionalFormatting sqref="J124:K126">
    <cfRule type="expression" dxfId="2633" priority="1850">
      <formula>$AC124=2</formula>
    </cfRule>
  </conditionalFormatting>
  <conditionalFormatting sqref="L124:L126">
    <cfRule type="expression" dxfId="2632" priority="1849">
      <formula>$AC124=2</formula>
    </cfRule>
  </conditionalFormatting>
  <conditionalFormatting sqref="G125:G126">
    <cfRule type="expression" dxfId="2631" priority="1848">
      <formula>$AC125=2</formula>
    </cfRule>
  </conditionalFormatting>
  <conditionalFormatting sqref="O124:O126">
    <cfRule type="expression" dxfId="2630" priority="1846">
      <formula>$AC124=2</formula>
    </cfRule>
  </conditionalFormatting>
  <conditionalFormatting sqref="V124:V126">
    <cfRule type="expression" dxfId="2629" priority="1845">
      <formula>$AC124=2</formula>
    </cfRule>
  </conditionalFormatting>
  <conditionalFormatting sqref="U125:U126">
    <cfRule type="expression" dxfId="2628" priority="1844">
      <formula>$AC125=2</formula>
    </cfRule>
  </conditionalFormatting>
  <conditionalFormatting sqref="U125:U126">
    <cfRule type="expression" dxfId="2627" priority="1843">
      <formula>U125&gt;F125</formula>
    </cfRule>
  </conditionalFormatting>
  <conditionalFormatting sqref="Q128:R130">
    <cfRule type="expression" dxfId="2626" priority="1837">
      <formula>$AE128=4</formula>
    </cfRule>
    <cfRule type="expression" dxfId="2625" priority="1838">
      <formula>$AE128=3</formula>
    </cfRule>
    <cfRule type="expression" dxfId="2624" priority="1839">
      <formula>$AE128=2</formula>
    </cfRule>
    <cfRule type="expression" dxfId="2623" priority="1840">
      <formula>$AE128=1</formula>
    </cfRule>
  </conditionalFormatting>
  <conditionalFormatting sqref="X128:Y130">
    <cfRule type="expression" dxfId="2622" priority="1833">
      <formula>$AF128=4</formula>
    </cfRule>
    <cfRule type="expression" dxfId="2621" priority="1834">
      <formula>$AF128=3</formula>
    </cfRule>
    <cfRule type="expression" dxfId="2620" priority="1835">
      <formula>$AF128=2</formula>
    </cfRule>
    <cfRule type="expression" dxfId="2619" priority="1836">
      <formula>$AF128=1</formula>
    </cfRule>
  </conditionalFormatting>
  <conditionalFormatting sqref="N129:N130">
    <cfRule type="expression" dxfId="2618" priority="1832">
      <formula>$AC129=2</formula>
    </cfRule>
  </conditionalFormatting>
  <conditionalFormatting sqref="N129:N130">
    <cfRule type="expression" dxfId="2617" priority="1831">
      <formula>N129&gt;F129</formula>
    </cfRule>
  </conditionalFormatting>
  <conditionalFormatting sqref="G129:G130">
    <cfRule type="expression" dxfId="2616" priority="1818">
      <formula>G129&gt;F129</formula>
    </cfRule>
  </conditionalFormatting>
  <conditionalFormatting sqref="J128:K130">
    <cfRule type="expression" dxfId="2615" priority="1822">
      <formula>$AD128=4</formula>
    </cfRule>
    <cfRule type="expression" dxfId="2614" priority="1823">
      <formula>$AD128=3</formula>
    </cfRule>
    <cfRule type="expression" dxfId="2613" priority="1824">
      <formula>$AD128=2</formula>
    </cfRule>
    <cfRule type="expression" dxfId="2612" priority="1825">
      <formula>$AD128=1</formula>
    </cfRule>
  </conditionalFormatting>
  <conditionalFormatting sqref="J128:K130">
    <cfRule type="expression" dxfId="2611" priority="1821">
      <formula>$AC128=2</formula>
    </cfRule>
  </conditionalFormatting>
  <conditionalFormatting sqref="L128:L130">
    <cfRule type="expression" dxfId="2610" priority="1820">
      <formula>$AC128=2</formula>
    </cfRule>
  </conditionalFormatting>
  <conditionalFormatting sqref="G129:G130">
    <cfRule type="expression" dxfId="2609" priority="1819">
      <formula>$AC129=2</formula>
    </cfRule>
  </conditionalFormatting>
  <conditionalFormatting sqref="O128:O130">
    <cfRule type="expression" dxfId="2608" priority="1817">
      <formula>$AC128=2</formula>
    </cfRule>
  </conditionalFormatting>
  <conditionalFormatting sqref="V128:V130">
    <cfRule type="expression" dxfId="2607" priority="1816">
      <formula>$AC128=2</formula>
    </cfRule>
  </conditionalFormatting>
  <conditionalFormatting sqref="U129:U130">
    <cfRule type="expression" dxfId="2606" priority="1815">
      <formula>$AC129=2</formula>
    </cfRule>
  </conditionalFormatting>
  <conditionalFormatting sqref="U129:U130">
    <cfRule type="expression" dxfId="2605" priority="1814">
      <formula>U129&gt;F129</formula>
    </cfRule>
  </conditionalFormatting>
  <conditionalFormatting sqref="Q132:R135">
    <cfRule type="expression" dxfId="2604" priority="1808">
      <formula>$AE132=4</formula>
    </cfRule>
    <cfRule type="expression" dxfId="2603" priority="1809">
      <formula>$AE132=3</formula>
    </cfRule>
    <cfRule type="expression" dxfId="2602" priority="1810">
      <formula>$AE132=2</formula>
    </cfRule>
    <cfRule type="expression" dxfId="2601" priority="1811">
      <formula>$AE132=1</formula>
    </cfRule>
  </conditionalFormatting>
  <conditionalFormatting sqref="X132:Y135">
    <cfRule type="expression" dxfId="2600" priority="1804">
      <formula>$AF132=4</formula>
    </cfRule>
    <cfRule type="expression" dxfId="2599" priority="1805">
      <formula>$AF132=3</formula>
    </cfRule>
    <cfRule type="expression" dxfId="2598" priority="1806">
      <formula>$AF132=2</formula>
    </cfRule>
    <cfRule type="expression" dxfId="2597" priority="1807">
      <formula>$AF132=1</formula>
    </cfRule>
  </conditionalFormatting>
  <conditionalFormatting sqref="N133:N135">
    <cfRule type="expression" dxfId="2596" priority="1803">
      <formula>$AC133=2</formula>
    </cfRule>
  </conditionalFormatting>
  <conditionalFormatting sqref="N133:N135">
    <cfRule type="expression" dxfId="2595" priority="1802">
      <formula>N133&gt;F133</formula>
    </cfRule>
  </conditionalFormatting>
  <conditionalFormatting sqref="G133:G135">
    <cfRule type="expression" dxfId="2594" priority="1789">
      <formula>G133&gt;F133</formula>
    </cfRule>
  </conditionalFormatting>
  <conditionalFormatting sqref="J132:K133">
    <cfRule type="expression" dxfId="2593" priority="1793">
      <formula>$AD132=4</formula>
    </cfRule>
    <cfRule type="expression" dxfId="2592" priority="1794">
      <formula>$AD132=3</formula>
    </cfRule>
    <cfRule type="expression" dxfId="2591" priority="1795">
      <formula>$AD132=2</formula>
    </cfRule>
    <cfRule type="expression" dxfId="2590" priority="1796">
      <formula>$AD132=1</formula>
    </cfRule>
  </conditionalFormatting>
  <conditionalFormatting sqref="J132:K133">
    <cfRule type="expression" dxfId="2589" priority="1792">
      <formula>$AC132=2</formula>
    </cfRule>
  </conditionalFormatting>
  <conditionalFormatting sqref="L132:L135">
    <cfRule type="expression" dxfId="2588" priority="1791">
      <formula>$AC132=2</formula>
    </cfRule>
  </conditionalFormatting>
  <conditionalFormatting sqref="G133:G135">
    <cfRule type="expression" dxfId="2587" priority="1790">
      <formula>$AC133=2</formula>
    </cfRule>
  </conditionalFormatting>
  <conditionalFormatting sqref="O132:O135">
    <cfRule type="expression" dxfId="2586" priority="1788">
      <formula>$AC132=2</formula>
    </cfRule>
  </conditionalFormatting>
  <conditionalFormatting sqref="V132:V135">
    <cfRule type="expression" dxfId="2585" priority="1787">
      <formula>$AC132=2</formula>
    </cfRule>
  </conditionalFormatting>
  <conditionalFormatting sqref="U133:U135">
    <cfRule type="expression" dxfId="2584" priority="1786">
      <formula>$AC133=2</formula>
    </cfRule>
  </conditionalFormatting>
  <conditionalFormatting sqref="U133:U135">
    <cfRule type="expression" dxfId="2583" priority="1785">
      <formula>U133&gt;F133</formula>
    </cfRule>
  </conditionalFormatting>
  <conditionalFormatting sqref="Q139:R141">
    <cfRule type="expression" dxfId="2582" priority="1779">
      <formula>$AE139=4</formula>
    </cfRule>
    <cfRule type="expression" dxfId="2581" priority="1780">
      <formula>$AE139=3</formula>
    </cfRule>
    <cfRule type="expression" dxfId="2580" priority="1781">
      <formula>$AE139=2</formula>
    </cfRule>
    <cfRule type="expression" dxfId="2579" priority="1782">
      <formula>$AE139=1</formula>
    </cfRule>
  </conditionalFormatting>
  <conditionalFormatting sqref="X139:Y141">
    <cfRule type="expression" dxfId="2578" priority="1775">
      <formula>$AF139=4</formula>
    </cfRule>
    <cfRule type="expression" dxfId="2577" priority="1776">
      <formula>$AF139=3</formula>
    </cfRule>
    <cfRule type="expression" dxfId="2576" priority="1777">
      <formula>$AF139=2</formula>
    </cfRule>
    <cfRule type="expression" dxfId="2575" priority="1778">
      <formula>$AF139=1</formula>
    </cfRule>
  </conditionalFormatting>
  <conditionalFormatting sqref="N139:N141">
    <cfRule type="expression" dxfId="2574" priority="1774">
      <formula>$AC139=2</formula>
    </cfRule>
  </conditionalFormatting>
  <conditionalFormatting sqref="N139:N141">
    <cfRule type="expression" dxfId="2573" priority="1773">
      <formula>N139&gt;F139</formula>
    </cfRule>
  </conditionalFormatting>
  <conditionalFormatting sqref="G139:G141">
    <cfRule type="expression" dxfId="2572" priority="1760">
      <formula>G139&gt;F139</formula>
    </cfRule>
  </conditionalFormatting>
  <conditionalFormatting sqref="J139:K141">
    <cfRule type="expression" dxfId="2571" priority="1764">
      <formula>$AD139=4</formula>
    </cfRule>
    <cfRule type="expression" dxfId="2570" priority="1765">
      <formula>$AD139=3</formula>
    </cfRule>
    <cfRule type="expression" dxfId="2569" priority="1766">
      <formula>$AD139=2</formula>
    </cfRule>
    <cfRule type="expression" dxfId="2568" priority="1767">
      <formula>$AD139=1</formula>
    </cfRule>
  </conditionalFormatting>
  <conditionalFormatting sqref="J139:K141">
    <cfRule type="expression" dxfId="2567" priority="1763">
      <formula>$AC139=2</formula>
    </cfRule>
  </conditionalFormatting>
  <conditionalFormatting sqref="L139:L141">
    <cfRule type="expression" dxfId="2566" priority="1762">
      <formula>$AC139=2</formula>
    </cfRule>
  </conditionalFormatting>
  <conditionalFormatting sqref="G139:G141">
    <cfRule type="expression" dxfId="2565" priority="1761">
      <formula>$AC139=2</formula>
    </cfRule>
  </conditionalFormatting>
  <conditionalFormatting sqref="O139:O141">
    <cfRule type="expression" dxfId="2564" priority="1759">
      <formula>$AC139=2</formula>
    </cfRule>
  </conditionalFormatting>
  <conditionalFormatting sqref="V139:V141">
    <cfRule type="expression" dxfId="2563" priority="1758">
      <formula>$AC139=2</formula>
    </cfRule>
  </conditionalFormatting>
  <conditionalFormatting sqref="U139:U141">
    <cfRule type="expression" dxfId="2562" priority="1757">
      <formula>$AC139=2</formula>
    </cfRule>
  </conditionalFormatting>
  <conditionalFormatting sqref="U139:U141">
    <cfRule type="expression" dxfId="2561" priority="1756">
      <formula>U139&gt;F139</formula>
    </cfRule>
  </conditionalFormatting>
  <conditionalFormatting sqref="Q143:R145">
    <cfRule type="expression" dxfId="2560" priority="1750">
      <formula>$AE143=4</formula>
    </cfRule>
    <cfRule type="expression" dxfId="2559" priority="1751">
      <formula>$AE143=3</formula>
    </cfRule>
    <cfRule type="expression" dxfId="2558" priority="1752">
      <formula>$AE143=2</formula>
    </cfRule>
    <cfRule type="expression" dxfId="2557" priority="1753">
      <formula>$AE143=1</formula>
    </cfRule>
  </conditionalFormatting>
  <conditionalFormatting sqref="X143:Y145">
    <cfRule type="expression" dxfId="2556" priority="1746">
      <formula>$AF143=4</formula>
    </cfRule>
    <cfRule type="expression" dxfId="2555" priority="1747">
      <formula>$AF143=3</formula>
    </cfRule>
    <cfRule type="expression" dxfId="2554" priority="1748">
      <formula>$AF143=2</formula>
    </cfRule>
    <cfRule type="expression" dxfId="2553" priority="1749">
      <formula>$AF143=1</formula>
    </cfRule>
  </conditionalFormatting>
  <conditionalFormatting sqref="N143:N145">
    <cfRule type="expression" dxfId="2552" priority="1745">
      <formula>$AC143=2</formula>
    </cfRule>
  </conditionalFormatting>
  <conditionalFormatting sqref="N143:N145">
    <cfRule type="expression" dxfId="2551" priority="1744">
      <formula>N143&gt;F143</formula>
    </cfRule>
  </conditionalFormatting>
  <conditionalFormatting sqref="G143:G145">
    <cfRule type="expression" dxfId="2550" priority="1731">
      <formula>G143&gt;F143</formula>
    </cfRule>
  </conditionalFormatting>
  <conditionalFormatting sqref="J143:K145">
    <cfRule type="expression" dxfId="2549" priority="1735">
      <formula>$AD143=4</formula>
    </cfRule>
    <cfRule type="expression" dxfId="2548" priority="1736">
      <formula>$AD143=3</formula>
    </cfRule>
    <cfRule type="expression" dxfId="2547" priority="1737">
      <formula>$AD143=2</formula>
    </cfRule>
    <cfRule type="expression" dxfId="2546" priority="1738">
      <formula>$AD143=1</formula>
    </cfRule>
  </conditionalFormatting>
  <conditionalFormatting sqref="J143:K145">
    <cfRule type="expression" dxfId="2545" priority="1734">
      <formula>$AC143=2</formula>
    </cfRule>
  </conditionalFormatting>
  <conditionalFormatting sqref="L143:L145">
    <cfRule type="expression" dxfId="2544" priority="1733">
      <formula>$AC143=2</formula>
    </cfRule>
  </conditionalFormatting>
  <conditionalFormatting sqref="G143:G145">
    <cfRule type="expression" dxfId="2543" priority="1732">
      <formula>$AC143=2</formula>
    </cfRule>
  </conditionalFormatting>
  <conditionalFormatting sqref="O143:O145">
    <cfRule type="expression" dxfId="2542" priority="1730">
      <formula>$AC143=2</formula>
    </cfRule>
  </conditionalFormatting>
  <conditionalFormatting sqref="V143:V145">
    <cfRule type="expression" dxfId="2541" priority="1729">
      <formula>$AC143=2</formula>
    </cfRule>
  </conditionalFormatting>
  <conditionalFormatting sqref="U143:U145">
    <cfRule type="expression" dxfId="2540" priority="1728">
      <formula>$AC143=2</formula>
    </cfRule>
  </conditionalFormatting>
  <conditionalFormatting sqref="U143:U145">
    <cfRule type="expression" dxfId="2539" priority="1727">
      <formula>U143&gt;F143</formula>
    </cfRule>
  </conditionalFormatting>
  <conditionalFormatting sqref="Q151:R153">
    <cfRule type="expression" dxfId="2538" priority="1721">
      <formula>$AE151=4</formula>
    </cfRule>
    <cfRule type="expression" dxfId="2537" priority="1722">
      <formula>$AE151=3</formula>
    </cfRule>
    <cfRule type="expression" dxfId="2536" priority="1723">
      <formula>$AE151=2</formula>
    </cfRule>
    <cfRule type="expression" dxfId="2535" priority="1724">
      <formula>$AE151=1</formula>
    </cfRule>
  </conditionalFormatting>
  <conditionalFormatting sqref="X151:Y153">
    <cfRule type="expression" dxfId="2534" priority="1717">
      <formula>$AF151=4</formula>
    </cfRule>
    <cfRule type="expression" dxfId="2533" priority="1718">
      <formula>$AF151=3</formula>
    </cfRule>
    <cfRule type="expression" dxfId="2532" priority="1719">
      <formula>$AF151=2</formula>
    </cfRule>
    <cfRule type="expression" dxfId="2531" priority="1720">
      <formula>$AF151=1</formula>
    </cfRule>
  </conditionalFormatting>
  <conditionalFormatting sqref="N152:N153">
    <cfRule type="expression" dxfId="2530" priority="1716">
      <formula>$AC152=2</formula>
    </cfRule>
  </conditionalFormatting>
  <conditionalFormatting sqref="N152:N153">
    <cfRule type="expression" dxfId="2529" priority="1715">
      <formula>N152&gt;F152</formula>
    </cfRule>
  </conditionalFormatting>
  <conditionalFormatting sqref="G152:G153">
    <cfRule type="expression" dxfId="2528" priority="1702">
      <formula>G152&gt;F152</formula>
    </cfRule>
  </conditionalFormatting>
  <conditionalFormatting sqref="J151:K153">
    <cfRule type="expression" dxfId="2527" priority="1706">
      <formula>$AD151=4</formula>
    </cfRule>
    <cfRule type="expression" dxfId="2526" priority="1707">
      <formula>$AD151=3</formula>
    </cfRule>
    <cfRule type="expression" dxfId="2525" priority="1708">
      <formula>$AD151=2</formula>
    </cfRule>
    <cfRule type="expression" dxfId="2524" priority="1709">
      <formula>$AD151=1</formula>
    </cfRule>
  </conditionalFormatting>
  <conditionalFormatting sqref="J151:K153">
    <cfRule type="expression" dxfId="2523" priority="1705">
      <formula>$AC151=2</formula>
    </cfRule>
  </conditionalFormatting>
  <conditionalFormatting sqref="L151:L154">
    <cfRule type="expression" dxfId="2522" priority="1704">
      <formula>$AC151=2</formula>
    </cfRule>
  </conditionalFormatting>
  <conditionalFormatting sqref="G152:G153">
    <cfRule type="expression" dxfId="2521" priority="1703">
      <formula>$AC152=2</formula>
    </cfRule>
  </conditionalFormatting>
  <conditionalFormatting sqref="O151:O153">
    <cfRule type="expression" dxfId="2520" priority="1701">
      <formula>$AC151=2</formula>
    </cfRule>
  </conditionalFormatting>
  <conditionalFormatting sqref="V151:V153">
    <cfRule type="expression" dxfId="2519" priority="1700">
      <formula>$AC151=2</formula>
    </cfRule>
  </conditionalFormatting>
  <conditionalFormatting sqref="U152:U153">
    <cfRule type="expression" dxfId="2518" priority="1699">
      <formula>$AC152=2</formula>
    </cfRule>
  </conditionalFormatting>
  <conditionalFormatting sqref="U152:U153">
    <cfRule type="expression" dxfId="2517" priority="1698">
      <formula>U152&gt;F152</formula>
    </cfRule>
  </conditionalFormatting>
  <conditionalFormatting sqref="Q156:R156">
    <cfRule type="expression" dxfId="2516" priority="1692">
      <formula>$AE156=4</formula>
    </cfRule>
    <cfRule type="expression" dxfId="2515" priority="1693">
      <formula>$AE156=3</formula>
    </cfRule>
    <cfRule type="expression" dxfId="2514" priority="1694">
      <formula>$AE156=2</formula>
    </cfRule>
    <cfRule type="expression" dxfId="2513" priority="1695">
      <formula>$AE156=1</formula>
    </cfRule>
  </conditionalFormatting>
  <conditionalFormatting sqref="X156:Y156">
    <cfRule type="expression" dxfId="2512" priority="1688">
      <formula>$AF156=4</formula>
    </cfRule>
    <cfRule type="expression" dxfId="2511" priority="1689">
      <formula>$AF156=3</formula>
    </cfRule>
    <cfRule type="expression" dxfId="2510" priority="1690">
      <formula>$AF156=2</formula>
    </cfRule>
    <cfRule type="expression" dxfId="2509" priority="1691">
      <formula>$AF156=1</formula>
    </cfRule>
  </conditionalFormatting>
  <conditionalFormatting sqref="N156">
    <cfRule type="expression" dxfId="2508" priority="1687">
      <formula>$AC156=2</formula>
    </cfRule>
  </conditionalFormatting>
  <conditionalFormatting sqref="N156">
    <cfRule type="expression" dxfId="2507" priority="1686">
      <formula>N156&gt;F156</formula>
    </cfRule>
  </conditionalFormatting>
  <conditionalFormatting sqref="G156">
    <cfRule type="expression" dxfId="2506" priority="1673">
      <formula>G156&gt;F156</formula>
    </cfRule>
  </conditionalFormatting>
  <conditionalFormatting sqref="J156:K156">
    <cfRule type="expression" dxfId="2505" priority="1677">
      <formula>$AD156=4</formula>
    </cfRule>
    <cfRule type="expression" dxfId="2504" priority="1678">
      <formula>$AD156=3</formula>
    </cfRule>
    <cfRule type="expression" dxfId="2503" priority="1679">
      <formula>$AD156=2</formula>
    </cfRule>
    <cfRule type="expression" dxfId="2502" priority="1680">
      <formula>$AD156=1</formula>
    </cfRule>
  </conditionalFormatting>
  <conditionalFormatting sqref="J156:K156">
    <cfRule type="expression" dxfId="2501" priority="1676">
      <formula>$AC156=2</formula>
    </cfRule>
  </conditionalFormatting>
  <conditionalFormatting sqref="L156">
    <cfRule type="expression" dxfId="2500" priority="1675">
      <formula>$AC156=2</formula>
    </cfRule>
  </conditionalFormatting>
  <conditionalFormatting sqref="G156">
    <cfRule type="expression" dxfId="2499" priority="1674">
      <formula>$AC156=2</formula>
    </cfRule>
  </conditionalFormatting>
  <conditionalFormatting sqref="O156">
    <cfRule type="expression" dxfId="2498" priority="1672">
      <formula>$AC156=2</formula>
    </cfRule>
  </conditionalFormatting>
  <conditionalFormatting sqref="V156">
    <cfRule type="expression" dxfId="2497" priority="1671">
      <formula>$AC156=2</formula>
    </cfRule>
  </conditionalFormatting>
  <conditionalFormatting sqref="U156">
    <cfRule type="expression" dxfId="2496" priority="1670">
      <formula>$AC156=2</formula>
    </cfRule>
  </conditionalFormatting>
  <conditionalFormatting sqref="U156">
    <cfRule type="expression" dxfId="2495" priority="1669">
      <formula>U156&gt;F156</formula>
    </cfRule>
  </conditionalFormatting>
  <conditionalFormatting sqref="Q158:R158">
    <cfRule type="expression" dxfId="2494" priority="1663">
      <formula>$AE158=4</formula>
    </cfRule>
    <cfRule type="expression" dxfId="2493" priority="1664">
      <formula>$AE158=3</formula>
    </cfRule>
    <cfRule type="expression" dxfId="2492" priority="1665">
      <formula>$AE158=2</formula>
    </cfRule>
    <cfRule type="expression" dxfId="2491" priority="1666">
      <formula>$AE158=1</formula>
    </cfRule>
  </conditionalFormatting>
  <conditionalFormatting sqref="X158:Y158">
    <cfRule type="expression" dxfId="2490" priority="1659">
      <formula>$AF158=4</formula>
    </cfRule>
    <cfRule type="expression" dxfId="2489" priority="1660">
      <formula>$AF158=3</formula>
    </cfRule>
    <cfRule type="expression" dxfId="2488" priority="1661">
      <formula>$AF158=2</formula>
    </cfRule>
    <cfRule type="expression" dxfId="2487" priority="1662">
      <formula>$AF158=1</formula>
    </cfRule>
  </conditionalFormatting>
  <conditionalFormatting sqref="N158">
    <cfRule type="expression" dxfId="2486" priority="1658">
      <formula>$AC158=2</formula>
    </cfRule>
  </conditionalFormatting>
  <conditionalFormatting sqref="N158">
    <cfRule type="expression" dxfId="2485" priority="1657">
      <formula>N158&gt;F158</formula>
    </cfRule>
  </conditionalFormatting>
  <conditionalFormatting sqref="G158">
    <cfRule type="expression" dxfId="2484" priority="1644">
      <formula>G158&gt;F158</formula>
    </cfRule>
  </conditionalFormatting>
  <conditionalFormatting sqref="J158:K158">
    <cfRule type="expression" dxfId="2483" priority="1648">
      <formula>$AD158=4</formula>
    </cfRule>
    <cfRule type="expression" dxfId="2482" priority="1649">
      <formula>$AD158=3</formula>
    </cfRule>
    <cfRule type="expression" dxfId="2481" priority="1650">
      <formula>$AD158=2</formula>
    </cfRule>
    <cfRule type="expression" dxfId="2480" priority="1651">
      <formula>$AD158=1</formula>
    </cfRule>
  </conditionalFormatting>
  <conditionalFormatting sqref="J158:K158">
    <cfRule type="expression" dxfId="2479" priority="1647">
      <formula>$AC158=2</formula>
    </cfRule>
  </conditionalFormatting>
  <conditionalFormatting sqref="L158">
    <cfRule type="expression" dxfId="2478" priority="1646">
      <formula>$AC158=2</formula>
    </cfRule>
  </conditionalFormatting>
  <conditionalFormatting sqref="G158">
    <cfRule type="expression" dxfId="2477" priority="1645">
      <formula>$AC158=2</formula>
    </cfRule>
  </conditionalFormatting>
  <conditionalFormatting sqref="O158">
    <cfRule type="expression" dxfId="2476" priority="1643">
      <formula>$AC158=2</formula>
    </cfRule>
  </conditionalFormatting>
  <conditionalFormatting sqref="V158">
    <cfRule type="expression" dxfId="2475" priority="1642">
      <formula>$AC158=2</formula>
    </cfRule>
  </conditionalFormatting>
  <conditionalFormatting sqref="U158">
    <cfRule type="expression" dxfId="2474" priority="1641">
      <formula>$AC158=2</formula>
    </cfRule>
  </conditionalFormatting>
  <conditionalFormatting sqref="U158">
    <cfRule type="expression" dxfId="2473" priority="1640">
      <formula>U158&gt;F158</formula>
    </cfRule>
  </conditionalFormatting>
  <conditionalFormatting sqref="Q160:R160">
    <cfRule type="expression" dxfId="2472" priority="1634">
      <formula>$AE160=4</formula>
    </cfRule>
    <cfRule type="expression" dxfId="2471" priority="1635">
      <formula>$AE160=3</formula>
    </cfRule>
    <cfRule type="expression" dxfId="2470" priority="1636">
      <formula>$AE160=2</formula>
    </cfRule>
    <cfRule type="expression" dxfId="2469" priority="1637">
      <formula>$AE160=1</formula>
    </cfRule>
  </conditionalFormatting>
  <conditionalFormatting sqref="X160:Y160">
    <cfRule type="expression" dxfId="2468" priority="1630">
      <formula>$AF160=4</formula>
    </cfRule>
    <cfRule type="expression" dxfId="2467" priority="1631">
      <formula>$AF160=3</formula>
    </cfRule>
    <cfRule type="expression" dxfId="2466" priority="1632">
      <formula>$AF160=2</formula>
    </cfRule>
    <cfRule type="expression" dxfId="2465" priority="1633">
      <formula>$AF160=1</formula>
    </cfRule>
  </conditionalFormatting>
  <conditionalFormatting sqref="N160">
    <cfRule type="expression" dxfId="2464" priority="1629">
      <formula>$AC160=2</formula>
    </cfRule>
  </conditionalFormatting>
  <conditionalFormatting sqref="N160">
    <cfRule type="expression" dxfId="2463" priority="1628">
      <formula>N160&gt;F160</formula>
    </cfRule>
  </conditionalFormatting>
  <conditionalFormatting sqref="G160">
    <cfRule type="expression" dxfId="2462" priority="1615">
      <formula>G160&gt;F160</formula>
    </cfRule>
  </conditionalFormatting>
  <conditionalFormatting sqref="J160:K160">
    <cfRule type="expression" dxfId="2461" priority="1619">
      <formula>$AD160=4</formula>
    </cfRule>
    <cfRule type="expression" dxfId="2460" priority="1620">
      <formula>$AD160=3</formula>
    </cfRule>
    <cfRule type="expression" dxfId="2459" priority="1621">
      <formula>$AD160=2</formula>
    </cfRule>
    <cfRule type="expression" dxfId="2458" priority="1622">
      <formula>$AD160=1</formula>
    </cfRule>
  </conditionalFormatting>
  <conditionalFormatting sqref="J160:K160">
    <cfRule type="expression" dxfId="2457" priority="1618">
      <formula>$AC160=2</formula>
    </cfRule>
  </conditionalFormatting>
  <conditionalFormatting sqref="L160">
    <cfRule type="expression" dxfId="2456" priority="1617">
      <formula>$AC160=2</formula>
    </cfRule>
  </conditionalFormatting>
  <conditionalFormatting sqref="G160">
    <cfRule type="expression" dxfId="2455" priority="1616">
      <formula>$AC160=2</formula>
    </cfRule>
  </conditionalFormatting>
  <conditionalFormatting sqref="O160">
    <cfRule type="expression" dxfId="2454" priority="1614">
      <formula>$AC160=2</formula>
    </cfRule>
  </conditionalFormatting>
  <conditionalFormatting sqref="V160">
    <cfRule type="expression" dxfId="2453" priority="1613">
      <formula>$AC160=2</formula>
    </cfRule>
  </conditionalFormatting>
  <conditionalFormatting sqref="U160">
    <cfRule type="expression" dxfId="2452" priority="1612">
      <formula>$AC160=2</formula>
    </cfRule>
  </conditionalFormatting>
  <conditionalFormatting sqref="U160">
    <cfRule type="expression" dxfId="2451" priority="1611">
      <formula>U160&gt;F160</formula>
    </cfRule>
  </conditionalFormatting>
  <conditionalFormatting sqref="Q165:R165 R166">
    <cfRule type="expression" dxfId="2450" priority="1605">
      <formula>$AE165=4</formula>
    </cfRule>
    <cfRule type="expression" dxfId="2449" priority="1606">
      <formula>$AE165=3</formula>
    </cfRule>
    <cfRule type="expression" dxfId="2448" priority="1607">
      <formula>$AE165=2</formula>
    </cfRule>
    <cfRule type="expression" dxfId="2447" priority="1608">
      <formula>$AE165=1</formula>
    </cfRule>
  </conditionalFormatting>
  <conditionalFormatting sqref="X165:Y165">
    <cfRule type="expression" dxfId="2446" priority="1601">
      <formula>$AF165=4</formula>
    </cfRule>
    <cfRule type="expression" dxfId="2445" priority="1602">
      <formula>$AF165=3</formula>
    </cfRule>
    <cfRule type="expression" dxfId="2444" priority="1603">
      <formula>$AF165=2</formula>
    </cfRule>
    <cfRule type="expression" dxfId="2443" priority="1604">
      <formula>$AF165=1</formula>
    </cfRule>
  </conditionalFormatting>
  <conditionalFormatting sqref="N165">
    <cfRule type="expression" dxfId="2442" priority="1600">
      <formula>$AC165=2</formula>
    </cfRule>
  </conditionalFormatting>
  <conditionalFormatting sqref="N165">
    <cfRule type="expression" dxfId="2441" priority="1599">
      <formula>N165&gt;F165</formula>
    </cfRule>
  </conditionalFormatting>
  <conditionalFormatting sqref="G165">
    <cfRule type="expression" dxfId="2440" priority="1586">
      <formula>G165&gt;F165</formula>
    </cfRule>
  </conditionalFormatting>
  <conditionalFormatting sqref="J165:K165 K166">
    <cfRule type="expression" dxfId="2439" priority="1590">
      <formula>$AD165=4</formula>
    </cfRule>
    <cfRule type="expression" dxfId="2438" priority="1591">
      <formula>$AD165=3</formula>
    </cfRule>
    <cfRule type="expression" dxfId="2437" priority="1592">
      <formula>$AD165=2</formula>
    </cfRule>
    <cfRule type="expression" dxfId="2436" priority="1593">
      <formula>$AD165=1</formula>
    </cfRule>
  </conditionalFormatting>
  <conditionalFormatting sqref="J165:K165 K166">
    <cfRule type="expression" dxfId="2435" priority="1589">
      <formula>$AC165=2</formula>
    </cfRule>
  </conditionalFormatting>
  <conditionalFormatting sqref="L165:L166">
    <cfRule type="expression" dxfId="2434" priority="1588">
      <formula>$AC165=2</formula>
    </cfRule>
  </conditionalFormatting>
  <conditionalFormatting sqref="G165">
    <cfRule type="expression" dxfId="2433" priority="1587">
      <formula>$AC165=2</formula>
    </cfRule>
  </conditionalFormatting>
  <conditionalFormatting sqref="O165">
    <cfRule type="expression" dxfId="2432" priority="1585">
      <formula>$AC165=2</formula>
    </cfRule>
  </conditionalFormatting>
  <conditionalFormatting sqref="V165">
    <cfRule type="expression" dxfId="2431" priority="1584">
      <formula>$AC165=2</formula>
    </cfRule>
  </conditionalFormatting>
  <conditionalFormatting sqref="U165">
    <cfRule type="expression" dxfId="2430" priority="1583">
      <formula>$AC165=2</formula>
    </cfRule>
  </conditionalFormatting>
  <conditionalFormatting sqref="U165">
    <cfRule type="expression" dxfId="2429" priority="1582">
      <formula>U165&gt;F165</formula>
    </cfRule>
  </conditionalFormatting>
  <conditionalFormatting sqref="Q168:R170">
    <cfRule type="expression" dxfId="2428" priority="1576">
      <formula>$AE168=4</formula>
    </cfRule>
    <cfRule type="expression" dxfId="2427" priority="1577">
      <formula>$AE168=3</formula>
    </cfRule>
    <cfRule type="expression" dxfId="2426" priority="1578">
      <formula>$AE168=2</formula>
    </cfRule>
    <cfRule type="expression" dxfId="2425" priority="1579">
      <formula>$AE168=1</formula>
    </cfRule>
  </conditionalFormatting>
  <conditionalFormatting sqref="X168:Y170">
    <cfRule type="expression" dxfId="2424" priority="1572">
      <formula>$AF168=4</formula>
    </cfRule>
    <cfRule type="expression" dxfId="2423" priority="1573">
      <formula>$AF168=3</formula>
    </cfRule>
    <cfRule type="expression" dxfId="2422" priority="1574">
      <formula>$AF168=2</formula>
    </cfRule>
    <cfRule type="expression" dxfId="2421" priority="1575">
      <formula>$AF168=1</formula>
    </cfRule>
  </conditionalFormatting>
  <conditionalFormatting sqref="N169:N170">
    <cfRule type="expression" dxfId="2420" priority="1571">
      <formula>$AC169=2</formula>
    </cfRule>
  </conditionalFormatting>
  <conditionalFormatting sqref="N169:N170">
    <cfRule type="expression" dxfId="2419" priority="1570">
      <formula>N169&gt;F169</formula>
    </cfRule>
  </conditionalFormatting>
  <conditionalFormatting sqref="G169:G170">
    <cfRule type="expression" dxfId="2418" priority="1557">
      <formula>G169&gt;F169</formula>
    </cfRule>
  </conditionalFormatting>
  <conditionalFormatting sqref="J168:K170">
    <cfRule type="expression" dxfId="2417" priority="1561">
      <formula>$AD168=4</formula>
    </cfRule>
    <cfRule type="expression" dxfId="2416" priority="1562">
      <formula>$AD168=3</formula>
    </cfRule>
    <cfRule type="expression" dxfId="2415" priority="1563">
      <formula>$AD168=2</formula>
    </cfRule>
    <cfRule type="expression" dxfId="2414" priority="1564">
      <formula>$AD168=1</formula>
    </cfRule>
  </conditionalFormatting>
  <conditionalFormatting sqref="J168:K170">
    <cfRule type="expression" dxfId="2413" priority="1560">
      <formula>$AC168=2</formula>
    </cfRule>
  </conditionalFormatting>
  <conditionalFormatting sqref="L168:L170">
    <cfRule type="expression" dxfId="2412" priority="1559">
      <formula>$AC168=2</formula>
    </cfRule>
  </conditionalFormatting>
  <conditionalFormatting sqref="G169:G170">
    <cfRule type="expression" dxfId="2411" priority="1558">
      <formula>$AC169=2</formula>
    </cfRule>
  </conditionalFormatting>
  <conditionalFormatting sqref="O168:O170">
    <cfRule type="expression" dxfId="2410" priority="1556">
      <formula>$AC168=2</formula>
    </cfRule>
  </conditionalFormatting>
  <conditionalFormatting sqref="V168:V170">
    <cfRule type="expression" dxfId="2409" priority="1555">
      <formula>$AC168=2</formula>
    </cfRule>
  </conditionalFormatting>
  <conditionalFormatting sqref="U169:U170">
    <cfRule type="expression" dxfId="2408" priority="1554">
      <formula>$AC169=2</formula>
    </cfRule>
  </conditionalFormatting>
  <conditionalFormatting sqref="U169:U170">
    <cfRule type="expression" dxfId="2407" priority="1553">
      <formula>U169&gt;F169</formula>
    </cfRule>
  </conditionalFormatting>
  <conditionalFormatting sqref="N173:N174">
    <cfRule type="expression" dxfId="2406" priority="1542">
      <formula>$AC173=2</formula>
    </cfRule>
  </conditionalFormatting>
  <conditionalFormatting sqref="N173:N174">
    <cfRule type="expression" dxfId="2405" priority="1541">
      <formula>N173&gt;F173</formula>
    </cfRule>
  </conditionalFormatting>
  <conditionalFormatting sqref="G173:G174">
    <cfRule type="expression" dxfId="2404" priority="1528">
      <formula>G173&gt;F173</formula>
    </cfRule>
  </conditionalFormatting>
  <conditionalFormatting sqref="G173:G174">
    <cfRule type="expression" dxfId="2403" priority="1529">
      <formula>$AC173=2</formula>
    </cfRule>
  </conditionalFormatting>
  <conditionalFormatting sqref="U173:U174">
    <cfRule type="expression" dxfId="2402" priority="1525">
      <formula>$AC173=2</formula>
    </cfRule>
  </conditionalFormatting>
  <conditionalFormatting sqref="U173:U174">
    <cfRule type="expression" dxfId="2401" priority="1524">
      <formula>U173&gt;F173</formula>
    </cfRule>
  </conditionalFormatting>
  <conditionalFormatting sqref="Q176:R178">
    <cfRule type="expression" dxfId="2400" priority="1518">
      <formula>$AE176=4</formula>
    </cfRule>
    <cfRule type="expression" dxfId="2399" priority="1519">
      <formula>$AE176=3</formula>
    </cfRule>
    <cfRule type="expression" dxfId="2398" priority="1520">
      <formula>$AE176=2</formula>
    </cfRule>
    <cfRule type="expression" dxfId="2397" priority="1521">
      <formula>$AE176=1</formula>
    </cfRule>
  </conditionalFormatting>
  <conditionalFormatting sqref="X176:Y178">
    <cfRule type="expression" dxfId="2396" priority="1514">
      <formula>$AF176=4</formula>
    </cfRule>
    <cfRule type="expression" dxfId="2395" priority="1515">
      <formula>$AF176=3</formula>
    </cfRule>
    <cfRule type="expression" dxfId="2394" priority="1516">
      <formula>$AF176=2</formula>
    </cfRule>
    <cfRule type="expression" dxfId="2393" priority="1517">
      <formula>$AF176=1</formula>
    </cfRule>
  </conditionalFormatting>
  <conditionalFormatting sqref="N177:N178">
    <cfRule type="expression" dxfId="2392" priority="1513">
      <formula>$AC177=2</formula>
    </cfRule>
  </conditionalFormatting>
  <conditionalFormatting sqref="N177:N178">
    <cfRule type="expression" dxfId="2391" priority="1512">
      <formula>N177&gt;F177</formula>
    </cfRule>
  </conditionalFormatting>
  <conditionalFormatting sqref="G177:G178">
    <cfRule type="expression" dxfId="2390" priority="1499">
      <formula>G177&gt;F177</formula>
    </cfRule>
  </conditionalFormatting>
  <conditionalFormatting sqref="J176:K178">
    <cfRule type="expression" dxfId="2389" priority="1503">
      <formula>$AD176=4</formula>
    </cfRule>
    <cfRule type="expression" dxfId="2388" priority="1504">
      <formula>$AD176=3</formula>
    </cfRule>
    <cfRule type="expression" dxfId="2387" priority="1505">
      <formula>$AD176=2</formula>
    </cfRule>
    <cfRule type="expression" dxfId="2386" priority="1506">
      <formula>$AD176=1</formula>
    </cfRule>
  </conditionalFormatting>
  <conditionalFormatting sqref="J176:K178">
    <cfRule type="expression" dxfId="2385" priority="1502">
      <formula>$AC176=2</formula>
    </cfRule>
  </conditionalFormatting>
  <conditionalFormatting sqref="L176:L178">
    <cfRule type="expression" dxfId="2384" priority="1501">
      <formula>$AC176=2</formula>
    </cfRule>
  </conditionalFormatting>
  <conditionalFormatting sqref="G177:G178">
    <cfRule type="expression" dxfId="2383" priority="1500">
      <formula>$AC177=2</formula>
    </cfRule>
  </conditionalFormatting>
  <conditionalFormatting sqref="O176:O178">
    <cfRule type="expression" dxfId="2382" priority="1498">
      <formula>$AC176=2</formula>
    </cfRule>
  </conditionalFormatting>
  <conditionalFormatting sqref="V176:V178">
    <cfRule type="expression" dxfId="2381" priority="1497">
      <formula>$AC176=2</formula>
    </cfRule>
  </conditionalFormatting>
  <conditionalFormatting sqref="U177:U178">
    <cfRule type="expression" dxfId="2380" priority="1496">
      <formula>$AC177=2</formula>
    </cfRule>
  </conditionalFormatting>
  <conditionalFormatting sqref="U177:U178">
    <cfRule type="expression" dxfId="2379" priority="1495">
      <formula>U177&gt;F177</formula>
    </cfRule>
  </conditionalFormatting>
  <conditionalFormatting sqref="Q180:R182">
    <cfRule type="expression" dxfId="2378" priority="1489">
      <formula>$AE180=4</formula>
    </cfRule>
    <cfRule type="expression" dxfId="2377" priority="1490">
      <formula>$AE180=3</formula>
    </cfRule>
    <cfRule type="expression" dxfId="2376" priority="1491">
      <formula>$AE180=2</formula>
    </cfRule>
    <cfRule type="expression" dxfId="2375" priority="1492">
      <formula>$AE180=1</formula>
    </cfRule>
  </conditionalFormatting>
  <conditionalFormatting sqref="X180:Y182">
    <cfRule type="expression" dxfId="2374" priority="1485">
      <formula>$AF180=4</formula>
    </cfRule>
    <cfRule type="expression" dxfId="2373" priority="1486">
      <formula>$AF180=3</formula>
    </cfRule>
    <cfRule type="expression" dxfId="2372" priority="1487">
      <formula>$AF180=2</formula>
    </cfRule>
    <cfRule type="expression" dxfId="2371" priority="1488">
      <formula>$AF180=1</formula>
    </cfRule>
  </conditionalFormatting>
  <conditionalFormatting sqref="N181:N182">
    <cfRule type="expression" dxfId="2370" priority="1484">
      <formula>$AC181=2</formula>
    </cfRule>
  </conditionalFormatting>
  <conditionalFormatting sqref="N181:N182">
    <cfRule type="expression" dxfId="2369" priority="1483">
      <formula>N181&gt;F181</formula>
    </cfRule>
  </conditionalFormatting>
  <conditionalFormatting sqref="G181:G182">
    <cfRule type="expression" dxfId="2368" priority="1470">
      <formula>G181&gt;F181</formula>
    </cfRule>
  </conditionalFormatting>
  <conditionalFormatting sqref="J180:K182">
    <cfRule type="expression" dxfId="2367" priority="1474">
      <formula>$AD180=4</formula>
    </cfRule>
    <cfRule type="expression" dxfId="2366" priority="1475">
      <formula>$AD180=3</formula>
    </cfRule>
    <cfRule type="expression" dxfId="2365" priority="1476">
      <formula>$AD180=2</formula>
    </cfRule>
    <cfRule type="expression" dxfId="2364" priority="1477">
      <formula>$AD180=1</formula>
    </cfRule>
  </conditionalFormatting>
  <conditionalFormatting sqref="J180:K182">
    <cfRule type="expression" dxfId="2363" priority="1473">
      <formula>$AC180=2</formula>
    </cfRule>
  </conditionalFormatting>
  <conditionalFormatting sqref="L180:L182">
    <cfRule type="expression" dxfId="2362" priority="1472">
      <formula>$AC180=2</formula>
    </cfRule>
  </conditionalFormatting>
  <conditionalFormatting sqref="G181:G182">
    <cfRule type="expression" dxfId="2361" priority="1471">
      <formula>$AC181=2</formula>
    </cfRule>
  </conditionalFormatting>
  <conditionalFormatting sqref="O180:O182">
    <cfRule type="expression" dxfId="2360" priority="1469">
      <formula>$AC180=2</formula>
    </cfRule>
  </conditionalFormatting>
  <conditionalFormatting sqref="V180:V182">
    <cfRule type="expression" dxfId="2359" priority="1468">
      <formula>$AC180=2</formula>
    </cfRule>
  </conditionalFormatting>
  <conditionalFormatting sqref="U181:U182">
    <cfRule type="expression" dxfId="2358" priority="1467">
      <formula>$AC181=2</formula>
    </cfRule>
  </conditionalFormatting>
  <conditionalFormatting sqref="U181:U182">
    <cfRule type="expression" dxfId="2357" priority="1466">
      <formula>U181&gt;F181</formula>
    </cfRule>
  </conditionalFormatting>
  <conditionalFormatting sqref="Q184:R184">
    <cfRule type="expression" dxfId="2356" priority="1460">
      <formula>$AE184=4</formula>
    </cfRule>
    <cfRule type="expression" dxfId="2355" priority="1461">
      <formula>$AE184=3</formula>
    </cfRule>
    <cfRule type="expression" dxfId="2354" priority="1462">
      <formula>$AE184=2</formula>
    </cfRule>
    <cfRule type="expression" dxfId="2353" priority="1463">
      <formula>$AE184=1</formula>
    </cfRule>
  </conditionalFormatting>
  <conditionalFormatting sqref="X184:Y184">
    <cfRule type="expression" dxfId="2352" priority="1456">
      <formula>$AF184=4</formula>
    </cfRule>
    <cfRule type="expression" dxfId="2351" priority="1457">
      <formula>$AF184=3</formula>
    </cfRule>
    <cfRule type="expression" dxfId="2350" priority="1458">
      <formula>$AF184=2</formula>
    </cfRule>
    <cfRule type="expression" dxfId="2349" priority="1459">
      <formula>$AF184=1</formula>
    </cfRule>
  </conditionalFormatting>
  <conditionalFormatting sqref="N184">
    <cfRule type="expression" dxfId="2348" priority="1455">
      <formula>$AC184=2</formula>
    </cfRule>
  </conditionalFormatting>
  <conditionalFormatting sqref="N184">
    <cfRule type="expression" dxfId="2347" priority="1454">
      <formula>N184&gt;F184</formula>
    </cfRule>
  </conditionalFormatting>
  <conditionalFormatting sqref="G184">
    <cfRule type="expression" dxfId="2346" priority="1441">
      <formula>G184&gt;F184</formula>
    </cfRule>
  </conditionalFormatting>
  <conditionalFormatting sqref="J184:K184">
    <cfRule type="expression" dxfId="2345" priority="1445">
      <formula>$AD184=4</formula>
    </cfRule>
    <cfRule type="expression" dxfId="2344" priority="1446">
      <formula>$AD184=3</formula>
    </cfRule>
    <cfRule type="expression" dxfId="2343" priority="1447">
      <formula>$AD184=2</formula>
    </cfRule>
    <cfRule type="expression" dxfId="2342" priority="1448">
      <formula>$AD184=1</formula>
    </cfRule>
  </conditionalFormatting>
  <conditionalFormatting sqref="J184:K184">
    <cfRule type="expression" dxfId="2341" priority="1444">
      <formula>$AC184=2</formula>
    </cfRule>
  </conditionalFormatting>
  <conditionalFormatting sqref="L184">
    <cfRule type="expression" dxfId="2340" priority="1443">
      <formula>$AC184=2</formula>
    </cfRule>
  </conditionalFormatting>
  <conditionalFormatting sqref="G184">
    <cfRule type="expression" dxfId="2339" priority="1442">
      <formula>$AC184=2</formula>
    </cfRule>
  </conditionalFormatting>
  <conditionalFormatting sqref="O184">
    <cfRule type="expression" dxfId="2338" priority="1440">
      <formula>$AC184=2</formula>
    </cfRule>
  </conditionalFormatting>
  <conditionalFormatting sqref="V184">
    <cfRule type="expression" dxfId="2337" priority="1439">
      <formula>$AC184=2</formula>
    </cfRule>
  </conditionalFormatting>
  <conditionalFormatting sqref="U184">
    <cfRule type="expression" dxfId="2336" priority="1438">
      <formula>$AC184=2</formula>
    </cfRule>
  </conditionalFormatting>
  <conditionalFormatting sqref="U184">
    <cfRule type="expression" dxfId="2335" priority="1437">
      <formula>U184&gt;F184</formula>
    </cfRule>
  </conditionalFormatting>
  <conditionalFormatting sqref="Q186:R187">
    <cfRule type="expression" dxfId="2334" priority="1431">
      <formula>$AE186=4</formula>
    </cfRule>
    <cfRule type="expression" dxfId="2333" priority="1432">
      <formula>$AE186=3</formula>
    </cfRule>
    <cfRule type="expression" dxfId="2332" priority="1433">
      <formula>$AE186=2</formula>
    </cfRule>
    <cfRule type="expression" dxfId="2331" priority="1434">
      <formula>$AE186=1</formula>
    </cfRule>
  </conditionalFormatting>
  <conditionalFormatting sqref="X186:Y187">
    <cfRule type="expression" dxfId="2330" priority="1427">
      <formula>$AF186=4</formula>
    </cfRule>
    <cfRule type="expression" dxfId="2329" priority="1428">
      <formula>$AF186=3</formula>
    </cfRule>
    <cfRule type="expression" dxfId="2328" priority="1429">
      <formula>$AF186=2</formula>
    </cfRule>
    <cfRule type="expression" dxfId="2327" priority="1430">
      <formula>$AF186=1</formula>
    </cfRule>
  </conditionalFormatting>
  <conditionalFormatting sqref="N187">
    <cfRule type="expression" dxfId="2326" priority="1426">
      <formula>$AC187=2</formula>
    </cfRule>
  </conditionalFormatting>
  <conditionalFormatting sqref="N187">
    <cfRule type="expression" dxfId="2325" priority="1425">
      <formula>N187&gt;F187</formula>
    </cfRule>
  </conditionalFormatting>
  <conditionalFormatting sqref="G187">
    <cfRule type="expression" dxfId="2324" priority="1412">
      <formula>G187&gt;F187</formula>
    </cfRule>
  </conditionalFormatting>
  <conditionalFormatting sqref="J186:K187">
    <cfRule type="expression" dxfId="2323" priority="1416">
      <formula>$AD186=4</formula>
    </cfRule>
    <cfRule type="expression" dxfId="2322" priority="1417">
      <formula>$AD186=3</formula>
    </cfRule>
    <cfRule type="expression" dxfId="2321" priority="1418">
      <formula>$AD186=2</formula>
    </cfRule>
    <cfRule type="expression" dxfId="2320" priority="1419">
      <formula>$AD186=1</formula>
    </cfRule>
  </conditionalFormatting>
  <conditionalFormatting sqref="J186:K187">
    <cfRule type="expression" dxfId="2319" priority="1415">
      <formula>$AC186=2</formula>
    </cfRule>
  </conditionalFormatting>
  <conditionalFormatting sqref="L186:L187">
    <cfRule type="expression" dxfId="2318" priority="1414">
      <formula>$AC186=2</formula>
    </cfRule>
  </conditionalFormatting>
  <conditionalFormatting sqref="G187">
    <cfRule type="expression" dxfId="2317" priority="1413">
      <formula>$AC187=2</formula>
    </cfRule>
  </conditionalFormatting>
  <conditionalFormatting sqref="O186:O187">
    <cfRule type="expression" dxfId="2316" priority="1411">
      <formula>$AC186=2</formula>
    </cfRule>
  </conditionalFormatting>
  <conditionalFormatting sqref="V186:V187">
    <cfRule type="expression" dxfId="2315" priority="1410">
      <formula>$AC186=2</formula>
    </cfRule>
  </conditionalFormatting>
  <conditionalFormatting sqref="U187">
    <cfRule type="expression" dxfId="2314" priority="1409">
      <formula>$AC187=2</formula>
    </cfRule>
  </conditionalFormatting>
  <conditionalFormatting sqref="U187">
    <cfRule type="expression" dxfId="2313" priority="1408">
      <formula>U187&gt;F187</formula>
    </cfRule>
  </conditionalFormatting>
  <conditionalFormatting sqref="Q189:R192">
    <cfRule type="expression" dxfId="2312" priority="1402">
      <formula>$AE189=4</formula>
    </cfRule>
    <cfRule type="expression" dxfId="2311" priority="1403">
      <formula>$AE189=3</formula>
    </cfRule>
    <cfRule type="expression" dxfId="2310" priority="1404">
      <formula>$AE189=2</formula>
    </cfRule>
    <cfRule type="expression" dxfId="2309" priority="1405">
      <formula>$AE189=1</formula>
    </cfRule>
  </conditionalFormatting>
  <conditionalFormatting sqref="X189:Y192">
    <cfRule type="expression" dxfId="2308" priority="1398">
      <formula>$AF189=4</formula>
    </cfRule>
    <cfRule type="expression" dxfId="2307" priority="1399">
      <formula>$AF189=3</formula>
    </cfRule>
    <cfRule type="expression" dxfId="2306" priority="1400">
      <formula>$AF189=2</formula>
    </cfRule>
    <cfRule type="expression" dxfId="2305" priority="1401">
      <formula>$AF189=1</formula>
    </cfRule>
  </conditionalFormatting>
  <conditionalFormatting sqref="N190:N192">
    <cfRule type="expression" dxfId="2304" priority="1397">
      <formula>$AC190=2</formula>
    </cfRule>
  </conditionalFormatting>
  <conditionalFormatting sqref="N190:N192">
    <cfRule type="expression" dxfId="2303" priority="1396">
      <formula>N190&gt;F190</formula>
    </cfRule>
  </conditionalFormatting>
  <conditionalFormatting sqref="G190:G192">
    <cfRule type="expression" dxfId="2302" priority="1383">
      <formula>G190&gt;F190</formula>
    </cfRule>
  </conditionalFormatting>
  <conditionalFormatting sqref="J189:K192">
    <cfRule type="expression" dxfId="2301" priority="1387">
      <formula>$AD189=4</formula>
    </cfRule>
    <cfRule type="expression" dxfId="2300" priority="1388">
      <formula>$AD189=3</formula>
    </cfRule>
    <cfRule type="expression" dxfId="2299" priority="1389">
      <formula>$AD189=2</formula>
    </cfRule>
    <cfRule type="expression" dxfId="2298" priority="1390">
      <formula>$AD189=1</formula>
    </cfRule>
  </conditionalFormatting>
  <conditionalFormatting sqref="J189:K192">
    <cfRule type="expression" dxfId="2297" priority="1386">
      <formula>$AC189=2</formula>
    </cfRule>
  </conditionalFormatting>
  <conditionalFormatting sqref="L189:L192">
    <cfRule type="expression" dxfId="2296" priority="1385">
      <formula>$AC189=2</formula>
    </cfRule>
  </conditionalFormatting>
  <conditionalFormatting sqref="G190:G192">
    <cfRule type="expression" dxfId="2295" priority="1384">
      <formula>$AC190=2</formula>
    </cfRule>
  </conditionalFormatting>
  <conditionalFormatting sqref="O189:O190 O192">
    <cfRule type="expression" dxfId="2294" priority="1382">
      <formula>$AC189=2</formula>
    </cfRule>
  </conditionalFormatting>
  <conditionalFormatting sqref="V189:V190 V192">
    <cfRule type="expression" dxfId="2293" priority="1381">
      <formula>$AC189=2</formula>
    </cfRule>
  </conditionalFormatting>
  <conditionalFormatting sqref="U190:U192">
    <cfRule type="expression" dxfId="2292" priority="1380">
      <formula>$AC190=2</formula>
    </cfRule>
  </conditionalFormatting>
  <conditionalFormatting sqref="U190:U192">
    <cfRule type="expression" dxfId="2291" priority="1379">
      <formula>U190&gt;F190</formula>
    </cfRule>
  </conditionalFormatting>
  <conditionalFormatting sqref="Q202:R203">
    <cfRule type="expression" dxfId="2290" priority="1344">
      <formula>$AE202=4</formula>
    </cfRule>
    <cfRule type="expression" dxfId="2289" priority="1345">
      <formula>$AE202=3</formula>
    </cfRule>
    <cfRule type="expression" dxfId="2288" priority="1346">
      <formula>$AE202=2</formula>
    </cfRule>
    <cfRule type="expression" dxfId="2287" priority="1347">
      <formula>$AE202=1</formula>
    </cfRule>
  </conditionalFormatting>
  <conditionalFormatting sqref="X202:Y203">
    <cfRule type="expression" dxfId="2286" priority="1340">
      <formula>$AF202=4</formula>
    </cfRule>
    <cfRule type="expression" dxfId="2285" priority="1341">
      <formula>$AF202=3</formula>
    </cfRule>
    <cfRule type="expression" dxfId="2284" priority="1342">
      <formula>$AF202=2</formula>
    </cfRule>
    <cfRule type="expression" dxfId="2283" priority="1343">
      <formula>$AF202=1</formula>
    </cfRule>
  </conditionalFormatting>
  <conditionalFormatting sqref="N202:N203">
    <cfRule type="expression" dxfId="2282" priority="1339">
      <formula>$AC202=2</formula>
    </cfRule>
  </conditionalFormatting>
  <conditionalFormatting sqref="N202:N203">
    <cfRule type="expression" dxfId="2281" priority="1338">
      <formula>N202&gt;F202</formula>
    </cfRule>
  </conditionalFormatting>
  <conditionalFormatting sqref="G202:G203">
    <cfRule type="expression" dxfId="2280" priority="1325">
      <formula>G202&gt;F202</formula>
    </cfRule>
  </conditionalFormatting>
  <conditionalFormatting sqref="J202:K203">
    <cfRule type="expression" dxfId="2279" priority="1329">
      <formula>$AD202=4</formula>
    </cfRule>
    <cfRule type="expression" dxfId="2278" priority="1330">
      <formula>$AD202=3</formula>
    </cfRule>
    <cfRule type="expression" dxfId="2277" priority="1331">
      <formula>$AD202=2</formula>
    </cfRule>
    <cfRule type="expression" dxfId="2276" priority="1332">
      <formula>$AD202=1</formula>
    </cfRule>
  </conditionalFormatting>
  <conditionalFormatting sqref="J202:K203">
    <cfRule type="expression" dxfId="2275" priority="1328">
      <formula>$AC202=2</formula>
    </cfRule>
  </conditionalFormatting>
  <conditionalFormatting sqref="L202:L203">
    <cfRule type="expression" dxfId="2274" priority="1327">
      <formula>$AC202=2</formula>
    </cfRule>
  </conditionalFormatting>
  <conditionalFormatting sqref="G202:G203">
    <cfRule type="expression" dxfId="2273" priority="1326">
      <formula>$AC202=2</formula>
    </cfRule>
  </conditionalFormatting>
  <conditionalFormatting sqref="O202:O203">
    <cfRule type="expression" dxfId="2272" priority="1324">
      <formula>$AC202=2</formula>
    </cfRule>
  </conditionalFormatting>
  <conditionalFormatting sqref="V202:V203">
    <cfRule type="expression" dxfId="2271" priority="1323">
      <formula>$AC202=2</formula>
    </cfRule>
  </conditionalFormatting>
  <conditionalFormatting sqref="U202:U203">
    <cfRule type="expression" dxfId="2270" priority="1322">
      <formula>$AC202=2</formula>
    </cfRule>
  </conditionalFormatting>
  <conditionalFormatting sqref="U202:U203">
    <cfRule type="expression" dxfId="2269" priority="1321">
      <formula>U202&gt;F202</formula>
    </cfRule>
  </conditionalFormatting>
  <conditionalFormatting sqref="Q205:R206">
    <cfRule type="expression" dxfId="2268" priority="1315">
      <formula>$AE205=4</formula>
    </cfRule>
    <cfRule type="expression" dxfId="2267" priority="1316">
      <formula>$AE205=3</formula>
    </cfRule>
    <cfRule type="expression" dxfId="2266" priority="1317">
      <formula>$AE205=2</formula>
    </cfRule>
    <cfRule type="expression" dxfId="2265" priority="1318">
      <formula>$AE205=1</formula>
    </cfRule>
  </conditionalFormatting>
  <conditionalFormatting sqref="X205:Y206">
    <cfRule type="expression" dxfId="2264" priority="1311">
      <formula>$AF205=4</formula>
    </cfRule>
    <cfRule type="expression" dxfId="2263" priority="1312">
      <formula>$AF205=3</formula>
    </cfRule>
    <cfRule type="expression" dxfId="2262" priority="1313">
      <formula>$AF205=2</formula>
    </cfRule>
    <cfRule type="expression" dxfId="2261" priority="1314">
      <formula>$AF205=1</formula>
    </cfRule>
  </conditionalFormatting>
  <conditionalFormatting sqref="N205:N206">
    <cfRule type="expression" dxfId="2260" priority="1310">
      <formula>$AC205=2</formula>
    </cfRule>
  </conditionalFormatting>
  <conditionalFormatting sqref="N205:N206">
    <cfRule type="expression" dxfId="2259" priority="1309">
      <formula>N205&gt;F205</formula>
    </cfRule>
  </conditionalFormatting>
  <conditionalFormatting sqref="G205:G206">
    <cfRule type="expression" dxfId="2258" priority="1296">
      <formula>G205&gt;F205</formula>
    </cfRule>
  </conditionalFormatting>
  <conditionalFormatting sqref="J205:K206">
    <cfRule type="expression" dxfId="2257" priority="1300">
      <formula>$AD205=4</formula>
    </cfRule>
    <cfRule type="expression" dxfId="2256" priority="1301">
      <formula>$AD205=3</formula>
    </cfRule>
    <cfRule type="expression" dxfId="2255" priority="1302">
      <formula>$AD205=2</formula>
    </cfRule>
    <cfRule type="expression" dxfId="2254" priority="1303">
      <formula>$AD205=1</formula>
    </cfRule>
  </conditionalFormatting>
  <conditionalFormatting sqref="J205:K206">
    <cfRule type="expression" dxfId="2253" priority="1299">
      <formula>$AC205=2</formula>
    </cfRule>
  </conditionalFormatting>
  <conditionalFormatting sqref="L205:L206">
    <cfRule type="expression" dxfId="2252" priority="1298">
      <formula>$AC205=2</formula>
    </cfRule>
  </conditionalFormatting>
  <conditionalFormatting sqref="G205:G206">
    <cfRule type="expression" dxfId="2251" priority="1297">
      <formula>$AC205=2</formula>
    </cfRule>
  </conditionalFormatting>
  <conditionalFormatting sqref="O205:O206">
    <cfRule type="expression" dxfId="2250" priority="1295">
      <formula>$AC205=2</formula>
    </cfRule>
  </conditionalFormatting>
  <conditionalFormatting sqref="V205:V206">
    <cfRule type="expression" dxfId="2249" priority="1294">
      <formula>$AC205=2</formula>
    </cfRule>
  </conditionalFormatting>
  <conditionalFormatting sqref="U205:U206">
    <cfRule type="expression" dxfId="2248" priority="1293">
      <formula>$AC205=2</formula>
    </cfRule>
  </conditionalFormatting>
  <conditionalFormatting sqref="U205:U206">
    <cfRule type="expression" dxfId="2247" priority="1292">
      <formula>U205&gt;F205</formula>
    </cfRule>
  </conditionalFormatting>
  <conditionalFormatting sqref="Q208:R209">
    <cfRule type="expression" dxfId="2246" priority="1286">
      <formula>$AE208=4</formula>
    </cfRule>
    <cfRule type="expression" dxfId="2245" priority="1287">
      <formula>$AE208=3</formula>
    </cfRule>
    <cfRule type="expression" dxfId="2244" priority="1288">
      <formula>$AE208=2</formula>
    </cfRule>
    <cfRule type="expression" dxfId="2243" priority="1289">
      <formula>$AE208=1</formula>
    </cfRule>
  </conditionalFormatting>
  <conditionalFormatting sqref="X208:Y209">
    <cfRule type="expression" dxfId="2242" priority="1282">
      <formula>$AF208=4</formula>
    </cfRule>
    <cfRule type="expression" dxfId="2241" priority="1283">
      <formula>$AF208=3</formula>
    </cfRule>
    <cfRule type="expression" dxfId="2240" priority="1284">
      <formula>$AF208=2</formula>
    </cfRule>
    <cfRule type="expression" dxfId="2239" priority="1285">
      <formula>$AF208=1</formula>
    </cfRule>
  </conditionalFormatting>
  <conditionalFormatting sqref="N208:N209">
    <cfRule type="expression" dxfId="2238" priority="1281">
      <formula>$AC208=2</formula>
    </cfRule>
  </conditionalFormatting>
  <conditionalFormatting sqref="N208:N209">
    <cfRule type="expression" dxfId="2237" priority="1280">
      <formula>N208&gt;F208</formula>
    </cfRule>
  </conditionalFormatting>
  <conditionalFormatting sqref="G208:G209">
    <cfRule type="expression" dxfId="2236" priority="1267">
      <formula>G208&gt;F208</formula>
    </cfRule>
  </conditionalFormatting>
  <conditionalFormatting sqref="J208:K209">
    <cfRule type="expression" dxfId="2235" priority="1271">
      <formula>$AD208=4</formula>
    </cfRule>
    <cfRule type="expression" dxfId="2234" priority="1272">
      <formula>$AD208=3</formula>
    </cfRule>
    <cfRule type="expression" dxfId="2233" priority="1273">
      <formula>$AD208=2</formula>
    </cfRule>
    <cfRule type="expression" dxfId="2232" priority="1274">
      <formula>$AD208=1</formula>
    </cfRule>
  </conditionalFormatting>
  <conditionalFormatting sqref="J208:K209">
    <cfRule type="expression" dxfId="2231" priority="1270">
      <formula>$AC208=2</formula>
    </cfRule>
  </conditionalFormatting>
  <conditionalFormatting sqref="L208:L209">
    <cfRule type="expression" dxfId="2230" priority="1269">
      <formula>$AC208=2</formula>
    </cfRule>
  </conditionalFormatting>
  <conditionalFormatting sqref="G208:G209">
    <cfRule type="expression" dxfId="2229" priority="1268">
      <formula>$AC208=2</formula>
    </cfRule>
  </conditionalFormatting>
  <conditionalFormatting sqref="O208:O209">
    <cfRule type="expression" dxfId="2228" priority="1266">
      <formula>$AC208=2</formula>
    </cfRule>
  </conditionalFormatting>
  <conditionalFormatting sqref="V208:V209">
    <cfRule type="expression" dxfId="2227" priority="1265">
      <formula>$AC208=2</formula>
    </cfRule>
  </conditionalFormatting>
  <conditionalFormatting sqref="U208:U209">
    <cfRule type="expression" dxfId="2226" priority="1264">
      <formula>$AC208=2</formula>
    </cfRule>
  </conditionalFormatting>
  <conditionalFormatting sqref="U208:U209">
    <cfRule type="expression" dxfId="2225" priority="1263">
      <formula>U208&gt;F208</formula>
    </cfRule>
  </conditionalFormatting>
  <conditionalFormatting sqref="G47">
    <cfRule type="expression" dxfId="2224" priority="1260">
      <formula>$AC47=2</formula>
    </cfRule>
  </conditionalFormatting>
  <conditionalFormatting sqref="G47">
    <cfRule type="expression" dxfId="2223" priority="1259">
      <formula>G47&gt;F47</formula>
    </cfRule>
  </conditionalFormatting>
  <conditionalFormatting sqref="G56">
    <cfRule type="expression" dxfId="2222" priority="1258">
      <formula>$AC56=2</formula>
    </cfRule>
  </conditionalFormatting>
  <conditionalFormatting sqref="G56">
    <cfRule type="expression" dxfId="2221" priority="1257">
      <formula>G56&gt;F56</formula>
    </cfRule>
  </conditionalFormatting>
  <conditionalFormatting sqref="G120">
    <cfRule type="expression" dxfId="2220" priority="1256">
      <formula>$AC120=2</formula>
    </cfRule>
  </conditionalFormatting>
  <conditionalFormatting sqref="G120">
    <cfRule type="expression" dxfId="2219" priority="1255">
      <formula>G120&gt;F120</formula>
    </cfRule>
  </conditionalFormatting>
  <conditionalFormatting sqref="G124">
    <cfRule type="expression" dxfId="2218" priority="1254">
      <formula>$AC124=2</formula>
    </cfRule>
  </conditionalFormatting>
  <conditionalFormatting sqref="G124">
    <cfRule type="expression" dxfId="2217" priority="1253">
      <formula>G124&gt;F124</formula>
    </cfRule>
  </conditionalFormatting>
  <conditionalFormatting sqref="G128">
    <cfRule type="expression" dxfId="2216" priority="1252">
      <formula>$AC128=2</formula>
    </cfRule>
  </conditionalFormatting>
  <conditionalFormatting sqref="G128">
    <cfRule type="expression" dxfId="2215" priority="1251">
      <formula>G128&gt;F128</formula>
    </cfRule>
  </conditionalFormatting>
  <conditionalFormatting sqref="G132">
    <cfRule type="expression" dxfId="2214" priority="1250">
      <formula>$AC132=2</formula>
    </cfRule>
  </conditionalFormatting>
  <conditionalFormatting sqref="G132">
    <cfRule type="expression" dxfId="2213" priority="1249">
      <formula>G132&gt;F132</formula>
    </cfRule>
  </conditionalFormatting>
  <conditionalFormatting sqref="G168">
    <cfRule type="expression" dxfId="2212" priority="1248">
      <formula>$AC168=2</formula>
    </cfRule>
  </conditionalFormatting>
  <conditionalFormatting sqref="G168">
    <cfRule type="expression" dxfId="2211" priority="1247">
      <formula>G168&gt;F168</formula>
    </cfRule>
  </conditionalFormatting>
  <conditionalFormatting sqref="G176">
    <cfRule type="expression" dxfId="2210" priority="1244">
      <formula>$AC176=2</formula>
    </cfRule>
  </conditionalFormatting>
  <conditionalFormatting sqref="G176">
    <cfRule type="expression" dxfId="2209" priority="1243">
      <formula>G176&gt;F176</formula>
    </cfRule>
  </conditionalFormatting>
  <conditionalFormatting sqref="G180">
    <cfRule type="expression" dxfId="2208" priority="1242">
      <formula>$AC180=2</formula>
    </cfRule>
  </conditionalFormatting>
  <conditionalFormatting sqref="G180">
    <cfRule type="expression" dxfId="2207" priority="1241">
      <formula>G180&gt;F180</formula>
    </cfRule>
  </conditionalFormatting>
  <conditionalFormatting sqref="G186">
    <cfRule type="expression" dxfId="2206" priority="1240">
      <formula>$AC186=2</formula>
    </cfRule>
  </conditionalFormatting>
  <conditionalFormatting sqref="G186">
    <cfRule type="expression" dxfId="2205" priority="1239">
      <formula>G186&gt;F186</formula>
    </cfRule>
  </conditionalFormatting>
  <conditionalFormatting sqref="G189">
    <cfRule type="expression" dxfId="2204" priority="1238">
      <formula>$AC189=2</formula>
    </cfRule>
  </conditionalFormatting>
  <conditionalFormatting sqref="G189">
    <cfRule type="expression" dxfId="2203" priority="1237">
      <formula>G189&gt;F189</formula>
    </cfRule>
  </conditionalFormatting>
  <conditionalFormatting sqref="L226">
    <cfRule type="expression" dxfId="2202" priority="1236">
      <formula>$AC226=2</formula>
    </cfRule>
  </conditionalFormatting>
  <conditionalFormatting sqref="J226">
    <cfRule type="expression" dxfId="2201" priority="1232">
      <formula>$AD226=4</formula>
    </cfRule>
    <cfRule type="expression" dxfId="2200" priority="1233">
      <formula>$AD226=3</formula>
    </cfRule>
    <cfRule type="expression" dxfId="2199" priority="1234">
      <formula>$AD226=2</formula>
    </cfRule>
    <cfRule type="expression" dxfId="2198" priority="1235">
      <formula>$AD226=1</formula>
    </cfRule>
  </conditionalFormatting>
  <conditionalFormatting sqref="Q226:R226">
    <cfRule type="expression" dxfId="2197" priority="1228">
      <formula>$AE226=4</formula>
    </cfRule>
    <cfRule type="expression" dxfId="2196" priority="1229">
      <formula>$AE226=3</formula>
    </cfRule>
    <cfRule type="expression" dxfId="2195" priority="1230">
      <formula>$AE226=2</formula>
    </cfRule>
    <cfRule type="expression" dxfId="2194" priority="1231">
      <formula>$AE226=1</formula>
    </cfRule>
  </conditionalFormatting>
  <conditionalFormatting sqref="X226:Y226">
    <cfRule type="expression" dxfId="2193" priority="1224">
      <formula>$AF226=4</formula>
    </cfRule>
    <cfRule type="expression" dxfId="2192" priority="1225">
      <formula>$AF226=3</formula>
    </cfRule>
    <cfRule type="expression" dxfId="2191" priority="1226">
      <formula>$AF226=2</formula>
    </cfRule>
    <cfRule type="expression" dxfId="2190" priority="1227">
      <formula>$AF226=1</formula>
    </cfRule>
  </conditionalFormatting>
  <conditionalFormatting sqref="J226">
    <cfRule type="expression" dxfId="2189" priority="1223">
      <formula>$AC226=2</formula>
    </cfRule>
  </conditionalFormatting>
  <conditionalFormatting sqref="N226">
    <cfRule type="expression" dxfId="2188" priority="1222">
      <formula>N226&gt;F226</formula>
    </cfRule>
  </conditionalFormatting>
  <conditionalFormatting sqref="U226">
    <cfRule type="expression" dxfId="2187" priority="1221">
      <formula>U226&gt;F226</formula>
    </cfRule>
  </conditionalFormatting>
  <conditionalFormatting sqref="K226">
    <cfRule type="expression" dxfId="2186" priority="1213">
      <formula>$AD226=4</formula>
    </cfRule>
    <cfRule type="expression" dxfId="2185" priority="1214">
      <formula>$AD226=3</formula>
    </cfRule>
    <cfRule type="expression" dxfId="2184" priority="1215">
      <formula>$AD226=2</formula>
    </cfRule>
    <cfRule type="expression" dxfId="2183" priority="1216">
      <formula>$AD226=1</formula>
    </cfRule>
  </conditionalFormatting>
  <conditionalFormatting sqref="K226">
    <cfRule type="expression" dxfId="2182" priority="1212">
      <formula>$AC226=2</formula>
    </cfRule>
  </conditionalFormatting>
  <conditionalFormatting sqref="Z226">
    <cfRule type="expression" dxfId="2181" priority="1211">
      <formula>$AC226=2</formula>
    </cfRule>
  </conditionalFormatting>
  <conditionalFormatting sqref="X198:Y198">
    <cfRule type="expression" dxfId="2180" priority="1199">
      <formula>$AF198=4</formula>
    </cfRule>
    <cfRule type="expression" dxfId="2179" priority="1200">
      <formula>$AF198=3</formula>
    </cfRule>
    <cfRule type="expression" dxfId="2178" priority="1201">
      <formula>$AF198=2</formula>
    </cfRule>
    <cfRule type="expression" dxfId="2177" priority="1202">
      <formula>$AF198=1</formula>
    </cfRule>
  </conditionalFormatting>
  <conditionalFormatting sqref="AZ198">
    <cfRule type="expression" dxfId="2176" priority="1198">
      <formula>$AC198=2</formula>
    </cfRule>
  </conditionalFormatting>
  <conditionalFormatting sqref="J200:K200">
    <cfRule type="expression" dxfId="2175" priority="1183">
      <formula>$AD200=4</formula>
    </cfRule>
    <cfRule type="expression" dxfId="2174" priority="1184">
      <formula>$AD200=3</formula>
    </cfRule>
    <cfRule type="expression" dxfId="2173" priority="1185">
      <formula>$AD200=2</formula>
    </cfRule>
    <cfRule type="expression" dxfId="2172" priority="1186">
      <formula>$AD200=1</formula>
    </cfRule>
  </conditionalFormatting>
  <conditionalFormatting sqref="Q200:R200">
    <cfRule type="expression" dxfId="2171" priority="1179">
      <formula>$AE200=4</formula>
    </cfRule>
    <cfRule type="expression" dxfId="2170" priority="1180">
      <formula>$AE200=3</formula>
    </cfRule>
    <cfRule type="expression" dxfId="2169" priority="1181">
      <formula>$AE200=2</formula>
    </cfRule>
    <cfRule type="expression" dxfId="2168" priority="1182">
      <formula>$AE200=1</formula>
    </cfRule>
  </conditionalFormatting>
  <conditionalFormatting sqref="X200:Y200">
    <cfRule type="expression" dxfId="2167" priority="1175">
      <formula>$AF200=4</formula>
    </cfRule>
    <cfRule type="expression" dxfId="2166" priority="1176">
      <formula>$AF200=3</formula>
    </cfRule>
    <cfRule type="expression" dxfId="2165" priority="1177">
      <formula>$AF200=2</formula>
    </cfRule>
    <cfRule type="expression" dxfId="2164" priority="1178">
      <formula>$AF200=1</formula>
    </cfRule>
  </conditionalFormatting>
  <conditionalFormatting sqref="AZ200">
    <cfRule type="expression" dxfId="2163" priority="1174">
      <formula>$AC200=2</formula>
    </cfRule>
  </conditionalFormatting>
  <conditionalFormatting sqref="G200">
    <cfRule type="expression" dxfId="2162" priority="1173">
      <formula>G200&gt;F200</formula>
    </cfRule>
  </conditionalFormatting>
  <conditionalFormatting sqref="N200">
    <cfRule type="expression" dxfId="2161" priority="1172">
      <formula>N200&gt;F200</formula>
    </cfRule>
  </conditionalFormatting>
  <conditionalFormatting sqref="U200">
    <cfRule type="expression" dxfId="2160" priority="1171">
      <formula>U200&gt;F200</formula>
    </cfRule>
  </conditionalFormatting>
  <conditionalFormatting sqref="O213">
    <cfRule type="expression" dxfId="2159" priority="1162">
      <formula>$AC213=2</formula>
    </cfRule>
  </conditionalFormatting>
  <conditionalFormatting sqref="O214">
    <cfRule type="expression" dxfId="2158" priority="1161">
      <formula>$AC214=2</formula>
    </cfRule>
  </conditionalFormatting>
  <conditionalFormatting sqref="O215">
    <cfRule type="expression" dxfId="2157" priority="1160">
      <formula>$AC215=2</formula>
    </cfRule>
  </conditionalFormatting>
  <conditionalFormatting sqref="O216:O226">
    <cfRule type="expression" dxfId="2156" priority="1159">
      <formula>$AC216=2</formula>
    </cfRule>
  </conditionalFormatting>
  <conditionalFormatting sqref="V213:V226">
    <cfRule type="expression" dxfId="2155" priority="1158">
      <formula>$AC213=2</formula>
    </cfRule>
  </conditionalFormatting>
  <conditionalFormatting sqref="Q63:R63">
    <cfRule type="expression" dxfId="2154" priority="1154">
      <formula>$AE63=4</formula>
    </cfRule>
    <cfRule type="expression" dxfId="2153" priority="1155">
      <formula>$AE63=3</formula>
    </cfRule>
    <cfRule type="expression" dxfId="2152" priority="1156">
      <formula>$AE63=2</formula>
    </cfRule>
    <cfRule type="expression" dxfId="2151" priority="1157">
      <formula>$AE63=1</formula>
    </cfRule>
  </conditionalFormatting>
  <conditionalFormatting sqref="Q63:R63">
    <cfRule type="expression" dxfId="2150" priority="1153">
      <formula>$AC63=2</formula>
    </cfRule>
  </conditionalFormatting>
  <conditionalFormatting sqref="U63">
    <cfRule type="expression" dxfId="2149" priority="1152">
      <formula>U63&gt;F63</formula>
    </cfRule>
  </conditionalFormatting>
  <conditionalFormatting sqref="O63">
    <cfRule type="expression" dxfId="2148" priority="1147">
      <formula>$AC63=2</formula>
    </cfRule>
  </conditionalFormatting>
  <conditionalFormatting sqref="V63">
    <cfRule type="expression" dxfId="2147" priority="1146">
      <formula>$AC63=2</formula>
    </cfRule>
  </conditionalFormatting>
  <conditionalFormatting sqref="Q93:R93">
    <cfRule type="expression" dxfId="2146" priority="1142">
      <formula>$AE93=4</formula>
    </cfRule>
    <cfRule type="expression" dxfId="2145" priority="1143">
      <formula>$AE93=3</formula>
    </cfRule>
    <cfRule type="expression" dxfId="2144" priority="1144">
      <formula>$AE93=2</formula>
    </cfRule>
    <cfRule type="expression" dxfId="2143" priority="1145">
      <formula>$AE93=1</formula>
    </cfRule>
  </conditionalFormatting>
  <conditionalFormatting sqref="Q93:R93">
    <cfRule type="expression" dxfId="2142" priority="1141">
      <formula>$AC93=2</formula>
    </cfRule>
  </conditionalFormatting>
  <conditionalFormatting sqref="U93">
    <cfRule type="expression" dxfId="2141" priority="1140">
      <formula>U93&gt;F93</formula>
    </cfRule>
  </conditionalFormatting>
  <conditionalFormatting sqref="O93">
    <cfRule type="expression" dxfId="2140" priority="1135">
      <formula>$AC93=2</formula>
    </cfRule>
  </conditionalFormatting>
  <conditionalFormatting sqref="V93">
    <cfRule type="expression" dxfId="2139" priority="1134">
      <formula>$AC93=2</formula>
    </cfRule>
  </conditionalFormatting>
  <conditionalFormatting sqref="Q102:R102">
    <cfRule type="expression" dxfId="2138" priority="1130">
      <formula>$AE102=4</formula>
    </cfRule>
    <cfRule type="expression" dxfId="2137" priority="1131">
      <formula>$AE102=3</formula>
    </cfRule>
    <cfRule type="expression" dxfId="2136" priority="1132">
      <formula>$AE102=2</formula>
    </cfRule>
    <cfRule type="expression" dxfId="2135" priority="1133">
      <formula>$AE102=1</formula>
    </cfRule>
  </conditionalFormatting>
  <conditionalFormatting sqref="Q102:R102">
    <cfRule type="expression" dxfId="2134" priority="1129">
      <formula>$AC102=2</formula>
    </cfRule>
  </conditionalFormatting>
  <conditionalFormatting sqref="U102">
    <cfRule type="expression" dxfId="2133" priority="1128">
      <formula>U102&gt;F102</formula>
    </cfRule>
  </conditionalFormatting>
  <conditionalFormatting sqref="O102">
    <cfRule type="expression" dxfId="2132" priority="1123">
      <formula>$AC102=2</formula>
    </cfRule>
  </conditionalFormatting>
  <conditionalFormatting sqref="V102">
    <cfRule type="expression" dxfId="2131" priority="1122">
      <formula>$AC102=2</formula>
    </cfRule>
  </conditionalFormatting>
  <conditionalFormatting sqref="Q116:R116">
    <cfRule type="expression" dxfId="2130" priority="1118">
      <formula>$AE116=4</formula>
    </cfRule>
    <cfRule type="expression" dxfId="2129" priority="1119">
      <formula>$AE116=3</formula>
    </cfRule>
    <cfRule type="expression" dxfId="2128" priority="1120">
      <formula>$AE116=2</formula>
    </cfRule>
    <cfRule type="expression" dxfId="2127" priority="1121">
      <formula>$AE116=1</formula>
    </cfRule>
  </conditionalFormatting>
  <conditionalFormatting sqref="Q116:R116">
    <cfRule type="expression" dxfId="2126" priority="1117">
      <formula>$AC116=2</formula>
    </cfRule>
  </conditionalFormatting>
  <conditionalFormatting sqref="U116">
    <cfRule type="expression" dxfId="2125" priority="1116">
      <formula>U116&gt;F116</formula>
    </cfRule>
  </conditionalFormatting>
  <conditionalFormatting sqref="O116">
    <cfRule type="expression" dxfId="2124" priority="1111">
      <formula>$AC116=2</formula>
    </cfRule>
  </conditionalFormatting>
  <conditionalFormatting sqref="V116">
    <cfRule type="expression" dxfId="2123" priority="1110">
      <formula>$AC116=2</formula>
    </cfRule>
  </conditionalFormatting>
  <conditionalFormatting sqref="Q146:R146">
    <cfRule type="expression" dxfId="2122" priority="1106">
      <formula>$AE146=4</formula>
    </cfRule>
    <cfRule type="expression" dxfId="2121" priority="1107">
      <formula>$AE146=3</formula>
    </cfRule>
    <cfRule type="expression" dxfId="2120" priority="1108">
      <formula>$AE146=2</formula>
    </cfRule>
    <cfRule type="expression" dxfId="2119" priority="1109">
      <formula>$AE146=1</formula>
    </cfRule>
  </conditionalFormatting>
  <conditionalFormatting sqref="Q146:R146">
    <cfRule type="expression" dxfId="2118" priority="1105">
      <formula>$AC146=2</formula>
    </cfRule>
  </conditionalFormatting>
  <conditionalFormatting sqref="U146">
    <cfRule type="expression" dxfId="2117" priority="1104">
      <formula>U146&gt;F146</formula>
    </cfRule>
  </conditionalFormatting>
  <conditionalFormatting sqref="O146">
    <cfRule type="expression" dxfId="2116" priority="1099">
      <formula>$AC146=2</formula>
    </cfRule>
  </conditionalFormatting>
  <conditionalFormatting sqref="V146">
    <cfRule type="expression" dxfId="2115" priority="1098">
      <formula>$AC146=2</formula>
    </cfRule>
  </conditionalFormatting>
  <conditionalFormatting sqref="Q161:R161">
    <cfRule type="expression" dxfId="2114" priority="1094">
      <formula>$AE161=4</formula>
    </cfRule>
    <cfRule type="expression" dxfId="2113" priority="1095">
      <formula>$AE161=3</formula>
    </cfRule>
    <cfRule type="expression" dxfId="2112" priority="1096">
      <formula>$AE161=2</formula>
    </cfRule>
    <cfRule type="expression" dxfId="2111" priority="1097">
      <formula>$AE161=1</formula>
    </cfRule>
  </conditionalFormatting>
  <conditionalFormatting sqref="Q161:R161">
    <cfRule type="expression" dxfId="2110" priority="1093">
      <formula>$AC161=2</formula>
    </cfRule>
  </conditionalFormatting>
  <conditionalFormatting sqref="U161">
    <cfRule type="expression" dxfId="2109" priority="1092">
      <formula>U161&gt;F161</formula>
    </cfRule>
  </conditionalFormatting>
  <conditionalFormatting sqref="O161">
    <cfRule type="expression" dxfId="2108" priority="1087">
      <formula>$AC161=2</formula>
    </cfRule>
  </conditionalFormatting>
  <conditionalFormatting sqref="V161">
    <cfRule type="expression" dxfId="2107" priority="1086">
      <formula>$AC161=2</formula>
    </cfRule>
  </conditionalFormatting>
  <conditionalFormatting sqref="Q193:R193">
    <cfRule type="expression" dxfId="2106" priority="1082">
      <formula>$AE193=4</formula>
    </cfRule>
    <cfRule type="expression" dxfId="2105" priority="1083">
      <formula>$AE193=3</formula>
    </cfRule>
    <cfRule type="expression" dxfId="2104" priority="1084">
      <formula>$AE193=2</formula>
    </cfRule>
    <cfRule type="expression" dxfId="2103" priority="1085">
      <formula>$AE193=1</formula>
    </cfRule>
  </conditionalFormatting>
  <conditionalFormatting sqref="Q193:R193">
    <cfRule type="expression" dxfId="2102" priority="1081">
      <formula>$AC193=2</formula>
    </cfRule>
  </conditionalFormatting>
  <conditionalFormatting sqref="U193">
    <cfRule type="expression" dxfId="2101" priority="1080">
      <formula>U193&gt;F193</formula>
    </cfRule>
  </conditionalFormatting>
  <conditionalFormatting sqref="O193">
    <cfRule type="expression" dxfId="2100" priority="1075">
      <formula>$AC193=2</formula>
    </cfRule>
  </conditionalFormatting>
  <conditionalFormatting sqref="V193">
    <cfRule type="expression" dxfId="2099" priority="1074">
      <formula>$AC193=2</formula>
    </cfRule>
  </conditionalFormatting>
  <conditionalFormatting sqref="Q210:R210">
    <cfRule type="expression" dxfId="2098" priority="1070">
      <formula>$AE210=4</formula>
    </cfRule>
    <cfRule type="expression" dxfId="2097" priority="1071">
      <formula>$AE210=3</formula>
    </cfRule>
    <cfRule type="expression" dxfId="2096" priority="1072">
      <formula>$AE210=2</formula>
    </cfRule>
    <cfRule type="expression" dxfId="2095" priority="1073">
      <formula>$AE210=1</formula>
    </cfRule>
  </conditionalFormatting>
  <conditionalFormatting sqref="Q210:R210">
    <cfRule type="expression" dxfId="2094" priority="1069">
      <formula>$AC210=2</formula>
    </cfRule>
  </conditionalFormatting>
  <conditionalFormatting sqref="U210">
    <cfRule type="expression" dxfId="2093" priority="1068">
      <formula>U210&gt;F210</formula>
    </cfRule>
  </conditionalFormatting>
  <conditionalFormatting sqref="O210">
    <cfRule type="expression" dxfId="2092" priority="1063">
      <formula>$AC210=2</formula>
    </cfRule>
  </conditionalFormatting>
  <conditionalFormatting sqref="V210">
    <cfRule type="expression" dxfId="2091" priority="1062">
      <formula>$AC210=2</formula>
    </cfRule>
  </conditionalFormatting>
  <conditionalFormatting sqref="Q227:R227">
    <cfRule type="expression" dxfId="2090" priority="1058">
      <formula>$AE227=4</formula>
    </cfRule>
    <cfRule type="expression" dxfId="2089" priority="1059">
      <formula>$AE227=3</formula>
    </cfRule>
    <cfRule type="expression" dxfId="2088" priority="1060">
      <formula>$AE227=2</formula>
    </cfRule>
    <cfRule type="expression" dxfId="2087" priority="1061">
      <formula>$AE227=1</formula>
    </cfRule>
  </conditionalFormatting>
  <conditionalFormatting sqref="U227">
    <cfRule type="expression" dxfId="2086" priority="1056">
      <formula>U227&gt;F227</formula>
    </cfRule>
  </conditionalFormatting>
  <conditionalFormatting sqref="O227">
    <cfRule type="expression" dxfId="2085" priority="1051">
      <formula>$AC227=2</formula>
    </cfRule>
  </conditionalFormatting>
  <conditionalFormatting sqref="V227">
    <cfRule type="expression" dxfId="2084" priority="1050">
      <formula>$AC227=2</formula>
    </cfRule>
  </conditionalFormatting>
  <conditionalFormatting sqref="N56">
    <cfRule type="expression" dxfId="2083" priority="1049">
      <formula>$AC56=2</formula>
    </cfRule>
  </conditionalFormatting>
  <conditionalFormatting sqref="N56">
    <cfRule type="expression" dxfId="2082" priority="1048">
      <formula>N56&gt;F56</formula>
    </cfRule>
  </conditionalFormatting>
  <conditionalFormatting sqref="N120">
    <cfRule type="expression" dxfId="2081" priority="1045">
      <formula>$AC120=2</formula>
    </cfRule>
  </conditionalFormatting>
  <conditionalFormatting sqref="N120">
    <cfRule type="expression" dxfId="2080" priority="1044">
      <formula>N120&gt;F120</formula>
    </cfRule>
  </conditionalFormatting>
  <conditionalFormatting sqref="N124">
    <cfRule type="expression" dxfId="2079" priority="1041">
      <formula>$AC124=2</formula>
    </cfRule>
  </conditionalFormatting>
  <conditionalFormatting sqref="N124">
    <cfRule type="expression" dxfId="2078" priority="1040">
      <formula>N124&gt;F124</formula>
    </cfRule>
  </conditionalFormatting>
  <conditionalFormatting sqref="N128">
    <cfRule type="expression" dxfId="2077" priority="1037">
      <formula>$AC128=2</formula>
    </cfRule>
  </conditionalFormatting>
  <conditionalFormatting sqref="N128">
    <cfRule type="expression" dxfId="2076" priority="1036">
      <formula>N128&gt;F128</formula>
    </cfRule>
  </conditionalFormatting>
  <conditionalFormatting sqref="N132">
    <cfRule type="expression" dxfId="2075" priority="1033">
      <formula>$AC132=2</formula>
    </cfRule>
  </conditionalFormatting>
  <conditionalFormatting sqref="N132">
    <cfRule type="expression" dxfId="2074" priority="1032">
      <formula>N132&gt;F132</formula>
    </cfRule>
  </conditionalFormatting>
  <conditionalFormatting sqref="N168">
    <cfRule type="expression" dxfId="2073" priority="1029">
      <formula>$AC168=2</formula>
    </cfRule>
  </conditionalFormatting>
  <conditionalFormatting sqref="N168">
    <cfRule type="expression" dxfId="2072" priority="1028">
      <formula>N168&gt;F168</formula>
    </cfRule>
  </conditionalFormatting>
  <conditionalFormatting sqref="N176">
    <cfRule type="expression" dxfId="2071" priority="1021">
      <formula>$AC176=2</formula>
    </cfRule>
  </conditionalFormatting>
  <conditionalFormatting sqref="N176">
    <cfRule type="expression" dxfId="2070" priority="1020">
      <formula>N176&gt;F176</formula>
    </cfRule>
  </conditionalFormatting>
  <conditionalFormatting sqref="N180">
    <cfRule type="expression" dxfId="2069" priority="1017">
      <formula>$AC180=2</formula>
    </cfRule>
  </conditionalFormatting>
  <conditionalFormatting sqref="N180">
    <cfRule type="expression" dxfId="2068" priority="1016">
      <formula>N180&gt;F180</formula>
    </cfRule>
  </conditionalFormatting>
  <conditionalFormatting sqref="N186">
    <cfRule type="expression" dxfId="2067" priority="1013">
      <formula>$AC186=2</formula>
    </cfRule>
  </conditionalFormatting>
  <conditionalFormatting sqref="N186">
    <cfRule type="expression" dxfId="2066" priority="1012">
      <formula>N186&gt;F186</formula>
    </cfRule>
  </conditionalFormatting>
  <conditionalFormatting sqref="N189">
    <cfRule type="expression" dxfId="2065" priority="1009">
      <formula>$AC189=2</formula>
    </cfRule>
  </conditionalFormatting>
  <conditionalFormatting sqref="N189">
    <cfRule type="expression" dxfId="2064" priority="1008">
      <formula>N189&gt;F189</formula>
    </cfRule>
  </conditionalFormatting>
  <conditionalFormatting sqref="U56">
    <cfRule type="expression" dxfId="2063" priority="1005">
      <formula>$AC56=2</formula>
    </cfRule>
  </conditionalFormatting>
  <conditionalFormatting sqref="U56">
    <cfRule type="expression" dxfId="2062" priority="1004">
      <formula>U56&gt;F56</formula>
    </cfRule>
  </conditionalFormatting>
  <conditionalFormatting sqref="U120">
    <cfRule type="expression" dxfId="2061" priority="1001">
      <formula>$AC120=2</formula>
    </cfRule>
  </conditionalFormatting>
  <conditionalFormatting sqref="U120">
    <cfRule type="expression" dxfId="2060" priority="1000">
      <formula>U120&gt;F120</formula>
    </cfRule>
  </conditionalFormatting>
  <conditionalFormatting sqref="U124">
    <cfRule type="expression" dxfId="2059" priority="997">
      <formula>$AC124=2</formula>
    </cfRule>
  </conditionalFormatting>
  <conditionalFormatting sqref="U124">
    <cfRule type="expression" dxfId="2058" priority="996">
      <formula>U124&gt;F124</formula>
    </cfRule>
  </conditionalFormatting>
  <conditionalFormatting sqref="U128">
    <cfRule type="expression" dxfId="2057" priority="993">
      <formula>$AC128=2</formula>
    </cfRule>
  </conditionalFormatting>
  <conditionalFormatting sqref="U128">
    <cfRule type="expression" dxfId="2056" priority="992">
      <formula>U128&gt;F128</formula>
    </cfRule>
  </conditionalFormatting>
  <conditionalFormatting sqref="U132">
    <cfRule type="expression" dxfId="2055" priority="989">
      <formula>$AC132=2</formula>
    </cfRule>
  </conditionalFormatting>
  <conditionalFormatting sqref="U132">
    <cfRule type="expression" dxfId="2054" priority="988">
      <formula>U132&gt;F132</formula>
    </cfRule>
  </conditionalFormatting>
  <conditionalFormatting sqref="U168">
    <cfRule type="expression" dxfId="2053" priority="985">
      <formula>$AC168=2</formula>
    </cfRule>
  </conditionalFormatting>
  <conditionalFormatting sqref="U168">
    <cfRule type="expression" dxfId="2052" priority="984">
      <formula>U168&gt;F168</formula>
    </cfRule>
  </conditionalFormatting>
  <conditionalFormatting sqref="U176">
    <cfRule type="expression" dxfId="2051" priority="977">
      <formula>$AC176=2</formula>
    </cfRule>
  </conditionalFormatting>
  <conditionalFormatting sqref="U176">
    <cfRule type="expression" dxfId="2050" priority="976">
      <formula>U176&gt;F176</formula>
    </cfRule>
  </conditionalFormatting>
  <conditionalFormatting sqref="U180">
    <cfRule type="expression" dxfId="2049" priority="973">
      <formula>$AC180=2</formula>
    </cfRule>
  </conditionalFormatting>
  <conditionalFormatting sqref="U180">
    <cfRule type="expression" dxfId="2048" priority="972">
      <formula>U180&gt;F180</formula>
    </cfRule>
  </conditionalFormatting>
  <conditionalFormatting sqref="U186">
    <cfRule type="expression" dxfId="2047" priority="969">
      <formula>$AC186=2</formula>
    </cfRule>
  </conditionalFormatting>
  <conditionalFormatting sqref="U186">
    <cfRule type="expression" dxfId="2046" priority="968">
      <formula>U186&gt;F186</formula>
    </cfRule>
  </conditionalFormatting>
  <conditionalFormatting sqref="U189">
    <cfRule type="expression" dxfId="2045" priority="965">
      <formula>$AC189=2</formula>
    </cfRule>
  </conditionalFormatting>
  <conditionalFormatting sqref="U189">
    <cfRule type="expression" dxfId="2044" priority="964">
      <formula>U189&gt;F189</formula>
    </cfRule>
  </conditionalFormatting>
  <conditionalFormatting sqref="AZ136">
    <cfRule type="expression" dxfId="2043" priority="961">
      <formula>$AC136=2</formula>
    </cfRule>
  </conditionalFormatting>
  <conditionalFormatting sqref="AB136">
    <cfRule type="expression" dxfId="2042" priority="959">
      <formula>$AJ$4="Nei"</formula>
    </cfRule>
    <cfRule type="expression" dxfId="2041" priority="960">
      <formula>$AC136=2</formula>
    </cfRule>
  </conditionalFormatting>
  <conditionalFormatting sqref="Q136:R136">
    <cfRule type="expression" dxfId="2040" priority="955">
      <formula>$AE136=4</formula>
    </cfRule>
    <cfRule type="expression" dxfId="2039" priority="956">
      <formula>$AE136=3</formula>
    </cfRule>
    <cfRule type="expression" dxfId="2038" priority="957">
      <formula>$AE136=2</formula>
    </cfRule>
    <cfRule type="expression" dxfId="2037" priority="958">
      <formula>$AE136=1</formula>
    </cfRule>
  </conditionalFormatting>
  <conditionalFormatting sqref="X136:Y136">
    <cfRule type="expression" dxfId="2036" priority="951">
      <formula>$AF136=4</formula>
    </cfRule>
    <cfRule type="expression" dxfId="2035" priority="952">
      <formula>$AF136=3</formula>
    </cfRule>
    <cfRule type="expression" dxfId="2034" priority="953">
      <formula>$AF136=2</formula>
    </cfRule>
    <cfRule type="expression" dxfId="2033" priority="954">
      <formula>$AF136=1</formula>
    </cfRule>
  </conditionalFormatting>
  <conditionalFormatting sqref="N136">
    <cfRule type="expression" dxfId="2032" priority="950">
      <formula>$AC136=2</formula>
    </cfRule>
  </conditionalFormatting>
  <conditionalFormatting sqref="N136">
    <cfRule type="expression" dxfId="2031" priority="949">
      <formula>N136&gt;F136</formula>
    </cfRule>
  </conditionalFormatting>
  <conditionalFormatting sqref="G136">
    <cfRule type="expression" dxfId="2030" priority="936">
      <formula>G136&gt;F136</formula>
    </cfRule>
  </conditionalFormatting>
  <conditionalFormatting sqref="K136">
    <cfRule type="expression" dxfId="2029" priority="940">
      <formula>$AD136=4</formula>
    </cfRule>
    <cfRule type="expression" dxfId="2028" priority="941">
      <formula>$AD136=3</formula>
    </cfRule>
    <cfRule type="expression" dxfId="2027" priority="942">
      <formula>$AD136=2</formula>
    </cfRule>
    <cfRule type="expression" dxfId="2026" priority="943">
      <formula>$AD136=1</formula>
    </cfRule>
  </conditionalFormatting>
  <conditionalFormatting sqref="K136">
    <cfRule type="expression" dxfId="2025" priority="939">
      <formula>$AC136=2</formula>
    </cfRule>
  </conditionalFormatting>
  <conditionalFormatting sqref="L136">
    <cfRule type="expression" dxfId="2024" priority="938">
      <formula>$AC136=2</formula>
    </cfRule>
  </conditionalFormatting>
  <conditionalFormatting sqref="G136">
    <cfRule type="expression" dxfId="2023" priority="937">
      <formula>$AC136=2</formula>
    </cfRule>
  </conditionalFormatting>
  <conditionalFormatting sqref="O136">
    <cfRule type="expression" dxfId="2022" priority="935">
      <formula>$AC136=2</formula>
    </cfRule>
  </conditionalFormatting>
  <conditionalFormatting sqref="V136">
    <cfRule type="expression" dxfId="2021" priority="934">
      <formula>$AC136=2</formula>
    </cfRule>
  </conditionalFormatting>
  <conditionalFormatting sqref="U136">
    <cfRule type="expression" dxfId="2020" priority="933">
      <formula>$AC136=2</formula>
    </cfRule>
  </conditionalFormatting>
  <conditionalFormatting sqref="U136">
    <cfRule type="expression" dxfId="2019" priority="932">
      <formula>U136&gt;F136</formula>
    </cfRule>
  </conditionalFormatting>
  <conditionalFormatting sqref="J199:K199">
    <cfRule type="expression" dxfId="2018" priority="926">
      <formula>$AD199=4</formula>
    </cfRule>
    <cfRule type="expression" dxfId="2017" priority="927">
      <formula>$AD199=3</formula>
    </cfRule>
    <cfRule type="expression" dxfId="2016" priority="928">
      <formula>$AD199=2</formula>
    </cfRule>
    <cfRule type="expression" dxfId="2015" priority="929">
      <formula>$AD199=1</formula>
    </cfRule>
  </conditionalFormatting>
  <conditionalFormatting sqref="Q199:R199">
    <cfRule type="expression" dxfId="2014" priority="922">
      <formula>$AE199=4</formula>
    </cfRule>
    <cfRule type="expression" dxfId="2013" priority="923">
      <formula>$AE199=3</formula>
    </cfRule>
    <cfRule type="expression" dxfId="2012" priority="924">
      <formula>$AE199=2</formula>
    </cfRule>
    <cfRule type="expression" dxfId="2011" priority="925">
      <formula>$AE199=1</formula>
    </cfRule>
  </conditionalFormatting>
  <conditionalFormatting sqref="X199:Y199">
    <cfRule type="expression" dxfId="2010" priority="918">
      <formula>$AF199=4</formula>
    </cfRule>
    <cfRule type="expression" dxfId="2009" priority="919">
      <formula>$AF199=3</formula>
    </cfRule>
    <cfRule type="expression" dxfId="2008" priority="920">
      <formula>$AF199=2</formula>
    </cfRule>
    <cfRule type="expression" dxfId="2007" priority="921">
      <formula>$AF199=1</formula>
    </cfRule>
  </conditionalFormatting>
  <conditionalFormatting sqref="AZ199">
    <cfRule type="expression" dxfId="2006" priority="917">
      <formula>$AC199=2</formula>
    </cfRule>
  </conditionalFormatting>
  <conditionalFormatting sqref="G199">
    <cfRule type="expression" dxfId="2005" priority="916">
      <formula>G199&gt;F199</formula>
    </cfRule>
  </conditionalFormatting>
  <conditionalFormatting sqref="N199">
    <cfRule type="expression" dxfId="2004" priority="915">
      <formula>N199&gt;F199</formula>
    </cfRule>
  </conditionalFormatting>
  <conditionalFormatting sqref="U199">
    <cfRule type="expression" dxfId="2003" priority="914">
      <formula>U199&gt;F199</formula>
    </cfRule>
  </conditionalFormatting>
  <conditionalFormatting sqref="Q198:R198">
    <cfRule type="expression" dxfId="2002" priority="902">
      <formula>$AE198=4</formula>
    </cfRule>
    <cfRule type="expression" dxfId="2001" priority="903">
      <formula>$AE198=3</formula>
    </cfRule>
    <cfRule type="expression" dxfId="2000" priority="904">
      <formula>$AE198=2</formula>
    </cfRule>
    <cfRule type="expression" dxfId="1999" priority="905">
      <formula>$AE198=1</formula>
    </cfRule>
  </conditionalFormatting>
  <conditionalFormatting sqref="H198:I198">
    <cfRule type="expression" dxfId="1998" priority="901">
      <formula>$AC198=2</formula>
    </cfRule>
  </conditionalFormatting>
  <conditionalFormatting sqref="J198:K198">
    <cfRule type="expression" dxfId="1997" priority="894">
      <formula>$AD198=4</formula>
    </cfRule>
    <cfRule type="expression" dxfId="1996" priority="895">
      <formula>$AD198=3</formula>
    </cfRule>
    <cfRule type="expression" dxfId="1995" priority="896">
      <formula>$AD198=2</formula>
    </cfRule>
    <cfRule type="expression" dxfId="1994" priority="897">
      <formula>$AD198=1</formula>
    </cfRule>
  </conditionalFormatting>
  <conditionalFormatting sqref="J198:K198">
    <cfRule type="expression" dxfId="1993" priority="893">
      <formula>$AC198=2</formula>
    </cfRule>
  </conditionalFormatting>
  <conditionalFormatting sqref="L198">
    <cfRule type="expression" dxfId="1992" priority="892">
      <formula>$AC198=2</formula>
    </cfRule>
  </conditionalFormatting>
  <conditionalFormatting sqref="O198">
    <cfRule type="expression" dxfId="1991" priority="891">
      <formula>$AC198=2</formula>
    </cfRule>
  </conditionalFormatting>
  <conditionalFormatting sqref="G198">
    <cfRule type="expression" dxfId="1990" priority="890">
      <formula>$AC198=2</formula>
    </cfRule>
  </conditionalFormatting>
  <conditionalFormatting sqref="G198">
    <cfRule type="expression" dxfId="1989" priority="889">
      <formula>G198&gt;F198</formula>
    </cfRule>
  </conditionalFormatting>
  <conditionalFormatting sqref="N198">
    <cfRule type="expression" dxfId="1988" priority="888">
      <formula>$AC198=2</formula>
    </cfRule>
  </conditionalFormatting>
  <conditionalFormatting sqref="N198">
    <cfRule type="expression" dxfId="1987" priority="887">
      <formula>N198&gt;F198</formula>
    </cfRule>
  </conditionalFormatting>
  <conditionalFormatting sqref="U198">
    <cfRule type="expression" dxfId="1986" priority="884">
      <formula>$AC198=2</formula>
    </cfRule>
  </conditionalFormatting>
  <conditionalFormatting sqref="U198">
    <cfRule type="expression" dxfId="1985" priority="883">
      <formula>U198&gt;F198</formula>
    </cfRule>
  </conditionalFormatting>
  <conditionalFormatting sqref="G25:I25">
    <cfRule type="expression" dxfId="1984" priority="880">
      <formula>$AC25=2</formula>
    </cfRule>
  </conditionalFormatting>
  <conditionalFormatting sqref="L25">
    <cfRule type="expression" dxfId="1983" priority="874">
      <formula>$AC25=2</formula>
    </cfRule>
  </conditionalFormatting>
  <conditionalFormatting sqref="G25">
    <cfRule type="expression" dxfId="1982" priority="873">
      <formula>G25&gt;F25</formula>
    </cfRule>
  </conditionalFormatting>
  <conditionalFormatting sqref="J25:K25">
    <cfRule type="expression" dxfId="1981" priority="876">
      <formula>$AD25=4</formula>
    </cfRule>
    <cfRule type="expression" dxfId="1980" priority="877">
      <formula>$AD25=3</formula>
    </cfRule>
    <cfRule type="expression" dxfId="1979" priority="878">
      <formula>$AD25=2</formula>
    </cfRule>
    <cfRule type="expression" dxfId="1978" priority="879">
      <formula>$AD25=1</formula>
    </cfRule>
  </conditionalFormatting>
  <conditionalFormatting sqref="J25:K25">
    <cfRule type="expression" dxfId="1977" priority="875">
      <formula>$AC25=2</formula>
    </cfRule>
  </conditionalFormatting>
  <conditionalFormatting sqref="Q25:R25">
    <cfRule type="expression" dxfId="1976" priority="869">
      <formula>$AE25=4</formula>
    </cfRule>
    <cfRule type="expression" dxfId="1975" priority="870">
      <formula>$AE25=3</formula>
    </cfRule>
    <cfRule type="expression" dxfId="1974" priority="871">
      <formula>$AE25=2</formula>
    </cfRule>
    <cfRule type="expression" dxfId="1973" priority="872">
      <formula>$AE25=1</formula>
    </cfRule>
  </conditionalFormatting>
  <conditionalFormatting sqref="X25:Y25">
    <cfRule type="expression" dxfId="1972" priority="865">
      <formula>$AF25=4</formula>
    </cfRule>
    <cfRule type="expression" dxfId="1971" priority="866">
      <formula>$AF25=3</formula>
    </cfRule>
    <cfRule type="expression" dxfId="1970" priority="867">
      <formula>$AF25=2</formula>
    </cfRule>
    <cfRule type="expression" dxfId="1969" priority="868">
      <formula>$AF25=1</formula>
    </cfRule>
  </conditionalFormatting>
  <conditionalFormatting sqref="N25">
    <cfRule type="expression" dxfId="1968" priority="864">
      <formula>$AC25=2</formula>
    </cfRule>
  </conditionalFormatting>
  <conditionalFormatting sqref="N25">
    <cfRule type="expression" dxfId="1967" priority="863">
      <formula>N25&gt;F25</formula>
    </cfRule>
  </conditionalFormatting>
  <conditionalFormatting sqref="O25">
    <cfRule type="expression" dxfId="1966" priority="857">
      <formula>$AC25=2</formula>
    </cfRule>
  </conditionalFormatting>
  <conditionalFormatting sqref="V25">
    <cfRule type="expression" dxfId="1965" priority="856">
      <formula>$AC25=2</formula>
    </cfRule>
  </conditionalFormatting>
  <conditionalFormatting sqref="U25">
    <cfRule type="expression" dxfId="1964" priority="855">
      <formula>$AC25=2</formula>
    </cfRule>
  </conditionalFormatting>
  <conditionalFormatting sqref="U25">
    <cfRule type="expression" dxfId="1963" priority="854">
      <formula>U25&gt;F25</formula>
    </cfRule>
  </conditionalFormatting>
  <conditionalFormatting sqref="G26:I26">
    <cfRule type="expression" dxfId="1962" priority="851">
      <formula>$AC26=2</formula>
    </cfRule>
  </conditionalFormatting>
  <conditionalFormatting sqref="L26">
    <cfRule type="expression" dxfId="1961" priority="845">
      <formula>$AC26=2</formula>
    </cfRule>
  </conditionalFormatting>
  <conditionalFormatting sqref="G26">
    <cfRule type="expression" dxfId="1960" priority="844">
      <formula>G26&gt;F26</formula>
    </cfRule>
  </conditionalFormatting>
  <conditionalFormatting sqref="J26:K26">
    <cfRule type="expression" dxfId="1959" priority="847">
      <formula>$AD26=4</formula>
    </cfRule>
    <cfRule type="expression" dxfId="1958" priority="848">
      <formula>$AD26=3</formula>
    </cfRule>
    <cfRule type="expression" dxfId="1957" priority="849">
      <formula>$AD26=2</formula>
    </cfRule>
    <cfRule type="expression" dxfId="1956" priority="850">
      <formula>$AD26=1</formula>
    </cfRule>
  </conditionalFormatting>
  <conditionalFormatting sqref="J26:K26">
    <cfRule type="expression" dxfId="1955" priority="846">
      <formula>$AC26=2</formula>
    </cfRule>
  </conditionalFormatting>
  <conditionalFormatting sqref="Q26:R26">
    <cfRule type="expression" dxfId="1954" priority="840">
      <formula>$AE26=4</formula>
    </cfRule>
    <cfRule type="expression" dxfId="1953" priority="841">
      <formula>$AE26=3</formula>
    </cfRule>
    <cfRule type="expression" dxfId="1952" priority="842">
      <formula>$AE26=2</formula>
    </cfRule>
    <cfRule type="expression" dxfId="1951" priority="843">
      <formula>$AE26=1</formula>
    </cfRule>
  </conditionalFormatting>
  <conditionalFormatting sqref="X26:Y26">
    <cfRule type="expression" dxfId="1950" priority="836">
      <formula>$AF26=4</formula>
    </cfRule>
    <cfRule type="expression" dxfId="1949" priority="837">
      <formula>$AF26=3</formula>
    </cfRule>
    <cfRule type="expression" dxfId="1948" priority="838">
      <formula>$AF26=2</formula>
    </cfRule>
    <cfRule type="expression" dxfId="1947" priority="839">
      <formula>$AF26=1</formula>
    </cfRule>
  </conditionalFormatting>
  <conditionalFormatting sqref="N26">
    <cfRule type="expression" dxfId="1946" priority="835">
      <formula>$AC26=2</formula>
    </cfRule>
  </conditionalFormatting>
  <conditionalFormatting sqref="N26">
    <cfRule type="expression" dxfId="1945" priority="834">
      <formula>N26&gt;F26</formula>
    </cfRule>
  </conditionalFormatting>
  <conditionalFormatting sqref="O26">
    <cfRule type="expression" dxfId="1944" priority="828">
      <formula>$AC26=2</formula>
    </cfRule>
  </conditionalFormatting>
  <conditionalFormatting sqref="V26">
    <cfRule type="expression" dxfId="1943" priority="827">
      <formula>$AC26=2</formula>
    </cfRule>
  </conditionalFormatting>
  <conditionalFormatting sqref="U26">
    <cfRule type="expression" dxfId="1942" priority="826">
      <formula>$AC26=2</formula>
    </cfRule>
  </conditionalFormatting>
  <conditionalFormatting sqref="U26">
    <cfRule type="expression" dxfId="1941" priority="825">
      <formula>U26&gt;F26</formula>
    </cfRule>
  </conditionalFormatting>
  <conditionalFormatting sqref="H11:H38 H87:H99 H41:H69 H101:H105 H155:H165 H167:H227 H71 H107:H137 H151:H153 H139:H149 H73:H85">
    <cfRule type="expression" dxfId="1940" priority="822">
      <formula>F11=0</formula>
    </cfRule>
  </conditionalFormatting>
  <conditionalFormatting sqref="I11:I38 I87:I99 I41:I69 I101:I105 I155:I165 I71 I107:I137 I151:I153 I139:I149 I167:I227 I73:I85">
    <cfRule type="expression" dxfId="1939" priority="821">
      <formula>F11=0</formula>
    </cfRule>
  </conditionalFormatting>
  <conditionalFormatting sqref="O87:O99 O101:O105 O11:O38 O192:O227 O155:O165 O167:O190 O107:O137 O151:O153 O139:O149 O41:O85">
    <cfRule type="expression" dxfId="1938" priority="3096">
      <formula>F11=0</formula>
    </cfRule>
  </conditionalFormatting>
  <conditionalFormatting sqref="V87:V99 V101:V105 V11:V14 V192:V227 V155:V165 V167:V190 V107:V137 V151:V153 V139:V149 V16:V38 V41:V85">
    <cfRule type="expression" dxfId="1937" priority="2309">
      <formula>F11=0</formula>
    </cfRule>
  </conditionalFormatting>
  <conditionalFormatting sqref="AZ86">
    <cfRule type="expression" dxfId="1936" priority="818">
      <formula>$AC86=2</formula>
    </cfRule>
  </conditionalFormatting>
  <conditionalFormatting sqref="AB86">
    <cfRule type="expression" dxfId="1935" priority="816">
      <formula>$AJ$4="Nei"</formula>
    </cfRule>
    <cfRule type="expression" dxfId="1934" priority="817">
      <formula>$AC86=2</formula>
    </cfRule>
  </conditionalFormatting>
  <conditionalFormatting sqref="Q86:R86">
    <cfRule type="expression" dxfId="1933" priority="812">
      <formula>$AE86=4</formula>
    </cfRule>
    <cfRule type="expression" dxfId="1932" priority="813">
      <formula>$AE86=3</formula>
    </cfRule>
    <cfRule type="expression" dxfId="1931" priority="814">
      <formula>$AE86=2</formula>
    </cfRule>
    <cfRule type="expression" dxfId="1930" priority="815">
      <formula>$AE86=1</formula>
    </cfRule>
  </conditionalFormatting>
  <conditionalFormatting sqref="X86:Y86">
    <cfRule type="expression" dxfId="1929" priority="808">
      <formula>$AF86=4</formula>
    </cfRule>
    <cfRule type="expression" dxfId="1928" priority="809">
      <formula>$AF86=3</formula>
    </cfRule>
    <cfRule type="expression" dxfId="1927" priority="810">
      <formula>$AF86=2</formula>
    </cfRule>
    <cfRule type="expression" dxfId="1926" priority="811">
      <formula>$AF86=1</formula>
    </cfRule>
  </conditionalFormatting>
  <conditionalFormatting sqref="N86">
    <cfRule type="expression" dxfId="1925" priority="807">
      <formula>$AC86=2</formula>
    </cfRule>
  </conditionalFormatting>
  <conditionalFormatting sqref="N86">
    <cfRule type="expression" dxfId="1924" priority="806">
      <formula>N86&gt;F86</formula>
    </cfRule>
  </conditionalFormatting>
  <conditionalFormatting sqref="G86">
    <cfRule type="expression" dxfId="1923" priority="793">
      <formula>G86&gt;F86</formula>
    </cfRule>
  </conditionalFormatting>
  <conditionalFormatting sqref="J86:K86">
    <cfRule type="expression" dxfId="1922" priority="797">
      <formula>$AD86=4</formula>
    </cfRule>
    <cfRule type="expression" dxfId="1921" priority="798">
      <formula>$AD86=3</formula>
    </cfRule>
    <cfRule type="expression" dxfId="1920" priority="799">
      <formula>$AD86=2</formula>
    </cfRule>
    <cfRule type="expression" dxfId="1919" priority="800">
      <formula>$AD86=1</formula>
    </cfRule>
  </conditionalFormatting>
  <conditionalFormatting sqref="J86:K86">
    <cfRule type="expression" dxfId="1918" priority="796">
      <formula>$AC86=2</formula>
    </cfRule>
  </conditionalFormatting>
  <conditionalFormatting sqref="L86">
    <cfRule type="expression" dxfId="1917" priority="795">
      <formula>$AC86=2</formula>
    </cfRule>
  </conditionalFormatting>
  <conditionalFormatting sqref="G86">
    <cfRule type="expression" dxfId="1916" priority="794">
      <formula>$AC86=2</formula>
    </cfRule>
  </conditionalFormatting>
  <conditionalFormatting sqref="O86">
    <cfRule type="expression" dxfId="1915" priority="792">
      <formula>$AC86=2</formula>
    </cfRule>
  </conditionalFormatting>
  <conditionalFormatting sqref="V86">
    <cfRule type="expression" dxfId="1914" priority="791">
      <formula>$AC86=2</formula>
    </cfRule>
  </conditionalFormatting>
  <conditionalFormatting sqref="U86">
    <cfRule type="expression" dxfId="1913" priority="790">
      <formula>$AC86=2</formula>
    </cfRule>
  </conditionalFormatting>
  <conditionalFormatting sqref="U86">
    <cfRule type="expression" dxfId="1912" priority="789">
      <formula>U86&gt;F86</formula>
    </cfRule>
  </conditionalFormatting>
  <conditionalFormatting sqref="H86">
    <cfRule type="expression" dxfId="1911" priority="786">
      <formula>F86=0</formula>
    </cfRule>
  </conditionalFormatting>
  <conditionalFormatting sqref="I86">
    <cfRule type="expression" dxfId="1910" priority="785">
      <formula>F86=0</formula>
    </cfRule>
  </conditionalFormatting>
  <conditionalFormatting sqref="O86">
    <cfRule type="expression" dxfId="1909" priority="784">
      <formula>F86=0</formula>
    </cfRule>
  </conditionalFormatting>
  <conditionalFormatting sqref="V86">
    <cfRule type="expression" dxfId="1908" priority="783">
      <formula>F86=0</formula>
    </cfRule>
  </conditionalFormatting>
  <conditionalFormatting sqref="AZ100">
    <cfRule type="expression" dxfId="1907" priority="782">
      <formula>$AC100=2</formula>
    </cfRule>
  </conditionalFormatting>
  <conditionalFormatting sqref="AB100">
    <cfRule type="expression" dxfId="1906" priority="780">
      <formula>$AJ$4="Nei"</formula>
    </cfRule>
    <cfRule type="expression" dxfId="1905" priority="781">
      <formula>$AC100=2</formula>
    </cfRule>
  </conditionalFormatting>
  <conditionalFormatting sqref="Q100:R100">
    <cfRule type="expression" dxfId="1904" priority="776">
      <formula>$AE100=4</formula>
    </cfRule>
    <cfRule type="expression" dxfId="1903" priority="777">
      <formula>$AE100=3</formula>
    </cfRule>
    <cfRule type="expression" dxfId="1902" priority="778">
      <formula>$AE100=2</formula>
    </cfRule>
    <cfRule type="expression" dxfId="1901" priority="779">
      <formula>$AE100=1</formula>
    </cfRule>
  </conditionalFormatting>
  <conditionalFormatting sqref="X100:Y100">
    <cfRule type="expression" dxfId="1900" priority="772">
      <formula>$AF100=4</formula>
    </cfRule>
    <cfRule type="expression" dxfId="1899" priority="773">
      <formula>$AF100=3</formula>
    </cfRule>
    <cfRule type="expression" dxfId="1898" priority="774">
      <formula>$AF100=2</formula>
    </cfRule>
    <cfRule type="expression" dxfId="1897" priority="775">
      <formula>$AF100=1</formula>
    </cfRule>
  </conditionalFormatting>
  <conditionalFormatting sqref="X100:Y100">
    <cfRule type="expression" dxfId="1896" priority="771">
      <formula>$AC100=2</formula>
    </cfRule>
  </conditionalFormatting>
  <conditionalFormatting sqref="J100:K100">
    <cfRule type="expression" dxfId="1895" priority="762">
      <formula>$AD100=4</formula>
    </cfRule>
    <cfRule type="expression" dxfId="1894" priority="763">
      <formula>$AD100=3</formula>
    </cfRule>
    <cfRule type="expression" dxfId="1893" priority="764">
      <formula>$AD100=2</formula>
    </cfRule>
    <cfRule type="expression" dxfId="1892" priority="765">
      <formula>$AD100=1</formula>
    </cfRule>
  </conditionalFormatting>
  <conditionalFormatting sqref="J100:K100">
    <cfRule type="expression" dxfId="1891" priority="761">
      <formula>$AC100=2</formula>
    </cfRule>
  </conditionalFormatting>
  <conditionalFormatting sqref="L100">
    <cfRule type="expression" dxfId="1890" priority="760">
      <formula>$AC100=2</formula>
    </cfRule>
  </conditionalFormatting>
  <conditionalFormatting sqref="O100">
    <cfRule type="expression" dxfId="1889" priority="759">
      <formula>$AC100=2</formula>
    </cfRule>
  </conditionalFormatting>
  <conditionalFormatting sqref="V100">
    <cfRule type="expression" dxfId="1888" priority="758">
      <formula>$AC100=2</formula>
    </cfRule>
  </conditionalFormatting>
  <conditionalFormatting sqref="G100">
    <cfRule type="expression" dxfId="1887" priority="757">
      <formula>$AC100=2</formula>
    </cfRule>
  </conditionalFormatting>
  <conditionalFormatting sqref="G100">
    <cfRule type="expression" dxfId="1886" priority="756">
      <formula>G100&gt;F100</formula>
    </cfRule>
  </conditionalFormatting>
  <conditionalFormatting sqref="N100">
    <cfRule type="expression" dxfId="1885" priority="755">
      <formula>$AC100=2</formula>
    </cfRule>
  </conditionalFormatting>
  <conditionalFormatting sqref="N100">
    <cfRule type="expression" dxfId="1884" priority="754">
      <formula>N100&gt;F100</formula>
    </cfRule>
  </conditionalFormatting>
  <conditionalFormatting sqref="U100">
    <cfRule type="expression" dxfId="1883" priority="751">
      <formula>$AC100=2</formula>
    </cfRule>
  </conditionalFormatting>
  <conditionalFormatting sqref="U100">
    <cfRule type="expression" dxfId="1882" priority="750">
      <formula>U100&gt;F100</formula>
    </cfRule>
  </conditionalFormatting>
  <conditionalFormatting sqref="H100">
    <cfRule type="expression" dxfId="1881" priority="747">
      <formula>F100=0</formula>
    </cfRule>
  </conditionalFormatting>
  <conditionalFormatting sqref="I100">
    <cfRule type="expression" dxfId="1880" priority="746">
      <formula>F100=0</formula>
    </cfRule>
  </conditionalFormatting>
  <conditionalFormatting sqref="O100">
    <cfRule type="expression" dxfId="1879" priority="745">
      <formula>F100=0</formula>
    </cfRule>
  </conditionalFormatting>
  <conditionalFormatting sqref="V100">
    <cfRule type="expression" dxfId="1878" priority="744">
      <formula>F100=0</formula>
    </cfRule>
  </conditionalFormatting>
  <conditionalFormatting sqref="X15:Y15">
    <cfRule type="expression" dxfId="1877" priority="740">
      <formula>$AF15=4</formula>
    </cfRule>
    <cfRule type="expression" dxfId="1876" priority="741">
      <formula>$AF15=3</formula>
    </cfRule>
    <cfRule type="expression" dxfId="1875" priority="742">
      <formula>$AF15=2</formula>
    </cfRule>
    <cfRule type="expression" dxfId="1874" priority="743">
      <formula>$AF15=1</formula>
    </cfRule>
  </conditionalFormatting>
  <conditionalFormatting sqref="X15:Y15">
    <cfRule type="expression" dxfId="1873" priority="739">
      <formula>$AC15=2</formula>
    </cfRule>
  </conditionalFormatting>
  <conditionalFormatting sqref="V15">
    <cfRule type="expression" dxfId="1872" priority="736">
      <formula>$AC15=2</formula>
    </cfRule>
  </conditionalFormatting>
  <conditionalFormatting sqref="U15">
    <cfRule type="expression" dxfId="1871" priority="735">
      <formula>$AC15=2</formula>
    </cfRule>
  </conditionalFormatting>
  <conditionalFormatting sqref="U15">
    <cfRule type="expression" dxfId="1870" priority="734">
      <formula>U15&gt;F15</formula>
    </cfRule>
  </conditionalFormatting>
  <conditionalFormatting sqref="V15">
    <cfRule type="expression" dxfId="1869" priority="731">
      <formula>F15=0</formula>
    </cfRule>
  </conditionalFormatting>
  <conditionalFormatting sqref="L174">
    <cfRule type="expression" dxfId="1868" priority="729">
      <formula>$AC174=2</formula>
    </cfRule>
  </conditionalFormatting>
  <conditionalFormatting sqref="L178">
    <cfRule type="expression" dxfId="1867" priority="722">
      <formula>$AC178=2</formula>
    </cfRule>
  </conditionalFormatting>
  <conditionalFormatting sqref="J134:J137">
    <cfRule type="expression" dxfId="1866" priority="716">
      <formula>$AD134=4</formula>
    </cfRule>
    <cfRule type="expression" dxfId="1865" priority="717">
      <formula>$AD134=3</formula>
    </cfRule>
    <cfRule type="expression" dxfId="1864" priority="718">
      <formula>$AD134=2</formula>
    </cfRule>
    <cfRule type="expression" dxfId="1863" priority="719">
      <formula>$AD134=1</formula>
    </cfRule>
  </conditionalFormatting>
  <conditionalFormatting sqref="J134:J137">
    <cfRule type="expression" dxfId="1862" priority="715">
      <formula>$AC134=2</formula>
    </cfRule>
  </conditionalFormatting>
  <conditionalFormatting sqref="L14">
    <cfRule type="expression" dxfId="1861" priority="714">
      <formula>$AC14=2</formula>
    </cfRule>
  </conditionalFormatting>
  <conditionalFormatting sqref="P36:P37">
    <cfRule type="expression" dxfId="1860" priority="703">
      <formula>$AE36=4</formula>
    </cfRule>
    <cfRule type="expression" dxfId="1859" priority="704">
      <formula>$AE36=3</formula>
    </cfRule>
    <cfRule type="expression" dxfId="1858" priority="705">
      <formula>$AE36=2</formula>
    </cfRule>
    <cfRule type="expression" dxfId="1857" priority="706">
      <formula>$AE36=1</formula>
    </cfRule>
  </conditionalFormatting>
  <conditionalFormatting sqref="P36:P37">
    <cfRule type="expression" dxfId="1856" priority="702">
      <formula>$AC36=2</formula>
    </cfRule>
  </conditionalFormatting>
  <conditionalFormatting sqref="P64:P65">
    <cfRule type="expression" dxfId="1855" priority="696">
      <formula>$AE64=4</formula>
    </cfRule>
    <cfRule type="expression" dxfId="1854" priority="697">
      <formula>$AE64=3</formula>
    </cfRule>
    <cfRule type="expression" dxfId="1853" priority="698">
      <formula>$AE64=2</formula>
    </cfRule>
    <cfRule type="expression" dxfId="1852" priority="699">
      <formula>$AE64=1</formula>
    </cfRule>
  </conditionalFormatting>
  <conditionalFormatting sqref="P64:P65">
    <cfRule type="expression" dxfId="1851" priority="695">
      <formula>$AC64=2</formula>
    </cfRule>
  </conditionalFormatting>
  <conditionalFormatting sqref="P94:P95">
    <cfRule type="expression" dxfId="1850" priority="689">
      <formula>$AE94=4</formula>
    </cfRule>
    <cfRule type="expression" dxfId="1849" priority="690">
      <formula>$AE94=3</formula>
    </cfRule>
    <cfRule type="expression" dxfId="1848" priority="691">
      <formula>$AE94=2</formula>
    </cfRule>
    <cfRule type="expression" dxfId="1847" priority="692">
      <formula>$AE94=1</formula>
    </cfRule>
  </conditionalFormatting>
  <conditionalFormatting sqref="P94:P95">
    <cfRule type="expression" dxfId="1846" priority="688">
      <formula>$AC94=2</formula>
    </cfRule>
  </conditionalFormatting>
  <conditionalFormatting sqref="P103:P104">
    <cfRule type="expression" dxfId="1845" priority="682">
      <formula>$AE103=4</formula>
    </cfRule>
    <cfRule type="expression" dxfId="1844" priority="683">
      <formula>$AE103=3</formula>
    </cfRule>
    <cfRule type="expression" dxfId="1843" priority="684">
      <formula>$AE103=2</formula>
    </cfRule>
    <cfRule type="expression" dxfId="1842" priority="685">
      <formula>$AE103=1</formula>
    </cfRule>
  </conditionalFormatting>
  <conditionalFormatting sqref="P103:P104">
    <cfRule type="expression" dxfId="1841" priority="681">
      <formula>$AC103=2</formula>
    </cfRule>
  </conditionalFormatting>
  <conditionalFormatting sqref="P117:P118">
    <cfRule type="expression" dxfId="1840" priority="675">
      <formula>$AE117=4</formula>
    </cfRule>
    <cfRule type="expression" dxfId="1839" priority="676">
      <formula>$AE117=3</formula>
    </cfRule>
    <cfRule type="expression" dxfId="1838" priority="677">
      <formula>$AE117=2</formula>
    </cfRule>
    <cfRule type="expression" dxfId="1837" priority="678">
      <formula>$AE117=1</formula>
    </cfRule>
  </conditionalFormatting>
  <conditionalFormatting sqref="P117:P118">
    <cfRule type="expression" dxfId="1836" priority="674">
      <formula>$AC117=2</formula>
    </cfRule>
  </conditionalFormatting>
  <conditionalFormatting sqref="P147:P148">
    <cfRule type="expression" dxfId="1835" priority="668">
      <formula>$AE147=4</formula>
    </cfRule>
    <cfRule type="expression" dxfId="1834" priority="669">
      <formula>$AE147=3</formula>
    </cfRule>
    <cfRule type="expression" dxfId="1833" priority="670">
      <formula>$AE147=2</formula>
    </cfRule>
    <cfRule type="expression" dxfId="1832" priority="671">
      <formula>$AE147=1</formula>
    </cfRule>
  </conditionalFormatting>
  <conditionalFormatting sqref="P147:P148">
    <cfRule type="expression" dxfId="1831" priority="667">
      <formula>$AC147=2</formula>
    </cfRule>
  </conditionalFormatting>
  <conditionalFormatting sqref="P162:P163">
    <cfRule type="expression" dxfId="1830" priority="661">
      <formula>$AE162=4</formula>
    </cfRule>
    <cfRule type="expression" dxfId="1829" priority="662">
      <formula>$AE162=3</formula>
    </cfRule>
    <cfRule type="expression" dxfId="1828" priority="663">
      <formula>$AE162=2</formula>
    </cfRule>
    <cfRule type="expression" dxfId="1827" priority="664">
      <formula>$AE162=1</formula>
    </cfRule>
  </conditionalFormatting>
  <conditionalFormatting sqref="P162:P163">
    <cfRule type="expression" dxfId="1826" priority="660">
      <formula>$AC162=2</formula>
    </cfRule>
  </conditionalFormatting>
  <conditionalFormatting sqref="P194:P195">
    <cfRule type="expression" dxfId="1825" priority="654">
      <formula>$AE194=4</formula>
    </cfRule>
    <cfRule type="expression" dxfId="1824" priority="655">
      <formula>$AE194=3</formula>
    </cfRule>
    <cfRule type="expression" dxfId="1823" priority="656">
      <formula>$AE194=2</formula>
    </cfRule>
    <cfRule type="expression" dxfId="1822" priority="657">
      <formula>$AE194=1</formula>
    </cfRule>
  </conditionalFormatting>
  <conditionalFormatting sqref="P194:P195">
    <cfRule type="expression" dxfId="1821" priority="653">
      <formula>$AC194=2</formula>
    </cfRule>
  </conditionalFormatting>
  <conditionalFormatting sqref="P211:P212">
    <cfRule type="expression" dxfId="1820" priority="647">
      <formula>$AE211=4</formula>
    </cfRule>
    <cfRule type="expression" dxfId="1819" priority="648">
      <formula>$AE211=3</formula>
    </cfRule>
    <cfRule type="expression" dxfId="1818" priority="649">
      <formula>$AE211=2</formula>
    </cfRule>
    <cfRule type="expression" dxfId="1817" priority="650">
      <formula>$AE211=1</formula>
    </cfRule>
  </conditionalFormatting>
  <conditionalFormatting sqref="P211:P212">
    <cfRule type="expression" dxfId="1816" priority="646">
      <formula>$AC211=2</formula>
    </cfRule>
  </conditionalFormatting>
  <conditionalFormatting sqref="W36:W37">
    <cfRule type="expression" dxfId="1815" priority="618">
      <formula>$AE36=4</formula>
    </cfRule>
    <cfRule type="expression" dxfId="1814" priority="619">
      <formula>$AE36=3</formula>
    </cfRule>
    <cfRule type="expression" dxfId="1813" priority="620">
      <formula>$AE36=2</formula>
    </cfRule>
    <cfRule type="expression" dxfId="1812" priority="621">
      <formula>$AE36=1</formula>
    </cfRule>
  </conditionalFormatting>
  <conditionalFormatting sqref="W36:W37">
    <cfRule type="expression" dxfId="1811" priority="617">
      <formula>$AC36=2</formula>
    </cfRule>
  </conditionalFormatting>
  <conditionalFormatting sqref="W64:W65">
    <cfRule type="expression" dxfId="1810" priority="611">
      <formula>$AE64=4</formula>
    </cfRule>
    <cfRule type="expression" dxfId="1809" priority="612">
      <formula>$AE64=3</formula>
    </cfRule>
    <cfRule type="expression" dxfId="1808" priority="613">
      <formula>$AE64=2</formula>
    </cfRule>
    <cfRule type="expression" dxfId="1807" priority="614">
      <formula>$AE64=1</formula>
    </cfRule>
  </conditionalFormatting>
  <conditionalFormatting sqref="W64:W65">
    <cfRule type="expression" dxfId="1806" priority="610">
      <formula>$AC64=2</formula>
    </cfRule>
  </conditionalFormatting>
  <conditionalFormatting sqref="W94:W95">
    <cfRule type="expression" dxfId="1805" priority="604">
      <formula>$AE94=4</formula>
    </cfRule>
    <cfRule type="expression" dxfId="1804" priority="605">
      <formula>$AE94=3</formula>
    </cfRule>
    <cfRule type="expression" dxfId="1803" priority="606">
      <formula>$AE94=2</formula>
    </cfRule>
    <cfRule type="expression" dxfId="1802" priority="607">
      <formula>$AE94=1</formula>
    </cfRule>
  </conditionalFormatting>
  <conditionalFormatting sqref="W94:W95">
    <cfRule type="expression" dxfId="1801" priority="603">
      <formula>$AC94=2</formula>
    </cfRule>
  </conditionalFormatting>
  <conditionalFormatting sqref="W103:W104">
    <cfRule type="expression" dxfId="1800" priority="597">
      <formula>$AE103=4</formula>
    </cfRule>
    <cfRule type="expression" dxfId="1799" priority="598">
      <formula>$AE103=3</formula>
    </cfRule>
    <cfRule type="expression" dxfId="1798" priority="599">
      <formula>$AE103=2</formula>
    </cfRule>
    <cfRule type="expression" dxfId="1797" priority="600">
      <formula>$AE103=1</formula>
    </cfRule>
  </conditionalFormatting>
  <conditionalFormatting sqref="W103:W104">
    <cfRule type="expression" dxfId="1796" priority="596">
      <formula>$AC103=2</formula>
    </cfRule>
  </conditionalFormatting>
  <conditionalFormatting sqref="W117:W118">
    <cfRule type="expression" dxfId="1795" priority="590">
      <formula>$AE117=4</formula>
    </cfRule>
    <cfRule type="expression" dxfId="1794" priority="591">
      <formula>$AE117=3</formula>
    </cfRule>
    <cfRule type="expression" dxfId="1793" priority="592">
      <formula>$AE117=2</formula>
    </cfRule>
    <cfRule type="expression" dxfId="1792" priority="593">
      <formula>$AE117=1</formula>
    </cfRule>
  </conditionalFormatting>
  <conditionalFormatting sqref="W117:W118">
    <cfRule type="expression" dxfId="1791" priority="589">
      <formula>$AC117=2</formula>
    </cfRule>
  </conditionalFormatting>
  <conditionalFormatting sqref="W147:W148">
    <cfRule type="expression" dxfId="1790" priority="583">
      <formula>$AE147=4</formula>
    </cfRule>
    <cfRule type="expression" dxfId="1789" priority="584">
      <formula>$AE147=3</formula>
    </cfRule>
    <cfRule type="expression" dxfId="1788" priority="585">
      <formula>$AE147=2</formula>
    </cfRule>
    <cfRule type="expression" dxfId="1787" priority="586">
      <formula>$AE147=1</formula>
    </cfRule>
  </conditionalFormatting>
  <conditionalFormatting sqref="W147:W148">
    <cfRule type="expression" dxfId="1786" priority="582">
      <formula>$AC147=2</formula>
    </cfRule>
  </conditionalFormatting>
  <conditionalFormatting sqref="W162:W163">
    <cfRule type="expression" dxfId="1785" priority="576">
      <formula>$AE162=4</formula>
    </cfRule>
    <cfRule type="expression" dxfId="1784" priority="577">
      <formula>$AE162=3</formula>
    </cfRule>
    <cfRule type="expression" dxfId="1783" priority="578">
      <formula>$AE162=2</formula>
    </cfRule>
    <cfRule type="expression" dxfId="1782" priority="579">
      <formula>$AE162=1</formula>
    </cfRule>
  </conditionalFormatting>
  <conditionalFormatting sqref="W162:W163">
    <cfRule type="expression" dxfId="1781" priority="575">
      <formula>$AC162=2</formula>
    </cfRule>
  </conditionalFormatting>
  <conditionalFormatting sqref="W194:W195">
    <cfRule type="expression" dxfId="1780" priority="569">
      <formula>$AE194=4</formula>
    </cfRule>
    <cfRule type="expression" dxfId="1779" priority="570">
      <formula>$AE194=3</formula>
    </cfRule>
    <cfRule type="expression" dxfId="1778" priority="571">
      <formula>$AE194=2</formula>
    </cfRule>
    <cfRule type="expression" dxfId="1777" priority="572">
      <formula>$AE194=1</formula>
    </cfRule>
  </conditionalFormatting>
  <conditionalFormatting sqref="W194:W195">
    <cfRule type="expression" dxfId="1776" priority="568">
      <formula>$AC194=2</formula>
    </cfRule>
  </conditionalFormatting>
  <conditionalFormatting sqref="W211:W212">
    <cfRule type="expression" dxfId="1775" priority="562">
      <formula>$AE211=4</formula>
    </cfRule>
    <cfRule type="expression" dxfId="1774" priority="563">
      <formula>$AE211=3</formula>
    </cfRule>
    <cfRule type="expression" dxfId="1773" priority="564">
      <formula>$AE211=2</formula>
    </cfRule>
    <cfRule type="expression" dxfId="1772" priority="565">
      <formula>$AE211=1</formula>
    </cfRule>
  </conditionalFormatting>
  <conditionalFormatting sqref="W211:W212">
    <cfRule type="expression" dxfId="1771" priority="561">
      <formula>$AC211=2</formula>
    </cfRule>
  </conditionalFormatting>
  <conditionalFormatting sqref="S103:S104 S31 S20 S27 S147:S148 S35:S37 S64:S65 S94:S95 S117:S118 S162:S163 S194:S195 S197 S211:S214 S44:S45 S87 Z197 Z193:Z195 Z161:Z163 Z116:Z118 Z93:Z95 Z63:Z65 Z31 Z102:Z104 Z35:Z37 Z27 Z17:Z20 Z85">
    <cfRule type="expression" dxfId="1770" priority="536">
      <formula>$AA17=2</formula>
    </cfRule>
  </conditionalFormatting>
  <conditionalFormatting sqref="S13">
    <cfRule type="expression" dxfId="1769" priority="531">
      <formula>$AA13=2</formula>
    </cfRule>
  </conditionalFormatting>
  <conditionalFormatting sqref="S16">
    <cfRule type="expression" dxfId="1768" priority="534">
      <formula>$AA16=2</formula>
    </cfRule>
  </conditionalFormatting>
  <conditionalFormatting sqref="S17:S19">
    <cfRule type="expression" dxfId="1767" priority="535">
      <formula>$AA17=2</formula>
    </cfRule>
  </conditionalFormatting>
  <conditionalFormatting sqref="S15">
    <cfRule type="expression" dxfId="1766" priority="533">
      <formula>$AA15=2</formula>
    </cfRule>
  </conditionalFormatting>
  <conditionalFormatting sqref="S14">
    <cfRule type="expression" dxfId="1765" priority="532">
      <formula>$AA14=2</formula>
    </cfRule>
  </conditionalFormatting>
  <conditionalFormatting sqref="S12">
    <cfRule type="expression" dxfId="1764" priority="530">
      <formula>$AA12=2</formula>
    </cfRule>
  </conditionalFormatting>
  <conditionalFormatting sqref="S21">
    <cfRule type="expression" dxfId="1763" priority="529">
      <formula>$AA21=2</formula>
    </cfRule>
  </conditionalFormatting>
  <conditionalFormatting sqref="S22">
    <cfRule type="expression" dxfId="1762" priority="528">
      <formula>$AA22=2</formula>
    </cfRule>
  </conditionalFormatting>
  <conditionalFormatting sqref="S23">
    <cfRule type="expression" dxfId="1761" priority="527">
      <formula>$AA23=2</formula>
    </cfRule>
  </conditionalFormatting>
  <conditionalFormatting sqref="S24">
    <cfRule type="expression" dxfId="1760" priority="526">
      <formula>$AA24=2</formula>
    </cfRule>
  </conditionalFormatting>
  <conditionalFormatting sqref="S28">
    <cfRule type="expression" dxfId="1759" priority="525">
      <formula>$AA28=2</formula>
    </cfRule>
  </conditionalFormatting>
  <conditionalFormatting sqref="S29">
    <cfRule type="expression" dxfId="1758" priority="524">
      <formula>$AA29=2</formula>
    </cfRule>
  </conditionalFormatting>
  <conditionalFormatting sqref="S30">
    <cfRule type="expression" dxfId="1757" priority="523">
      <formula>$AA30=2</formula>
    </cfRule>
  </conditionalFormatting>
  <conditionalFormatting sqref="S32">
    <cfRule type="expression" dxfId="1756" priority="522">
      <formula>$AA32=2</formula>
    </cfRule>
  </conditionalFormatting>
  <conditionalFormatting sqref="S33">
    <cfRule type="expression" dxfId="1755" priority="521">
      <formula>$AA33=2</formula>
    </cfRule>
  </conditionalFormatting>
  <conditionalFormatting sqref="S34">
    <cfRule type="expression" dxfId="1754" priority="520">
      <formula>$AA34=2</formula>
    </cfRule>
  </conditionalFormatting>
  <conditionalFormatting sqref="S38:S40">
    <cfRule type="expression" dxfId="1753" priority="519">
      <formula>$AA38=2</formula>
    </cfRule>
  </conditionalFormatting>
  <conditionalFormatting sqref="S66">
    <cfRule type="expression" dxfId="1752" priority="518">
      <formula>$AA66=2</formula>
    </cfRule>
  </conditionalFormatting>
  <conditionalFormatting sqref="S96">
    <cfRule type="expression" dxfId="1751" priority="517">
      <formula>$AA96=2</formula>
    </cfRule>
  </conditionalFormatting>
  <conditionalFormatting sqref="S105">
    <cfRule type="expression" dxfId="1750" priority="516">
      <formula>$AA105=2</formula>
    </cfRule>
  </conditionalFormatting>
  <conditionalFormatting sqref="S119">
    <cfRule type="expression" dxfId="1749" priority="515">
      <formula>$AA119=2</formula>
    </cfRule>
  </conditionalFormatting>
  <conditionalFormatting sqref="S149">
    <cfRule type="expression" dxfId="1748" priority="514">
      <formula>$AA149=2</formula>
    </cfRule>
  </conditionalFormatting>
  <conditionalFormatting sqref="S164">
    <cfRule type="expression" dxfId="1747" priority="513">
      <formula>$AA164=2</formula>
    </cfRule>
  </conditionalFormatting>
  <conditionalFormatting sqref="S196">
    <cfRule type="expression" dxfId="1746" priority="512">
      <formula>$AA196=2</formula>
    </cfRule>
  </conditionalFormatting>
  <conditionalFormatting sqref="S46">
    <cfRule type="expression" dxfId="1745" priority="511">
      <formula>$AA46=2</formula>
    </cfRule>
  </conditionalFormatting>
  <conditionalFormatting sqref="S51">
    <cfRule type="expression" dxfId="1744" priority="510">
      <formula>$AA51=2</formula>
    </cfRule>
  </conditionalFormatting>
  <conditionalFormatting sqref="S55">
    <cfRule type="expression" dxfId="1743" priority="509">
      <formula>$AA55=2</formula>
    </cfRule>
  </conditionalFormatting>
  <conditionalFormatting sqref="S58">
    <cfRule type="expression" dxfId="1742" priority="508">
      <formula>$AA58=2</formula>
    </cfRule>
  </conditionalFormatting>
  <conditionalFormatting sqref="S61">
    <cfRule type="expression" dxfId="1741" priority="507">
      <formula>$AA61=2</formula>
    </cfRule>
  </conditionalFormatting>
  <conditionalFormatting sqref="S74">
    <cfRule type="expression" dxfId="1740" priority="506">
      <formula>$AA74=2</formula>
    </cfRule>
  </conditionalFormatting>
  <conditionalFormatting sqref="S78">
    <cfRule type="expression" dxfId="1739" priority="505">
      <formula>$AA78=2</formula>
    </cfRule>
  </conditionalFormatting>
  <conditionalFormatting sqref="S81">
    <cfRule type="expression" dxfId="1738" priority="504">
      <formula>$AA81=2</formula>
    </cfRule>
  </conditionalFormatting>
  <conditionalFormatting sqref="S84">
    <cfRule type="expression" dxfId="1737" priority="503">
      <formula>$AA84=2</formula>
    </cfRule>
  </conditionalFormatting>
  <conditionalFormatting sqref="S88">
    <cfRule type="expression" dxfId="1736" priority="502">
      <formula>$AA88=2</formula>
    </cfRule>
  </conditionalFormatting>
  <conditionalFormatting sqref="S91">
    <cfRule type="expression" dxfId="1735" priority="501">
      <formula>$AA91=2</formula>
    </cfRule>
  </conditionalFormatting>
  <conditionalFormatting sqref="S99">
    <cfRule type="expression" dxfId="1734" priority="500">
      <formula>$AA99=2</formula>
    </cfRule>
  </conditionalFormatting>
  <conditionalFormatting sqref="S108">
    <cfRule type="expression" dxfId="1733" priority="499">
      <formula>$AA108=2</formula>
    </cfRule>
  </conditionalFormatting>
  <conditionalFormatting sqref="S110">
    <cfRule type="expression" dxfId="1732" priority="498">
      <formula>$AA110=2</formula>
    </cfRule>
  </conditionalFormatting>
  <conditionalFormatting sqref="S114">
    <cfRule type="expression" dxfId="1731" priority="497">
      <formula>$AA114=2</formula>
    </cfRule>
  </conditionalFormatting>
  <conditionalFormatting sqref="S123">
    <cfRule type="expression" dxfId="1730" priority="496">
      <formula>$AA123=2</formula>
    </cfRule>
  </conditionalFormatting>
  <conditionalFormatting sqref="S127">
    <cfRule type="expression" dxfId="1729" priority="495">
      <formula>$AA127=2</formula>
    </cfRule>
  </conditionalFormatting>
  <conditionalFormatting sqref="S131">
    <cfRule type="expression" dxfId="1728" priority="494">
      <formula>$AA131=2</formula>
    </cfRule>
  </conditionalFormatting>
  <conditionalFormatting sqref="S137">
    <cfRule type="expression" dxfId="1727" priority="493">
      <formula>$AA137=2</formula>
    </cfRule>
  </conditionalFormatting>
  <conditionalFormatting sqref="S142">
    <cfRule type="expression" dxfId="1726" priority="492">
      <formula>$AA142=2</formula>
    </cfRule>
  </conditionalFormatting>
  <conditionalFormatting sqref="S155">
    <cfRule type="expression" dxfId="1725" priority="491">
      <formula>$AA155=2</formula>
    </cfRule>
  </conditionalFormatting>
  <conditionalFormatting sqref="S157">
    <cfRule type="expression" dxfId="1724" priority="490">
      <formula>$AA157=2</formula>
    </cfRule>
  </conditionalFormatting>
  <conditionalFormatting sqref="S159">
    <cfRule type="expression" dxfId="1723" priority="489">
      <formula>$AA159=2</formula>
    </cfRule>
  </conditionalFormatting>
  <conditionalFormatting sqref="S167">
    <cfRule type="expression" dxfId="1722" priority="488">
      <formula>$AA167=2</formula>
    </cfRule>
  </conditionalFormatting>
  <conditionalFormatting sqref="S171:S172">
    <cfRule type="expression" dxfId="1721" priority="487">
      <formula>$AA171=2</formula>
    </cfRule>
  </conditionalFormatting>
  <conditionalFormatting sqref="S179">
    <cfRule type="expression" dxfId="1720" priority="486">
      <formula>$AA179=2</formula>
    </cfRule>
  </conditionalFormatting>
  <conditionalFormatting sqref="S183">
    <cfRule type="expression" dxfId="1719" priority="485">
      <formula>$AA183=2</formula>
    </cfRule>
  </conditionalFormatting>
  <conditionalFormatting sqref="S185">
    <cfRule type="expression" dxfId="1718" priority="484">
      <formula>$AA185=2</formula>
    </cfRule>
  </conditionalFormatting>
  <conditionalFormatting sqref="S188">
    <cfRule type="expression" dxfId="1717" priority="483">
      <formula>$AA188=2</formula>
    </cfRule>
  </conditionalFormatting>
  <conditionalFormatting sqref="S201">
    <cfRule type="expression" dxfId="1716" priority="482">
      <formula>$AA201=2</formula>
    </cfRule>
  </conditionalFormatting>
  <conditionalFormatting sqref="S204">
    <cfRule type="expression" dxfId="1715" priority="481">
      <formula>$AA204=2</formula>
    </cfRule>
  </conditionalFormatting>
  <conditionalFormatting sqref="S207">
    <cfRule type="expression" dxfId="1714" priority="480">
      <formula>$AA207=2</formula>
    </cfRule>
  </conditionalFormatting>
  <conditionalFormatting sqref="S41:S42">
    <cfRule type="expression" dxfId="1713" priority="479">
      <formula>$AA41=2</formula>
    </cfRule>
  </conditionalFormatting>
  <conditionalFormatting sqref="S47:S50">
    <cfRule type="expression" dxfId="1712" priority="478">
      <formula>$AA47=2</formula>
    </cfRule>
  </conditionalFormatting>
  <conditionalFormatting sqref="S52:S54">
    <cfRule type="expression" dxfId="1711" priority="477">
      <formula>$AA52=2</formula>
    </cfRule>
  </conditionalFormatting>
  <conditionalFormatting sqref="S56">
    <cfRule type="expression" dxfId="1710" priority="476">
      <formula>$AA56=2</formula>
    </cfRule>
  </conditionalFormatting>
  <conditionalFormatting sqref="S59:S60">
    <cfRule type="expression" dxfId="1709" priority="475">
      <formula>$AA59=2</formula>
    </cfRule>
  </conditionalFormatting>
  <conditionalFormatting sqref="S62">
    <cfRule type="expression" dxfId="1708" priority="474">
      <formula>$AA62=2</formula>
    </cfRule>
  </conditionalFormatting>
  <conditionalFormatting sqref="S67:S73">
    <cfRule type="expression" dxfId="1707" priority="473">
      <formula>$AA67=2</formula>
    </cfRule>
  </conditionalFormatting>
  <conditionalFormatting sqref="S75:S77">
    <cfRule type="expression" dxfId="1706" priority="472">
      <formula>$AA75=2</formula>
    </cfRule>
  </conditionalFormatting>
  <conditionalFormatting sqref="S79:S80">
    <cfRule type="expression" dxfId="1705" priority="471">
      <formula>$AA79=2</formula>
    </cfRule>
  </conditionalFormatting>
  <conditionalFormatting sqref="S82:S83">
    <cfRule type="expression" dxfId="1704" priority="470">
      <formula>$AA82=2</formula>
    </cfRule>
  </conditionalFormatting>
  <conditionalFormatting sqref="S85">
    <cfRule type="expression" dxfId="1703" priority="469">
      <formula>$AA85=2</formula>
    </cfRule>
  </conditionalFormatting>
  <conditionalFormatting sqref="S89:S90">
    <cfRule type="expression" dxfId="1702" priority="468">
      <formula>$AA89=2</formula>
    </cfRule>
  </conditionalFormatting>
  <conditionalFormatting sqref="S92">
    <cfRule type="expression" dxfId="1701" priority="467">
      <formula>$AA92=2</formula>
    </cfRule>
  </conditionalFormatting>
  <conditionalFormatting sqref="S97:S98">
    <cfRule type="expression" dxfId="1700" priority="466">
      <formula>$AA97=2</formula>
    </cfRule>
  </conditionalFormatting>
  <conditionalFormatting sqref="S101">
    <cfRule type="expression" dxfId="1699" priority="465">
      <formula>$AA101=2</formula>
    </cfRule>
  </conditionalFormatting>
  <conditionalFormatting sqref="S107">
    <cfRule type="expression" dxfId="1698" priority="464">
      <formula>$AA107=2</formula>
    </cfRule>
  </conditionalFormatting>
  <conditionalFormatting sqref="S109">
    <cfRule type="expression" dxfId="1697" priority="463">
      <formula>$AA109=2</formula>
    </cfRule>
  </conditionalFormatting>
  <conditionalFormatting sqref="S111:S113">
    <cfRule type="expression" dxfId="1696" priority="462">
      <formula>$AA111=2</formula>
    </cfRule>
  </conditionalFormatting>
  <conditionalFormatting sqref="S115">
    <cfRule type="expression" dxfId="1695" priority="461">
      <formula>$AA115=2</formula>
    </cfRule>
  </conditionalFormatting>
  <conditionalFormatting sqref="S120:S121">
    <cfRule type="expression" dxfId="1694" priority="460">
      <formula>$AA120=2</formula>
    </cfRule>
  </conditionalFormatting>
  <conditionalFormatting sqref="S122">
    <cfRule type="expression" dxfId="1693" priority="459">
      <formula>$AA122=2</formula>
    </cfRule>
  </conditionalFormatting>
  <conditionalFormatting sqref="S124:S125">
    <cfRule type="expression" dxfId="1692" priority="458">
      <formula>$AA124=2</formula>
    </cfRule>
  </conditionalFormatting>
  <conditionalFormatting sqref="S128:S130">
    <cfRule type="expression" dxfId="1691" priority="457">
      <formula>$AA128=2</formula>
    </cfRule>
  </conditionalFormatting>
  <conditionalFormatting sqref="S132:S135">
    <cfRule type="expression" dxfId="1690" priority="456">
      <formula>$AA132=2</formula>
    </cfRule>
  </conditionalFormatting>
  <conditionalFormatting sqref="S139:S141">
    <cfRule type="expression" dxfId="1689" priority="455">
      <formula>$AA139=2</formula>
    </cfRule>
  </conditionalFormatting>
  <conditionalFormatting sqref="S143:S145">
    <cfRule type="expression" dxfId="1688" priority="454">
      <formula>$AA143=2</formula>
    </cfRule>
  </conditionalFormatting>
  <conditionalFormatting sqref="S151:S154">
    <cfRule type="expression" dxfId="1687" priority="453">
      <formula>$AA151=2</formula>
    </cfRule>
  </conditionalFormatting>
  <conditionalFormatting sqref="S156">
    <cfRule type="expression" dxfId="1686" priority="452">
      <formula>$AA156=2</formula>
    </cfRule>
  </conditionalFormatting>
  <conditionalFormatting sqref="S160">
    <cfRule type="expression" dxfId="1685" priority="451">
      <formula>$AA160=2</formula>
    </cfRule>
  </conditionalFormatting>
  <conditionalFormatting sqref="S165:S166">
    <cfRule type="expression" dxfId="1684" priority="450">
      <formula>$AA165=2</formula>
    </cfRule>
  </conditionalFormatting>
  <conditionalFormatting sqref="S168:S170">
    <cfRule type="expression" dxfId="1683" priority="449">
      <formula>$AA168=2</formula>
    </cfRule>
  </conditionalFormatting>
  <conditionalFormatting sqref="S176:S178">
    <cfRule type="expression" dxfId="1682" priority="448">
      <formula>$AA176=2</formula>
    </cfRule>
  </conditionalFormatting>
  <conditionalFormatting sqref="S180:S182">
    <cfRule type="expression" dxfId="1681" priority="447">
      <formula>$AA180=2</formula>
    </cfRule>
  </conditionalFormatting>
  <conditionalFormatting sqref="S184">
    <cfRule type="expression" dxfId="1680" priority="446">
      <formula>$AA184=2</formula>
    </cfRule>
  </conditionalFormatting>
  <conditionalFormatting sqref="S186:S187">
    <cfRule type="expression" dxfId="1679" priority="445">
      <formula>$AA186=2</formula>
    </cfRule>
  </conditionalFormatting>
  <conditionalFormatting sqref="S189:S192">
    <cfRule type="expression" dxfId="1678" priority="444">
      <formula>$AA189=2</formula>
    </cfRule>
  </conditionalFormatting>
  <conditionalFormatting sqref="S202:S203">
    <cfRule type="expression" dxfId="1677" priority="443">
      <formula>$AA202=2</formula>
    </cfRule>
  </conditionalFormatting>
  <conditionalFormatting sqref="S205:S206">
    <cfRule type="expression" dxfId="1676" priority="442">
      <formula>$AA205=2</formula>
    </cfRule>
  </conditionalFormatting>
  <conditionalFormatting sqref="S208:S209">
    <cfRule type="expression" dxfId="1675" priority="441">
      <formula>$AA208=2</formula>
    </cfRule>
  </conditionalFormatting>
  <conditionalFormatting sqref="S200">
    <cfRule type="expression" dxfId="1674" priority="440">
      <formula>$AA200=2</formula>
    </cfRule>
  </conditionalFormatting>
  <conditionalFormatting sqref="S63">
    <cfRule type="expression" dxfId="1673" priority="439">
      <formula>$AA63=2</formula>
    </cfRule>
  </conditionalFormatting>
  <conditionalFormatting sqref="S93">
    <cfRule type="expression" dxfId="1672" priority="438">
      <formula>$AA93=2</formula>
    </cfRule>
  </conditionalFormatting>
  <conditionalFormatting sqref="S102">
    <cfRule type="expression" dxfId="1671" priority="437">
      <formula>$AA102=2</formula>
    </cfRule>
  </conditionalFormatting>
  <conditionalFormatting sqref="S116">
    <cfRule type="expression" dxfId="1670" priority="436">
      <formula>$AA116=2</formula>
    </cfRule>
  </conditionalFormatting>
  <conditionalFormatting sqref="S146">
    <cfRule type="expression" dxfId="1669" priority="435">
      <formula>$AA146=2</formula>
    </cfRule>
  </conditionalFormatting>
  <conditionalFormatting sqref="S161">
    <cfRule type="expression" dxfId="1668" priority="434">
      <formula>$AA161=2</formula>
    </cfRule>
  </conditionalFormatting>
  <conditionalFormatting sqref="S193">
    <cfRule type="expression" dxfId="1667" priority="433">
      <formula>$AA193=2</formula>
    </cfRule>
  </conditionalFormatting>
  <conditionalFormatting sqref="S210">
    <cfRule type="expression" dxfId="1666" priority="432">
      <formula>$AA210=2</formula>
    </cfRule>
  </conditionalFormatting>
  <conditionalFormatting sqref="S136">
    <cfRule type="expression" dxfId="1665" priority="431">
      <formula>$AA136=2</formula>
    </cfRule>
  </conditionalFormatting>
  <conditionalFormatting sqref="S199">
    <cfRule type="expression" dxfId="1664" priority="430">
      <formula>$AA199=2</formula>
    </cfRule>
  </conditionalFormatting>
  <conditionalFormatting sqref="S198">
    <cfRule type="expression" dxfId="1663" priority="429">
      <formula>$AA198=2</formula>
    </cfRule>
  </conditionalFormatting>
  <conditionalFormatting sqref="S25">
    <cfRule type="expression" dxfId="1662" priority="428">
      <formula>$AA25=2</formula>
    </cfRule>
  </conditionalFormatting>
  <conditionalFormatting sqref="S26">
    <cfRule type="expression" dxfId="1661" priority="427">
      <formula>$AA26=2</formula>
    </cfRule>
  </conditionalFormatting>
  <conditionalFormatting sqref="S86">
    <cfRule type="expression" dxfId="1660" priority="426">
      <formula>$AA86=2</formula>
    </cfRule>
  </conditionalFormatting>
  <conditionalFormatting sqref="S100">
    <cfRule type="expression" dxfId="1659" priority="425">
      <formula>$AA100=2</formula>
    </cfRule>
  </conditionalFormatting>
  <conditionalFormatting sqref="S158">
    <cfRule type="expression" dxfId="1658" priority="424">
      <formula>$AA158=2</formula>
    </cfRule>
  </conditionalFormatting>
  <conditionalFormatting sqref="S173:S174">
    <cfRule type="expression" dxfId="1657" priority="423">
      <formula>$AA173=2</formula>
    </cfRule>
  </conditionalFormatting>
  <conditionalFormatting sqref="S175">
    <cfRule type="expression" dxfId="1656" priority="422">
      <formula>$AA175=2</formula>
    </cfRule>
  </conditionalFormatting>
  <conditionalFormatting sqref="S174">
    <cfRule type="expression" dxfId="1655" priority="421">
      <formula>$AA174=2</formula>
    </cfRule>
  </conditionalFormatting>
  <conditionalFormatting sqref="S178">
    <cfRule type="expression" dxfId="1654" priority="420">
      <formula>$AA178=2</formula>
    </cfRule>
  </conditionalFormatting>
  <conditionalFormatting sqref="S57">
    <cfRule type="expression" dxfId="1653" priority="419">
      <formula>$AA57=2</formula>
    </cfRule>
  </conditionalFormatting>
  <conditionalFormatting sqref="S126">
    <cfRule type="expression" dxfId="1652" priority="418">
      <formula>$AA126=2</formula>
    </cfRule>
  </conditionalFormatting>
  <conditionalFormatting sqref="S43">
    <cfRule type="expression" dxfId="1651" priority="417">
      <formula>$AA43=2</formula>
    </cfRule>
  </conditionalFormatting>
  <conditionalFormatting sqref="Z210:Z213">
    <cfRule type="expression" dxfId="1650" priority="416">
      <formula>$AA210=2</formula>
    </cfRule>
  </conditionalFormatting>
  <conditionalFormatting sqref="Z146:Z148">
    <cfRule type="expression" dxfId="1649" priority="415">
      <formula>$AA146=2</formula>
    </cfRule>
  </conditionalFormatting>
  <conditionalFormatting sqref="Z123">
    <cfRule type="expression" dxfId="1648" priority="376">
      <formula>$AA123=2</formula>
    </cfRule>
  </conditionalFormatting>
  <conditionalFormatting sqref="Z214">
    <cfRule type="expression" dxfId="1647" priority="414">
      <formula>$AA214=2</formula>
    </cfRule>
  </conditionalFormatting>
  <conditionalFormatting sqref="Z16">
    <cfRule type="expression" dxfId="1646" priority="413">
      <formula>$AA16=2</formula>
    </cfRule>
  </conditionalFormatting>
  <conditionalFormatting sqref="Z14">
    <cfRule type="expression" dxfId="1645" priority="412">
      <formula>$AA14=2</formula>
    </cfRule>
  </conditionalFormatting>
  <conditionalFormatting sqref="Z13">
    <cfRule type="expression" dxfId="1644" priority="411">
      <formula>$AA13=2</formula>
    </cfRule>
  </conditionalFormatting>
  <conditionalFormatting sqref="Z12">
    <cfRule type="expression" dxfId="1643" priority="410">
      <formula>$AA12=2</formula>
    </cfRule>
  </conditionalFormatting>
  <conditionalFormatting sqref="Z21">
    <cfRule type="expression" dxfId="1642" priority="409">
      <formula>$AA21=2</formula>
    </cfRule>
  </conditionalFormatting>
  <conditionalFormatting sqref="Z22">
    <cfRule type="expression" dxfId="1641" priority="408">
      <formula>$AA22=2</formula>
    </cfRule>
  </conditionalFormatting>
  <conditionalFormatting sqref="Z23">
    <cfRule type="expression" dxfId="1640" priority="407">
      <formula>$AA23=2</formula>
    </cfRule>
  </conditionalFormatting>
  <conditionalFormatting sqref="Z24">
    <cfRule type="expression" dxfId="1639" priority="406">
      <formula>$AA24=2</formula>
    </cfRule>
  </conditionalFormatting>
  <conditionalFormatting sqref="Z28">
    <cfRule type="expression" dxfId="1638" priority="405">
      <formula>$AA28=2</formula>
    </cfRule>
  </conditionalFormatting>
  <conditionalFormatting sqref="Z29">
    <cfRule type="expression" dxfId="1637" priority="404">
      <formula>$AA29=2</formula>
    </cfRule>
  </conditionalFormatting>
  <conditionalFormatting sqref="Z30">
    <cfRule type="expression" dxfId="1636" priority="403">
      <formula>$AA30=2</formula>
    </cfRule>
  </conditionalFormatting>
  <conditionalFormatting sqref="Z32">
    <cfRule type="expression" dxfId="1635" priority="402">
      <formula>$AA32=2</formula>
    </cfRule>
  </conditionalFormatting>
  <conditionalFormatting sqref="Z33">
    <cfRule type="expression" dxfId="1634" priority="401">
      <formula>$AA33=2</formula>
    </cfRule>
  </conditionalFormatting>
  <conditionalFormatting sqref="Z34">
    <cfRule type="expression" dxfId="1633" priority="400">
      <formula>$AA34=2</formula>
    </cfRule>
  </conditionalFormatting>
  <conditionalFormatting sqref="Z38:Z40">
    <cfRule type="expression" dxfId="1632" priority="399">
      <formula>$AA38=2</formula>
    </cfRule>
  </conditionalFormatting>
  <conditionalFormatting sqref="Z66">
    <cfRule type="expression" dxfId="1631" priority="398">
      <formula>$AA66=2</formula>
    </cfRule>
  </conditionalFormatting>
  <conditionalFormatting sqref="Z96">
    <cfRule type="expression" dxfId="1630" priority="397">
      <formula>$AA96=2</formula>
    </cfRule>
  </conditionalFormatting>
  <conditionalFormatting sqref="Z105">
    <cfRule type="expression" dxfId="1629" priority="396">
      <formula>$AA105=2</formula>
    </cfRule>
  </conditionalFormatting>
  <conditionalFormatting sqref="Z119">
    <cfRule type="expression" dxfId="1628" priority="395">
      <formula>$AA119=2</formula>
    </cfRule>
  </conditionalFormatting>
  <conditionalFormatting sqref="Z149">
    <cfRule type="expression" dxfId="1627" priority="394">
      <formula>$AA149=2</formula>
    </cfRule>
  </conditionalFormatting>
  <conditionalFormatting sqref="Z164">
    <cfRule type="expression" dxfId="1626" priority="393">
      <formula>$AA164=2</formula>
    </cfRule>
  </conditionalFormatting>
  <conditionalFormatting sqref="Z196">
    <cfRule type="expression" dxfId="1625" priority="392">
      <formula>$AA196=2</formula>
    </cfRule>
  </conditionalFormatting>
  <conditionalFormatting sqref="Z46">
    <cfRule type="expression" dxfId="1624" priority="391">
      <formula>$AA46=2</formula>
    </cfRule>
  </conditionalFormatting>
  <conditionalFormatting sqref="Z51">
    <cfRule type="expression" dxfId="1623" priority="390">
      <formula>$AA51=2</formula>
    </cfRule>
  </conditionalFormatting>
  <conditionalFormatting sqref="Z55">
    <cfRule type="expression" dxfId="1622" priority="389">
      <formula>$AA55=2</formula>
    </cfRule>
  </conditionalFormatting>
  <conditionalFormatting sqref="Z58">
    <cfRule type="expression" dxfId="1621" priority="388">
      <formula>$AA58=2</formula>
    </cfRule>
  </conditionalFormatting>
  <conditionalFormatting sqref="Z61">
    <cfRule type="expression" dxfId="1620" priority="387">
      <formula>$AA61=2</formula>
    </cfRule>
  </conditionalFormatting>
  <conditionalFormatting sqref="Z74">
    <cfRule type="expression" dxfId="1619" priority="386">
      <formula>$AA74=2</formula>
    </cfRule>
  </conditionalFormatting>
  <conditionalFormatting sqref="Z78">
    <cfRule type="expression" dxfId="1618" priority="385">
      <formula>$AA78=2</formula>
    </cfRule>
  </conditionalFormatting>
  <conditionalFormatting sqref="Z81">
    <cfRule type="expression" dxfId="1617" priority="384">
      <formula>$AA81=2</formula>
    </cfRule>
  </conditionalFormatting>
  <conditionalFormatting sqref="Z84">
    <cfRule type="expression" dxfId="1616" priority="383">
      <formula>$AA84=2</formula>
    </cfRule>
  </conditionalFormatting>
  <conditionalFormatting sqref="Z88">
    <cfRule type="expression" dxfId="1615" priority="382">
      <formula>$AA88=2</formula>
    </cfRule>
  </conditionalFormatting>
  <conditionalFormatting sqref="Z91">
    <cfRule type="expression" dxfId="1614" priority="381">
      <formula>$AA91=2</formula>
    </cfRule>
  </conditionalFormatting>
  <conditionalFormatting sqref="Z99">
    <cfRule type="expression" dxfId="1613" priority="380">
      <formula>$AA99=2</formula>
    </cfRule>
  </conditionalFormatting>
  <conditionalFormatting sqref="Z108">
    <cfRule type="expression" dxfId="1612" priority="379">
      <formula>$AA108=2</formula>
    </cfRule>
  </conditionalFormatting>
  <conditionalFormatting sqref="Z110">
    <cfRule type="expression" dxfId="1611" priority="378">
      <formula>$AA110=2</formula>
    </cfRule>
  </conditionalFormatting>
  <conditionalFormatting sqref="Z114">
    <cfRule type="expression" dxfId="1610" priority="377">
      <formula>$AA114=2</formula>
    </cfRule>
  </conditionalFormatting>
  <conditionalFormatting sqref="Z127">
    <cfRule type="expression" dxfId="1609" priority="375">
      <formula>$AA127=2</formula>
    </cfRule>
  </conditionalFormatting>
  <conditionalFormatting sqref="Z131">
    <cfRule type="expression" dxfId="1608" priority="374">
      <formula>$AA131=2</formula>
    </cfRule>
  </conditionalFormatting>
  <conditionalFormatting sqref="Z137">
    <cfRule type="expression" dxfId="1607" priority="373">
      <formula>$AA137=2</formula>
    </cfRule>
  </conditionalFormatting>
  <conditionalFormatting sqref="Z142">
    <cfRule type="expression" dxfId="1606" priority="372">
      <formula>$AA142=2</formula>
    </cfRule>
  </conditionalFormatting>
  <conditionalFormatting sqref="Z155">
    <cfRule type="expression" dxfId="1605" priority="371">
      <formula>$AA155=2</formula>
    </cfRule>
  </conditionalFormatting>
  <conditionalFormatting sqref="Z157">
    <cfRule type="expression" dxfId="1604" priority="370">
      <formula>$AA157=2</formula>
    </cfRule>
  </conditionalFormatting>
  <conditionalFormatting sqref="Z159">
    <cfRule type="expression" dxfId="1603" priority="369">
      <formula>$AA159=2</formula>
    </cfRule>
  </conditionalFormatting>
  <conditionalFormatting sqref="Z167">
    <cfRule type="expression" dxfId="1602" priority="368">
      <formula>$AA167=2</formula>
    </cfRule>
  </conditionalFormatting>
  <conditionalFormatting sqref="Z171:Z172">
    <cfRule type="expression" dxfId="1601" priority="367">
      <formula>$AA171=2</formula>
    </cfRule>
  </conditionalFormatting>
  <conditionalFormatting sqref="Z179">
    <cfRule type="expression" dxfId="1600" priority="366">
      <formula>$AA179=2</formula>
    </cfRule>
  </conditionalFormatting>
  <conditionalFormatting sqref="Z183">
    <cfRule type="expression" dxfId="1599" priority="365">
      <formula>$AA183=2</formula>
    </cfRule>
  </conditionalFormatting>
  <conditionalFormatting sqref="Z185">
    <cfRule type="expression" dxfId="1598" priority="364">
      <formula>$AA185=2</formula>
    </cfRule>
  </conditionalFormatting>
  <conditionalFormatting sqref="Z188">
    <cfRule type="expression" dxfId="1597" priority="363">
      <formula>$AA188=2</formula>
    </cfRule>
  </conditionalFormatting>
  <conditionalFormatting sqref="Z201">
    <cfRule type="expression" dxfId="1596" priority="362">
      <formula>$AA201=2</formula>
    </cfRule>
  </conditionalFormatting>
  <conditionalFormatting sqref="Z204">
    <cfRule type="expression" dxfId="1595" priority="361">
      <formula>$AA204=2</formula>
    </cfRule>
  </conditionalFormatting>
  <conditionalFormatting sqref="Z207">
    <cfRule type="expression" dxfId="1594" priority="360">
      <formula>$AA207=2</formula>
    </cfRule>
  </conditionalFormatting>
  <conditionalFormatting sqref="Z41:Z42">
    <cfRule type="expression" dxfId="1593" priority="359">
      <formula>$AA41=2</formula>
    </cfRule>
  </conditionalFormatting>
  <conditionalFormatting sqref="Z47:Z50">
    <cfRule type="expression" dxfId="1592" priority="358">
      <formula>$AA47=2</formula>
    </cfRule>
  </conditionalFormatting>
  <conditionalFormatting sqref="Z52:Z54">
    <cfRule type="expression" dxfId="1591" priority="357">
      <formula>$AA52=2</formula>
    </cfRule>
  </conditionalFormatting>
  <conditionalFormatting sqref="Z56">
    <cfRule type="expression" dxfId="1590" priority="356">
      <formula>$AA56=2</formula>
    </cfRule>
  </conditionalFormatting>
  <conditionalFormatting sqref="Z59:Z60">
    <cfRule type="expression" dxfId="1589" priority="355">
      <formula>$AA59=2</formula>
    </cfRule>
  </conditionalFormatting>
  <conditionalFormatting sqref="Z62">
    <cfRule type="expression" dxfId="1588" priority="354">
      <formula>$AA62=2</formula>
    </cfRule>
  </conditionalFormatting>
  <conditionalFormatting sqref="Z68:Z73">
    <cfRule type="expression" dxfId="1587" priority="353">
      <formula>$AA68=2</formula>
    </cfRule>
  </conditionalFormatting>
  <conditionalFormatting sqref="Z75:Z77">
    <cfRule type="expression" dxfId="1586" priority="352">
      <formula>$AA75=2</formula>
    </cfRule>
  </conditionalFormatting>
  <conditionalFormatting sqref="Z79:Z80">
    <cfRule type="expression" dxfId="1585" priority="351">
      <formula>$AA79=2</formula>
    </cfRule>
  </conditionalFormatting>
  <conditionalFormatting sqref="Z82:Z83">
    <cfRule type="expression" dxfId="1584" priority="350">
      <formula>$AA82=2</formula>
    </cfRule>
  </conditionalFormatting>
  <conditionalFormatting sqref="Z87">
    <cfRule type="expression" dxfId="1583" priority="349">
      <formula>$AA87=2</formula>
    </cfRule>
  </conditionalFormatting>
  <conditionalFormatting sqref="Z89:Z90">
    <cfRule type="expression" dxfId="1582" priority="348">
      <formula>$AA89=2</formula>
    </cfRule>
  </conditionalFormatting>
  <conditionalFormatting sqref="Z92">
    <cfRule type="expression" dxfId="1581" priority="347">
      <formula>$AA92=2</formula>
    </cfRule>
  </conditionalFormatting>
  <conditionalFormatting sqref="Z97:Z98">
    <cfRule type="expression" dxfId="1580" priority="346">
      <formula>$AA97=2</formula>
    </cfRule>
  </conditionalFormatting>
  <conditionalFormatting sqref="Z101">
    <cfRule type="expression" dxfId="1579" priority="345">
      <formula>$AA101=2</formula>
    </cfRule>
  </conditionalFormatting>
  <conditionalFormatting sqref="Z107">
    <cfRule type="expression" dxfId="1578" priority="344">
      <formula>$AA107=2</formula>
    </cfRule>
  </conditionalFormatting>
  <conditionalFormatting sqref="Z109">
    <cfRule type="expression" dxfId="1577" priority="343">
      <formula>$AA109=2</formula>
    </cfRule>
  </conditionalFormatting>
  <conditionalFormatting sqref="Z111:Z113">
    <cfRule type="expression" dxfId="1576" priority="342">
      <formula>$AA111=2</formula>
    </cfRule>
  </conditionalFormatting>
  <conditionalFormatting sqref="Z115">
    <cfRule type="expression" dxfId="1575" priority="341">
      <formula>$AA115=2</formula>
    </cfRule>
  </conditionalFormatting>
  <conditionalFormatting sqref="Z120:Z121">
    <cfRule type="expression" dxfId="1574" priority="340">
      <formula>$AA120=2</formula>
    </cfRule>
  </conditionalFormatting>
  <conditionalFormatting sqref="Z122">
    <cfRule type="expression" dxfId="1573" priority="339">
      <formula>$AA122=2</formula>
    </cfRule>
  </conditionalFormatting>
  <conditionalFormatting sqref="Z124:Z125">
    <cfRule type="expression" dxfId="1572" priority="338">
      <formula>$AA124=2</formula>
    </cfRule>
  </conditionalFormatting>
  <conditionalFormatting sqref="Z128:Z130">
    <cfRule type="expression" dxfId="1571" priority="337">
      <formula>$AA128=2</formula>
    </cfRule>
  </conditionalFormatting>
  <conditionalFormatting sqref="Z132:Z135">
    <cfRule type="expression" dxfId="1570" priority="336">
      <formula>$AA132=2</formula>
    </cfRule>
  </conditionalFormatting>
  <conditionalFormatting sqref="Z139:Z141">
    <cfRule type="expression" dxfId="1569" priority="335">
      <formula>$AA139=2</formula>
    </cfRule>
  </conditionalFormatting>
  <conditionalFormatting sqref="Z143:Z145">
    <cfRule type="expression" dxfId="1568" priority="334">
      <formula>$AA143=2</formula>
    </cfRule>
  </conditionalFormatting>
  <conditionalFormatting sqref="Z151:Z154">
    <cfRule type="expression" dxfId="1567" priority="333">
      <formula>$AA151=2</formula>
    </cfRule>
  </conditionalFormatting>
  <conditionalFormatting sqref="Z156">
    <cfRule type="expression" dxfId="1566" priority="332">
      <formula>$AA156=2</formula>
    </cfRule>
  </conditionalFormatting>
  <conditionalFormatting sqref="Z160">
    <cfRule type="expression" dxfId="1565" priority="331">
      <formula>$AA160=2</formula>
    </cfRule>
  </conditionalFormatting>
  <conditionalFormatting sqref="Z165:Z166">
    <cfRule type="expression" dxfId="1564" priority="330">
      <formula>$AA165=2</formula>
    </cfRule>
  </conditionalFormatting>
  <conditionalFormatting sqref="Z168:Z170">
    <cfRule type="expression" dxfId="1563" priority="329">
      <formula>$AA168=2</formula>
    </cfRule>
  </conditionalFormatting>
  <conditionalFormatting sqref="Z176:Z178">
    <cfRule type="expression" dxfId="1562" priority="328">
      <formula>$AA176=2</formula>
    </cfRule>
  </conditionalFormatting>
  <conditionalFormatting sqref="Z180:Z182">
    <cfRule type="expression" dxfId="1561" priority="327">
      <formula>$AA180=2</formula>
    </cfRule>
  </conditionalFormatting>
  <conditionalFormatting sqref="Z184">
    <cfRule type="expression" dxfId="1560" priority="326">
      <formula>$AA184=2</formula>
    </cfRule>
  </conditionalFormatting>
  <conditionalFormatting sqref="Z186:Z187">
    <cfRule type="expression" dxfId="1559" priority="325">
      <formula>$AA186=2</formula>
    </cfRule>
  </conditionalFormatting>
  <conditionalFormatting sqref="Z189:Z192">
    <cfRule type="expression" dxfId="1558" priority="324">
      <formula>$AA189=2</formula>
    </cfRule>
  </conditionalFormatting>
  <conditionalFormatting sqref="Z202:Z203">
    <cfRule type="expression" dxfId="1557" priority="323">
      <formula>$AA202=2</formula>
    </cfRule>
  </conditionalFormatting>
  <conditionalFormatting sqref="Z205:Z206">
    <cfRule type="expression" dxfId="1556" priority="322">
      <formula>$AA205=2</formula>
    </cfRule>
  </conditionalFormatting>
  <conditionalFormatting sqref="Z208:Z209">
    <cfRule type="expression" dxfId="1555" priority="321">
      <formula>$AA208=2</formula>
    </cfRule>
  </conditionalFormatting>
  <conditionalFormatting sqref="Z198">
    <cfRule type="expression" dxfId="1554" priority="320">
      <formula>$AA198=2</formula>
    </cfRule>
  </conditionalFormatting>
  <conditionalFormatting sqref="Z200">
    <cfRule type="expression" dxfId="1553" priority="319">
      <formula>$AA200=2</formula>
    </cfRule>
  </conditionalFormatting>
  <conditionalFormatting sqref="Z136">
    <cfRule type="expression" dxfId="1552" priority="318">
      <formula>$AA136=2</formula>
    </cfRule>
  </conditionalFormatting>
  <conditionalFormatting sqref="Z199">
    <cfRule type="expression" dxfId="1551" priority="317">
      <formula>$AA199=2</formula>
    </cfRule>
  </conditionalFormatting>
  <conditionalFormatting sqref="Z25">
    <cfRule type="expression" dxfId="1550" priority="316">
      <formula>$AA25=2</formula>
    </cfRule>
  </conditionalFormatting>
  <conditionalFormatting sqref="Z26">
    <cfRule type="expression" dxfId="1549" priority="315">
      <formula>$AA26=2</formula>
    </cfRule>
  </conditionalFormatting>
  <conditionalFormatting sqref="Z86">
    <cfRule type="expression" dxfId="1548" priority="314">
      <formula>$AA86=2</formula>
    </cfRule>
  </conditionalFormatting>
  <conditionalFormatting sqref="Z100">
    <cfRule type="expression" dxfId="1547" priority="313">
      <formula>$AA100=2</formula>
    </cfRule>
  </conditionalFormatting>
  <conditionalFormatting sqref="Z15">
    <cfRule type="expression" dxfId="1546" priority="312">
      <formula>$AA15=2</formula>
    </cfRule>
  </conditionalFormatting>
  <conditionalFormatting sqref="Z158">
    <cfRule type="expression" dxfId="1545" priority="311">
      <formula>$AA158=2</formula>
    </cfRule>
  </conditionalFormatting>
  <conditionalFormatting sqref="Z173:Z174">
    <cfRule type="expression" dxfId="1544" priority="310">
      <formula>$AA173=2</formula>
    </cfRule>
  </conditionalFormatting>
  <conditionalFormatting sqref="Z175">
    <cfRule type="expression" dxfId="1543" priority="309">
      <formula>$AA175=2</formula>
    </cfRule>
  </conditionalFormatting>
  <conditionalFormatting sqref="Z174">
    <cfRule type="expression" dxfId="1542" priority="308">
      <formula>$AA174=2</formula>
    </cfRule>
  </conditionalFormatting>
  <conditionalFormatting sqref="Z178">
    <cfRule type="expression" dxfId="1541" priority="307">
      <formula>$AA178=2</formula>
    </cfRule>
  </conditionalFormatting>
  <conditionalFormatting sqref="Z57">
    <cfRule type="expression" dxfId="1540" priority="306">
      <formula>$AA57=2</formula>
    </cfRule>
  </conditionalFormatting>
  <conditionalFormatting sqref="Z126">
    <cfRule type="expression" dxfId="1539" priority="305">
      <formula>$AA126=2</formula>
    </cfRule>
  </conditionalFormatting>
  <conditionalFormatting sqref="Z44">
    <cfRule type="expression" dxfId="1538" priority="304">
      <formula>$AA44=2</formula>
    </cfRule>
  </conditionalFormatting>
  <conditionalFormatting sqref="Z43">
    <cfRule type="expression" dxfId="1537" priority="303">
      <formula>$AA43=2</formula>
    </cfRule>
  </conditionalFormatting>
  <conditionalFormatting sqref="Z45">
    <cfRule type="expression" dxfId="1536" priority="302">
      <formula>$AA45=2</formula>
    </cfRule>
  </conditionalFormatting>
  <conditionalFormatting sqref="L67">
    <cfRule type="expression" dxfId="1535" priority="300">
      <formula>$AA67=2</formula>
    </cfRule>
  </conditionalFormatting>
  <conditionalFormatting sqref="Z67">
    <cfRule type="expression" dxfId="1534" priority="299">
      <formula>$AA67=2</formula>
    </cfRule>
  </conditionalFormatting>
  <conditionalFormatting sqref="H39:I40">
    <cfRule type="expression" dxfId="1533" priority="298">
      <formula>$AC39=2</formula>
    </cfRule>
  </conditionalFormatting>
  <conditionalFormatting sqref="G39:G40">
    <cfRule type="expression" dxfId="1532" priority="297">
      <formula>$AC39=2</formula>
    </cfRule>
  </conditionalFormatting>
  <conditionalFormatting sqref="G39:G40">
    <cfRule type="expression" dxfId="1531" priority="296">
      <formula>G39&gt;F39</formula>
    </cfRule>
  </conditionalFormatting>
  <conditionalFormatting sqref="H39:H40">
    <cfRule type="expression" dxfId="1530" priority="295">
      <formula>F39=0</formula>
    </cfRule>
  </conditionalFormatting>
  <conditionalFormatting sqref="I39:I40">
    <cfRule type="expression" dxfId="1529" priority="294">
      <formula>F39=0</formula>
    </cfRule>
  </conditionalFormatting>
  <conditionalFormatting sqref="N39:N40">
    <cfRule type="expression" dxfId="1528" priority="293">
      <formula>$AC39=2</formula>
    </cfRule>
  </conditionalFormatting>
  <conditionalFormatting sqref="N39:N40">
    <cfRule type="expression" dxfId="1527" priority="292">
      <formula>N39&gt;F39</formula>
    </cfRule>
  </conditionalFormatting>
  <conditionalFormatting sqref="O39:O40">
    <cfRule type="expression" dxfId="1526" priority="289">
      <formula>$AC39=2</formula>
    </cfRule>
  </conditionalFormatting>
  <conditionalFormatting sqref="O39:O40">
    <cfRule type="expression" dxfId="1525" priority="288">
      <formula>F39=0</formula>
    </cfRule>
  </conditionalFormatting>
  <conditionalFormatting sqref="V39:V40">
    <cfRule type="expression" dxfId="1524" priority="287">
      <formula>$AC39=2</formula>
    </cfRule>
  </conditionalFormatting>
  <conditionalFormatting sqref="U39:U40">
    <cfRule type="expression" dxfId="1523" priority="286">
      <formula>$AC39=2</formula>
    </cfRule>
  </conditionalFormatting>
  <conditionalFormatting sqref="U39:U40">
    <cfRule type="expression" dxfId="1522" priority="285">
      <formula>U39&gt;F39</formula>
    </cfRule>
  </conditionalFormatting>
  <conditionalFormatting sqref="V39:V40">
    <cfRule type="expression" dxfId="1521" priority="282">
      <formula>F39=0</formula>
    </cfRule>
  </conditionalFormatting>
  <conditionalFormatting sqref="AB39:AB40">
    <cfRule type="expression" dxfId="1520" priority="280">
      <formula>$AJ$4="Nei"</formula>
    </cfRule>
    <cfRule type="expression" dxfId="1519" priority="281">
      <formula>$AC39=2</formula>
    </cfRule>
  </conditionalFormatting>
  <conditionalFormatting sqref="O191">
    <cfRule type="expression" dxfId="1518" priority="279">
      <formula>$AC191=2</formula>
    </cfRule>
  </conditionalFormatting>
  <conditionalFormatting sqref="O191">
    <cfRule type="expression" dxfId="1517" priority="278">
      <formula>F191=0</formula>
    </cfRule>
  </conditionalFormatting>
  <conditionalFormatting sqref="V191">
    <cfRule type="expression" dxfId="1516" priority="277">
      <formula>$AC191=2</formula>
    </cfRule>
  </conditionalFormatting>
  <conditionalFormatting sqref="V191">
    <cfRule type="expression" dxfId="1515" priority="276">
      <formula>F191=0</formula>
    </cfRule>
  </conditionalFormatting>
  <conditionalFormatting sqref="H154:I154">
    <cfRule type="expression" dxfId="1514" priority="275">
      <formula>$AC154=2</formula>
    </cfRule>
  </conditionalFormatting>
  <conditionalFormatting sqref="J154:K154">
    <cfRule type="expression" dxfId="1513" priority="271">
      <formula>$AD154=4</formula>
    </cfRule>
    <cfRule type="expression" dxfId="1512" priority="272">
      <formula>$AD154=3</formula>
    </cfRule>
    <cfRule type="expression" dxfId="1511" priority="273">
      <formula>$AD154=2</formula>
    </cfRule>
    <cfRule type="expression" dxfId="1510" priority="274">
      <formula>$AD154=1</formula>
    </cfRule>
  </conditionalFormatting>
  <conditionalFormatting sqref="J154:K154">
    <cfRule type="expression" dxfId="1509" priority="270">
      <formula>$AC154=2</formula>
    </cfRule>
  </conditionalFormatting>
  <conditionalFormatting sqref="G154">
    <cfRule type="expression" dxfId="1508" priority="269">
      <formula>$AC154=2</formula>
    </cfRule>
  </conditionalFormatting>
  <conditionalFormatting sqref="G154">
    <cfRule type="expression" dxfId="1507" priority="268">
      <formula>G154&gt;F154</formula>
    </cfRule>
  </conditionalFormatting>
  <conditionalFormatting sqref="H154">
    <cfRule type="expression" dxfId="1506" priority="267">
      <formula>F154=0</formula>
    </cfRule>
  </conditionalFormatting>
  <conditionalFormatting sqref="I154">
    <cfRule type="expression" dxfId="1505" priority="266">
      <formula>F154=0</formula>
    </cfRule>
  </conditionalFormatting>
  <conditionalFormatting sqref="Q154:R154">
    <cfRule type="expression" dxfId="1504" priority="265">
      <formula>$AC154=2</formula>
    </cfRule>
  </conditionalFormatting>
  <conditionalFormatting sqref="Q154:R154">
    <cfRule type="expression" dxfId="1503" priority="259">
      <formula>$AE154=4</formula>
    </cfRule>
    <cfRule type="expression" dxfId="1502" priority="260">
      <formula>$AE154=3</formula>
    </cfRule>
    <cfRule type="expression" dxfId="1501" priority="261">
      <formula>$AE154=2</formula>
    </cfRule>
    <cfRule type="expression" dxfId="1500" priority="262">
      <formula>$AE154=1</formula>
    </cfRule>
  </conditionalFormatting>
  <conditionalFormatting sqref="O154">
    <cfRule type="expression" dxfId="1499" priority="258">
      <formula>$AC154=2</formula>
    </cfRule>
  </conditionalFormatting>
  <conditionalFormatting sqref="N154">
    <cfRule type="expression" dxfId="1498" priority="257">
      <formula>$AC154=2</formula>
    </cfRule>
  </conditionalFormatting>
  <conditionalFormatting sqref="N154">
    <cfRule type="expression" dxfId="1497" priority="256">
      <formula>N154&gt;F154</formula>
    </cfRule>
  </conditionalFormatting>
  <conditionalFormatting sqref="O154">
    <cfRule type="expression" dxfId="1496" priority="253">
      <formula>F154=0</formula>
    </cfRule>
  </conditionalFormatting>
  <conditionalFormatting sqref="X154:Y154">
    <cfRule type="expression" dxfId="1495" priority="252">
      <formula>$AC154=2</formula>
    </cfRule>
  </conditionalFormatting>
  <conditionalFormatting sqref="X154:Y154">
    <cfRule type="expression" dxfId="1494" priority="248">
      <formula>$AF154=4</formula>
    </cfRule>
    <cfRule type="expression" dxfId="1493" priority="249">
      <formula>$AF154=3</formula>
    </cfRule>
    <cfRule type="expression" dxfId="1492" priority="250">
      <formula>$AF154=2</formula>
    </cfRule>
    <cfRule type="expression" dxfId="1491" priority="251">
      <formula>$AF154=1</formula>
    </cfRule>
  </conditionalFormatting>
  <conditionalFormatting sqref="V154">
    <cfRule type="expression" dxfId="1490" priority="245">
      <formula>$AC154=2</formula>
    </cfRule>
  </conditionalFormatting>
  <conditionalFormatting sqref="U154">
    <cfRule type="expression" dxfId="1489" priority="244">
      <formula>$AC154=2</formula>
    </cfRule>
  </conditionalFormatting>
  <conditionalFormatting sqref="U154">
    <cfRule type="expression" dxfId="1488" priority="243">
      <formula>U154&gt;F154</formula>
    </cfRule>
  </conditionalFormatting>
  <conditionalFormatting sqref="V154">
    <cfRule type="expression" dxfId="1487" priority="240">
      <formula>F154=0</formula>
    </cfRule>
  </conditionalFormatting>
  <conditionalFormatting sqref="H166:I166">
    <cfRule type="expression" dxfId="1486" priority="239">
      <formula>$AC166=2</formula>
    </cfRule>
  </conditionalFormatting>
  <conditionalFormatting sqref="J166">
    <cfRule type="expression" dxfId="1485" priority="235">
      <formula>$AD166=4</formula>
    </cfRule>
    <cfRule type="expression" dxfId="1484" priority="236">
      <formula>$AD166=3</formula>
    </cfRule>
    <cfRule type="expression" dxfId="1483" priority="237">
      <formula>$AD166=2</formula>
    </cfRule>
    <cfRule type="expression" dxfId="1482" priority="238">
      <formula>$AD166=1</formula>
    </cfRule>
  </conditionalFormatting>
  <conditionalFormatting sqref="J166">
    <cfRule type="expression" dxfId="1481" priority="234">
      <formula>$AC166=2</formula>
    </cfRule>
  </conditionalFormatting>
  <conditionalFormatting sqref="G166">
    <cfRule type="expression" dxfId="1480" priority="233">
      <formula>$AC166=2</formula>
    </cfRule>
  </conditionalFormatting>
  <conditionalFormatting sqref="G166">
    <cfRule type="expression" dxfId="1479" priority="232">
      <formula>G166&gt;F166</formula>
    </cfRule>
  </conditionalFormatting>
  <conditionalFormatting sqref="H166">
    <cfRule type="expression" dxfId="1478" priority="231">
      <formula>F166=0</formula>
    </cfRule>
  </conditionalFormatting>
  <conditionalFormatting sqref="I166">
    <cfRule type="expression" dxfId="1477" priority="230">
      <formula>F166=0</formula>
    </cfRule>
  </conditionalFormatting>
  <conditionalFormatting sqref="Q166">
    <cfRule type="expression" dxfId="1476" priority="229">
      <formula>$AC166=2</formula>
    </cfRule>
  </conditionalFormatting>
  <conditionalFormatting sqref="Q166">
    <cfRule type="expression" dxfId="1475" priority="223">
      <formula>$AE166=4</formula>
    </cfRule>
    <cfRule type="expression" dxfId="1474" priority="224">
      <formula>$AE166=3</formula>
    </cfRule>
    <cfRule type="expression" dxfId="1473" priority="225">
      <formula>$AE166=2</formula>
    </cfRule>
    <cfRule type="expression" dxfId="1472" priority="226">
      <formula>$AE166=1</formula>
    </cfRule>
  </conditionalFormatting>
  <conditionalFormatting sqref="O166">
    <cfRule type="expression" dxfId="1471" priority="820">
      <formula>$AC166=2</formula>
    </cfRule>
  </conditionalFormatting>
  <conditionalFormatting sqref="N166">
    <cfRule type="expression" dxfId="1470" priority="221">
      <formula>$AC166=2</formula>
    </cfRule>
  </conditionalFormatting>
  <conditionalFormatting sqref="N166">
    <cfRule type="expression" dxfId="1469" priority="220">
      <formula>N166&gt;F166</formula>
    </cfRule>
  </conditionalFormatting>
  <conditionalFormatting sqref="O166">
    <cfRule type="expression" dxfId="1468" priority="222">
      <formula>F166=0</formula>
    </cfRule>
  </conditionalFormatting>
  <conditionalFormatting sqref="X166:Y166">
    <cfRule type="expression" dxfId="1467" priority="216">
      <formula>$AC166=2</formula>
    </cfRule>
  </conditionalFormatting>
  <conditionalFormatting sqref="X166:Y166">
    <cfRule type="expression" dxfId="1466" priority="212">
      <formula>$AF166=4</formula>
    </cfRule>
    <cfRule type="expression" dxfId="1465" priority="213">
      <formula>$AF166=3</formula>
    </cfRule>
    <cfRule type="expression" dxfId="1464" priority="214">
      <formula>$AF166=2</formula>
    </cfRule>
    <cfRule type="expression" dxfId="1463" priority="215">
      <formula>$AF166=1</formula>
    </cfRule>
  </conditionalFormatting>
  <conditionalFormatting sqref="V166">
    <cfRule type="expression" dxfId="1462" priority="819">
      <formula>$AC166=2</formula>
    </cfRule>
  </conditionalFormatting>
  <conditionalFormatting sqref="U166">
    <cfRule type="expression" dxfId="1461" priority="208">
      <formula>$AC166=2</formula>
    </cfRule>
  </conditionalFormatting>
  <conditionalFormatting sqref="U166">
    <cfRule type="expression" dxfId="1460" priority="207">
      <formula>U166&gt;F166</formula>
    </cfRule>
  </conditionalFormatting>
  <conditionalFormatting sqref="V166">
    <cfRule type="expression" dxfId="1459" priority="209">
      <formula>F166=0</formula>
    </cfRule>
  </conditionalFormatting>
  <conditionalFormatting sqref="N4:S7">
    <cfRule type="expression" dxfId="1458" priority="203">
      <formula>$S$8=AD_no</formula>
    </cfRule>
  </conditionalFormatting>
  <conditionalFormatting sqref="U4:Z7">
    <cfRule type="expression" dxfId="1457" priority="202">
      <formula>$Z$8=AD_no</formula>
    </cfRule>
  </conditionalFormatting>
  <conditionalFormatting sqref="G70">
    <cfRule type="expression" dxfId="1456" priority="200">
      <formula>$AC70=2</formula>
    </cfRule>
  </conditionalFormatting>
  <conditionalFormatting sqref="G70">
    <cfRule type="expression" dxfId="1455" priority="199">
      <formula>G70&gt;F70</formula>
    </cfRule>
  </conditionalFormatting>
  <conditionalFormatting sqref="I70">
    <cfRule type="expression" dxfId="1454" priority="196">
      <formula>$AC70=2</formula>
    </cfRule>
  </conditionalFormatting>
  <conditionalFormatting sqref="I70">
    <cfRule type="expression" dxfId="1453" priority="195">
      <formula>F70=0</formula>
    </cfRule>
  </conditionalFormatting>
  <conditionalFormatting sqref="H70">
    <cfRule type="expression" dxfId="1452" priority="194">
      <formula>$AC70=2</formula>
    </cfRule>
  </conditionalFormatting>
  <conditionalFormatting sqref="H70">
    <cfRule type="expression" dxfId="1451" priority="193">
      <formula>F70=0</formula>
    </cfRule>
  </conditionalFormatting>
  <conditionalFormatting sqref="N70">
    <cfRule type="expression" dxfId="1450" priority="192">
      <formula>$AC70=2</formula>
    </cfRule>
  </conditionalFormatting>
  <conditionalFormatting sqref="N70">
    <cfRule type="expression" dxfId="1449" priority="191">
      <formula>N70&gt;F70</formula>
    </cfRule>
  </conditionalFormatting>
  <conditionalFormatting sqref="U70">
    <cfRule type="expression" dxfId="1448" priority="183">
      <formula>$AC70=2</formula>
    </cfRule>
  </conditionalFormatting>
  <conditionalFormatting sqref="U70">
    <cfRule type="expression" dxfId="1447" priority="182">
      <formula>U70&gt;F70</formula>
    </cfRule>
  </conditionalFormatting>
  <conditionalFormatting sqref="H106:I106">
    <cfRule type="expression" dxfId="1446" priority="178">
      <formula>$AC106=2</formula>
    </cfRule>
  </conditionalFormatting>
  <conditionalFormatting sqref="H106">
    <cfRule type="expression" dxfId="1445" priority="175">
      <formula>F106=0</formula>
    </cfRule>
  </conditionalFormatting>
  <conditionalFormatting sqref="I106">
    <cfRule type="expression" dxfId="1444" priority="174">
      <formula>F106=0</formula>
    </cfRule>
  </conditionalFormatting>
  <conditionalFormatting sqref="Q106:R106">
    <cfRule type="expression" dxfId="1443" priority="173">
      <formula>$AC106=2</formula>
    </cfRule>
  </conditionalFormatting>
  <conditionalFormatting sqref="Q106:R106">
    <cfRule type="expression" dxfId="1442" priority="169">
      <formula>$AE106=4</formula>
    </cfRule>
    <cfRule type="expression" dxfId="1441" priority="170">
      <formula>$AE106=3</formula>
    </cfRule>
    <cfRule type="expression" dxfId="1440" priority="171">
      <formula>$AE106=2</formula>
    </cfRule>
    <cfRule type="expression" dxfId="1439" priority="172">
      <formula>$AE106=1</formula>
    </cfRule>
  </conditionalFormatting>
  <conditionalFormatting sqref="X106:Y106">
    <cfRule type="expression" dxfId="1438" priority="165">
      <formula>$AF106=4</formula>
    </cfRule>
    <cfRule type="expression" dxfId="1437" priority="166">
      <formula>$AF106=3</formula>
    </cfRule>
    <cfRule type="expression" dxfId="1436" priority="167">
      <formula>$AF106=2</formula>
    </cfRule>
    <cfRule type="expression" dxfId="1435" priority="168">
      <formula>$AF106=1</formula>
    </cfRule>
  </conditionalFormatting>
  <conditionalFormatting sqref="X106:Y106">
    <cfRule type="expression" dxfId="1434" priority="164">
      <formula>$AC106=2</formula>
    </cfRule>
  </conditionalFormatting>
  <conditionalFormatting sqref="O106">
    <cfRule type="expression" dxfId="1433" priority="159">
      <formula>$AC106=2</formula>
    </cfRule>
  </conditionalFormatting>
  <conditionalFormatting sqref="V106">
    <cfRule type="expression" dxfId="1432" priority="158">
      <formula>$AC106=2</formula>
    </cfRule>
  </conditionalFormatting>
  <conditionalFormatting sqref="O106">
    <cfRule type="expression" dxfId="1431" priority="149">
      <formula>F106=0</formula>
    </cfRule>
  </conditionalFormatting>
  <conditionalFormatting sqref="V106">
    <cfRule type="expression" dxfId="1430" priority="148">
      <formula>F106=0</formula>
    </cfRule>
  </conditionalFormatting>
  <conditionalFormatting sqref="S106">
    <cfRule type="expression" dxfId="1429" priority="147">
      <formula>$AA106=2</formula>
    </cfRule>
  </conditionalFormatting>
  <conditionalFormatting sqref="Z106">
    <cfRule type="expression" dxfId="1428" priority="146">
      <formula>$AA106=2</formula>
    </cfRule>
  </conditionalFormatting>
  <conditionalFormatting sqref="J150:K150">
    <cfRule type="expression" dxfId="1427" priority="140">
      <formula>$AD150=4</formula>
    </cfRule>
    <cfRule type="expression" dxfId="1426" priority="141">
      <formula>$AD150=3</formula>
    </cfRule>
    <cfRule type="expression" dxfId="1425" priority="142">
      <formula>$AD150=2</formula>
    </cfRule>
    <cfRule type="expression" dxfId="1424" priority="143">
      <formula>$AD150=1</formula>
    </cfRule>
  </conditionalFormatting>
  <conditionalFormatting sqref="J150:K150">
    <cfRule type="expression" dxfId="1423" priority="139">
      <formula>$AC150=2</formula>
    </cfRule>
  </conditionalFormatting>
  <conditionalFormatting sqref="L150">
    <cfRule type="expression" dxfId="1422" priority="138">
      <formula>$AC150=2</formula>
    </cfRule>
  </conditionalFormatting>
  <conditionalFormatting sqref="H150:I150">
    <cfRule type="expression" dxfId="1421" priority="137">
      <formula>$AC150=2</formula>
    </cfRule>
  </conditionalFormatting>
  <conditionalFormatting sqref="H150">
    <cfRule type="expression" dxfId="1420" priority="134">
      <formula>F150=0</formula>
    </cfRule>
  </conditionalFormatting>
  <conditionalFormatting sqref="I150">
    <cfRule type="expression" dxfId="1419" priority="133">
      <formula>F150=0</formula>
    </cfRule>
  </conditionalFormatting>
  <conditionalFormatting sqref="Q150:R150">
    <cfRule type="expression" dxfId="1418" priority="132">
      <formula>$AC150=2</formula>
    </cfRule>
  </conditionalFormatting>
  <conditionalFormatting sqref="Q150:R150">
    <cfRule type="expression" dxfId="1417" priority="128">
      <formula>$AE150=4</formula>
    </cfRule>
    <cfRule type="expression" dxfId="1416" priority="129">
      <formula>$AE150=3</formula>
    </cfRule>
    <cfRule type="expression" dxfId="1415" priority="130">
      <formula>$AE150=2</formula>
    </cfRule>
    <cfRule type="expression" dxfId="1414" priority="131">
      <formula>$AE150=1</formula>
    </cfRule>
  </conditionalFormatting>
  <conditionalFormatting sqref="X150:Y150">
    <cfRule type="expression" dxfId="1413" priority="124">
      <formula>$AF150=4</formula>
    </cfRule>
    <cfRule type="expression" dxfId="1412" priority="125">
      <formula>$AF150=3</formula>
    </cfRule>
    <cfRule type="expression" dxfId="1411" priority="126">
      <formula>$AF150=2</formula>
    </cfRule>
    <cfRule type="expression" dxfId="1410" priority="127">
      <formula>$AF150=1</formula>
    </cfRule>
  </conditionalFormatting>
  <conditionalFormatting sqref="X150:Y150">
    <cfRule type="expression" dxfId="1409" priority="123">
      <formula>$AC150=2</formula>
    </cfRule>
  </conditionalFormatting>
  <conditionalFormatting sqref="O150">
    <cfRule type="expression" dxfId="1408" priority="118">
      <formula>$AC150=2</formula>
    </cfRule>
  </conditionalFormatting>
  <conditionalFormatting sqref="V150">
    <cfRule type="expression" dxfId="1407" priority="117">
      <formula>$AC150=2</formula>
    </cfRule>
  </conditionalFormatting>
  <conditionalFormatting sqref="O150">
    <cfRule type="expression" dxfId="1406" priority="108">
      <formula>F150=0</formula>
    </cfRule>
  </conditionalFormatting>
  <conditionalFormatting sqref="V150">
    <cfRule type="expression" dxfId="1405" priority="107">
      <formula>F150=0</formula>
    </cfRule>
  </conditionalFormatting>
  <conditionalFormatting sqref="S150">
    <cfRule type="expression" dxfId="1404" priority="106">
      <formula>$AA150=2</formula>
    </cfRule>
  </conditionalFormatting>
  <conditionalFormatting sqref="Z150">
    <cfRule type="expression" dxfId="1403" priority="105">
      <formula>$AA150=2</formula>
    </cfRule>
  </conditionalFormatting>
  <conditionalFormatting sqref="X138:Y138 H138:I138 Q138:R138">
    <cfRule type="expression" dxfId="1402" priority="102">
      <formula>$AC138=2</formula>
    </cfRule>
  </conditionalFormatting>
  <conditionalFormatting sqref="Q138:R138">
    <cfRule type="expression" dxfId="1401" priority="95">
      <formula>$AE138=4</formula>
    </cfRule>
    <cfRule type="expression" dxfId="1400" priority="96">
      <formula>$AE138=3</formula>
    </cfRule>
    <cfRule type="expression" dxfId="1399" priority="97">
      <formula>$AE138=2</formula>
    </cfRule>
    <cfRule type="expression" dxfId="1398" priority="98">
      <formula>$AE138=1</formula>
    </cfRule>
  </conditionalFormatting>
  <conditionalFormatting sqref="X138:Y138">
    <cfRule type="expression" dxfId="1397" priority="91">
      <formula>$AF138=4</formula>
    </cfRule>
    <cfRule type="expression" dxfId="1396" priority="92">
      <formula>$AF138=3</formula>
    </cfRule>
    <cfRule type="expression" dxfId="1395" priority="93">
      <formula>$AF138=2</formula>
    </cfRule>
    <cfRule type="expression" dxfId="1394" priority="94">
      <formula>$AF138=1</formula>
    </cfRule>
  </conditionalFormatting>
  <conditionalFormatting sqref="J138:K138">
    <cfRule type="expression" dxfId="1393" priority="85">
      <formula>$AD138=4</formula>
    </cfRule>
    <cfRule type="expression" dxfId="1392" priority="86">
      <formula>$AD138=3</formula>
    </cfRule>
    <cfRule type="expression" dxfId="1391" priority="87">
      <formula>$AD138=2</formula>
    </cfRule>
    <cfRule type="expression" dxfId="1390" priority="88">
      <formula>$AD138=1</formula>
    </cfRule>
  </conditionalFormatting>
  <conditionalFormatting sqref="J138:K138">
    <cfRule type="expression" dxfId="1389" priority="84">
      <formula>$AC138=2</formula>
    </cfRule>
  </conditionalFormatting>
  <conditionalFormatting sqref="L138">
    <cfRule type="expression" dxfId="1388" priority="83">
      <formula>$AC138=2</formula>
    </cfRule>
  </conditionalFormatting>
  <conditionalFormatting sqref="O138">
    <cfRule type="expression" dxfId="1387" priority="82">
      <formula>$AC138=2</formula>
    </cfRule>
  </conditionalFormatting>
  <conditionalFormatting sqref="V138">
    <cfRule type="expression" dxfId="1386" priority="81">
      <formula>$AC138=2</formula>
    </cfRule>
  </conditionalFormatting>
  <conditionalFormatting sqref="G138">
    <cfRule type="expression" dxfId="1385" priority="80">
      <formula>$AC138=2</formula>
    </cfRule>
  </conditionalFormatting>
  <conditionalFormatting sqref="G138">
    <cfRule type="expression" dxfId="1384" priority="79">
      <formula>G138&gt;F138</formula>
    </cfRule>
  </conditionalFormatting>
  <conditionalFormatting sqref="N138">
    <cfRule type="expression" dxfId="1383" priority="78">
      <formula>$AC138=2</formula>
    </cfRule>
  </conditionalFormatting>
  <conditionalFormatting sqref="N138">
    <cfRule type="expression" dxfId="1382" priority="77">
      <formula>N138&gt;F138</formula>
    </cfRule>
  </conditionalFormatting>
  <conditionalFormatting sqref="U138">
    <cfRule type="expression" dxfId="1381" priority="74">
      <formula>$AC138=2</formula>
    </cfRule>
  </conditionalFormatting>
  <conditionalFormatting sqref="U138">
    <cfRule type="expression" dxfId="1380" priority="73">
      <formula>U138&gt;F138</formula>
    </cfRule>
  </conditionalFormatting>
  <conditionalFormatting sqref="H138">
    <cfRule type="expression" dxfId="1379" priority="70">
      <formula>F138=0</formula>
    </cfRule>
  </conditionalFormatting>
  <conditionalFormatting sqref="I138">
    <cfRule type="expression" dxfId="1378" priority="69">
      <formula>F138=0</formula>
    </cfRule>
  </conditionalFormatting>
  <conditionalFormatting sqref="O138">
    <cfRule type="expression" dxfId="1377" priority="100">
      <formula>F138=0</formula>
    </cfRule>
  </conditionalFormatting>
  <conditionalFormatting sqref="V138">
    <cfRule type="expression" dxfId="1376" priority="99">
      <formula>F138=0</formula>
    </cfRule>
  </conditionalFormatting>
  <conditionalFormatting sqref="S138">
    <cfRule type="expression" dxfId="1375" priority="68">
      <formula>$AA138=2</formula>
    </cfRule>
  </conditionalFormatting>
  <conditionalFormatting sqref="Z138">
    <cfRule type="expression" dxfId="1374" priority="67">
      <formula>$AA138=2</formula>
    </cfRule>
  </conditionalFormatting>
  <conditionalFormatting sqref="G151">
    <cfRule type="expression" dxfId="1373" priority="64">
      <formula>$AC151=2</formula>
    </cfRule>
  </conditionalFormatting>
  <conditionalFormatting sqref="G151">
    <cfRule type="expression" dxfId="1372" priority="63">
      <formula>G151&gt;F151</formula>
    </cfRule>
  </conditionalFormatting>
  <conditionalFormatting sqref="N151">
    <cfRule type="expression" dxfId="1371" priority="62">
      <formula>$AC151=2</formula>
    </cfRule>
  </conditionalFormatting>
  <conditionalFormatting sqref="N151">
    <cfRule type="expression" dxfId="1370" priority="61">
      <formula>N151&gt;F151</formula>
    </cfRule>
  </conditionalFormatting>
  <conditionalFormatting sqref="U151">
    <cfRule type="expression" dxfId="1369" priority="57">
      <formula>$AC151=2</formula>
    </cfRule>
  </conditionalFormatting>
  <conditionalFormatting sqref="U151">
    <cfRule type="expression" dxfId="1368" priority="56">
      <formula>U151&gt;F151</formula>
    </cfRule>
  </conditionalFormatting>
  <conditionalFormatting sqref="G150">
    <cfRule type="expression" dxfId="1367" priority="51">
      <formula>G150&gt;F150</formula>
    </cfRule>
  </conditionalFormatting>
  <conditionalFormatting sqref="G150">
    <cfRule type="expression" dxfId="1366" priority="52">
      <formula>$AC150=2</formula>
    </cfRule>
  </conditionalFormatting>
  <conditionalFormatting sqref="N150">
    <cfRule type="expression" dxfId="1365" priority="50">
      <formula>$AC150=2</formula>
    </cfRule>
  </conditionalFormatting>
  <conditionalFormatting sqref="N150">
    <cfRule type="expression" dxfId="1364" priority="49">
      <formula>N150&gt;F150</formula>
    </cfRule>
  </conditionalFormatting>
  <conditionalFormatting sqref="U150">
    <cfRule type="expression" dxfId="1363" priority="45">
      <formula>$AC150=2</formula>
    </cfRule>
  </conditionalFormatting>
  <conditionalFormatting sqref="U150">
    <cfRule type="expression" dxfId="1362" priority="44">
      <formula>U150&gt;F150</formula>
    </cfRule>
  </conditionalFormatting>
  <conditionalFormatting sqref="G107">
    <cfRule type="expression" dxfId="1361" priority="40">
      <formula>$AC107=2</formula>
    </cfRule>
  </conditionalFormatting>
  <conditionalFormatting sqref="G107">
    <cfRule type="expression" dxfId="1360" priority="39">
      <formula>G107&gt;F107</formula>
    </cfRule>
  </conditionalFormatting>
  <conditionalFormatting sqref="N107">
    <cfRule type="expression" dxfId="1359" priority="38">
      <formula>$AC107=2</formula>
    </cfRule>
  </conditionalFormatting>
  <conditionalFormatting sqref="N107">
    <cfRule type="expression" dxfId="1358" priority="37">
      <formula>N107&gt;F107</formula>
    </cfRule>
  </conditionalFormatting>
  <conditionalFormatting sqref="U107">
    <cfRule type="expression" dxfId="1357" priority="33">
      <formula>$AC107=2</formula>
    </cfRule>
  </conditionalFormatting>
  <conditionalFormatting sqref="U107">
    <cfRule type="expression" dxfId="1356" priority="32">
      <formula>U107&gt;F107</formula>
    </cfRule>
  </conditionalFormatting>
  <conditionalFormatting sqref="N106">
    <cfRule type="expression" dxfId="1355" priority="28">
      <formula>$AC106=2</formula>
    </cfRule>
  </conditionalFormatting>
  <conditionalFormatting sqref="N106">
    <cfRule type="expression" dxfId="1354" priority="27">
      <formula>N106&gt;F106</formula>
    </cfRule>
  </conditionalFormatting>
  <conditionalFormatting sqref="U106">
    <cfRule type="expression" dxfId="1353" priority="23">
      <formula>$AC106=2</formula>
    </cfRule>
  </conditionalFormatting>
  <conditionalFormatting sqref="U106">
    <cfRule type="expression" dxfId="1352" priority="22">
      <formula>U106&gt;F106</formula>
    </cfRule>
  </conditionalFormatting>
  <conditionalFormatting sqref="G106">
    <cfRule type="expression" dxfId="1351" priority="17">
      <formula>G106&gt;F106</formula>
    </cfRule>
  </conditionalFormatting>
  <conditionalFormatting sqref="G106">
    <cfRule type="expression" dxfId="1350" priority="18">
      <formula>$AC106=2</formula>
    </cfRule>
  </conditionalFormatting>
  <conditionalFormatting sqref="V35">
    <cfRule type="expression" dxfId="1349" priority="16">
      <formula>$AC35=2</formula>
    </cfRule>
  </conditionalFormatting>
  <conditionalFormatting sqref="G72">
    <cfRule type="expression" dxfId="1348" priority="15">
      <formula>$AC72=2</formula>
    </cfRule>
  </conditionalFormatting>
  <conditionalFormatting sqref="G72">
    <cfRule type="expression" dxfId="1347" priority="14">
      <formula>G72&gt;F72</formula>
    </cfRule>
  </conditionalFormatting>
  <conditionalFormatting sqref="N72">
    <cfRule type="expression" dxfId="1346" priority="13">
      <formula>$AC72=2</formula>
    </cfRule>
  </conditionalFormatting>
  <conditionalFormatting sqref="N72">
    <cfRule type="expression" dxfId="1345" priority="12">
      <formula>N72&gt;F72</formula>
    </cfRule>
  </conditionalFormatting>
  <conditionalFormatting sqref="U72">
    <cfRule type="expression" dxfId="1344" priority="9">
      <formula>$AC72=2</formula>
    </cfRule>
  </conditionalFormatting>
  <conditionalFormatting sqref="U72">
    <cfRule type="expression" dxfId="1343" priority="8">
      <formula>U72&gt;F72</formula>
    </cfRule>
  </conditionalFormatting>
  <conditionalFormatting sqref="I72">
    <cfRule type="expression" dxfId="1342" priority="4">
      <formula>$AC72=2</formula>
    </cfRule>
  </conditionalFormatting>
  <conditionalFormatting sqref="I72">
    <cfRule type="expression" dxfId="1341" priority="3">
      <formula>F72=0</formula>
    </cfRule>
  </conditionalFormatting>
  <conditionalFormatting sqref="H72">
    <cfRule type="expression" dxfId="1340" priority="2">
      <formula>$AC72=2</formula>
    </cfRule>
  </conditionalFormatting>
  <conditionalFormatting sqref="H72">
    <cfRule type="expression" dxfId="1339" priority="1">
      <formula>F72=0</formula>
    </cfRule>
  </conditionalFormatting>
  <dataValidations count="19">
    <dataValidation type="decimal" operator="lessThanOrEqual" allowBlank="1" showInputMessage="1" showErrorMessage="1" errorTitle="Invalid entry" error="Cannot award more credits than available" sqref="G143:G145 G190:G192 G213:G226 G57 G129:G130 G156 U155:U160 G111:G113 U41:U46 G158 G92 G109 N57:N62 G205:G206 N155:N160 G32:G34 G28:G30 G173:G174 G115 G121:G122 G125:G126 G12:G16 G18:G19 U199:U209 U101 U57:U62 G41:G45 G139:G141 G202:G203 G52:G54 U213:U226 G48:G50 G59:G60 N190:N192 G62 U167 G75:G77 U139:U145 G79:G80 G187 G82:G83 G184 G181:G182 G89:G90 G21:G26 G97:G98 G101 G169:G170 U11:U34 G160 G177:G178 G150 N108:N115 N73:N92 U190:U192 G208:G209 N213:N226 G133:G136 G106 N41:N46 N48:N55 N119 N121:N123 N125:N127 N129:N131 G165 N169:N175 N177:N179 N181:N185 N187:N188 U48:U55 U119 U121:U123 U125:U127 U129:U131 N167 U169:U175 U177:U179 U181:U185 U187:U188 N139:N145 G152:G153 G199:G200 N199:N209 N196:N197 G197 U196:U197 N101 N11:N34 G73 G85:G87 U96:U99 N96:N99 N38 U38 N152:N153 U152:U153 N164:N165 U164:U165 G67:G69 N66:N69 U66:U69 U105:U106 N105:N106 U149:U150 N149:N150 N133:N137 U133:U137 U108:U115 G71 N71 U71 U73:U92" xr:uid="{00000000-0002-0000-0200-000000000000}">
      <formula1>$F11</formula1>
    </dataValidation>
    <dataValidation allowBlank="1" showInputMessage="1" showErrorMessage="1" promptTitle="Sorting" prompt="Sort from smallest to largest to get original sorting" sqref="A9" xr:uid="{00000000-0002-0000-0200-000001000000}"/>
    <dataValidation type="list" allowBlank="1" showInputMessage="1" showErrorMessage="1" sqref="S8 Z8" xr:uid="{00000000-0002-0000-0200-000002000000}">
      <formula1>AD_YesNo</formula1>
    </dataValidation>
    <dataValidation type="list" allowBlank="1" showInputMessage="1" showErrorMessage="1" sqref="N256:P256 G256 U256:W256 G246 N246:P246 U246:W246 G249 N249:P249 U249:W249 G252:G253 N252:P253 U252:W253 N258:P259 G258:G259 U258:W259 G47 G56 G120 G124 G128 G132 G168 G176 G180 G186 G189 G198 G100 G39:G40 G154 G166 G70 G151 G138 G107 G72" xr:uid="{00000000-0002-0000-0200-000003000000}">
      <formula1>janei</formula1>
    </dataValidation>
    <dataValidation type="list" operator="lessThanOrEqual" allowBlank="1" showInputMessage="1" showErrorMessage="1" errorTitle="Invalid entry" error="Cannot award more credits than available" sqref="N257:P257 G257 U257:W257 N47 U47 N56 N120 N124 N128 N132 N168 N176 N180 N186 N189 U56 U120 U124 U128 U132 U168 U176 U180 U186 U189 N198 U198 N100 U100 N39:N40 U39:U40 N154 U154 N166 U166 N70 U70 U151 N107 U138 N151 N138 U107 N72 U72" xr:uid="{00000000-0002-0000-0200-000004000000}">
      <formula1>janei</formula1>
    </dataValidation>
    <dataValidation type="list" allowBlank="1" showInputMessage="1" showErrorMessage="1" sqref="K213:K226 Y213:Y226 R252:R253 Y255:Y260 K246:K249 Y246:Y249 R246:R249 R196:R209 K255:K260 Y66:Y92 R255:R260 Y38:Y62 R38:R62 K38:K62 R11:R34 Y164:Y192 K105:K115 K164:K192 R213:R226 K237 K252:K253 Y237 Y252:Y253 R237 R149:R160 Y196:Y209 K196:K209 K11:K34 K96:K101 K66:K92 R66:R92 Y96:Y101 R96:R101 Y11:Y34 R105:R115 R164:R192 Y105:Y115 Y149:Y160 K149:K160 Y119:Y145 K119:K145 R119:R145" xr:uid="{00000000-0002-0000-0200-000009000000}">
      <formula1>status</formula1>
    </dataValidation>
    <dataValidation type="list" allowBlank="1" showInputMessage="1" showErrorMessage="1" sqref="AB11" xr:uid="{DB3CADF3-8BC5-476F-81CA-6BDA2C5277F8}">
      <formula1>$AS$11:$AT$11</formula1>
    </dataValidation>
    <dataValidation type="list" allowBlank="1" showInputMessage="1" showErrorMessage="1" sqref="AB17:AB19" xr:uid="{9350211D-61B2-4DA7-BE0E-7C11E1E6B433}">
      <formula1>AS11:AT11</formula1>
    </dataValidation>
    <dataValidation type="list" allowBlank="1" showInputMessage="1" showErrorMessage="1" sqref="AB201:AB209 AB108:AB109 AB78:AB83 AB51:AB54 AB91:AB92 AB27 AB142 AB248 AB131:AB138" xr:uid="{F0C1D095-7E66-46D9-A85F-66F520A2EB89}">
      <formula1>AR27:AU27</formula1>
    </dataValidation>
    <dataValidation type="list" allowBlank="1" showInputMessage="1" showErrorMessage="1" sqref="AB246 AB66 AB105:AB107 AB249 AB31 AB252:AB253 AB84:AB87" xr:uid="{D98CD08E-0EE3-4406-9E21-0FBC679D511E}">
      <formula1>AR31:AT31</formula1>
    </dataValidation>
    <dataValidation type="list" allowBlank="1" showInputMessage="1" showErrorMessage="1" sqref="AB55:AB57" xr:uid="{4C2207EF-568B-47C8-9151-2773F5E6F66A}">
      <formula1>$AS$55:$AT$55</formula1>
    </dataValidation>
    <dataValidation type="list" allowBlank="1" showInputMessage="1" showErrorMessage="1" sqref="AB74:AB77" xr:uid="{1331576C-E601-4F1C-A204-89C25D50F13A}">
      <formula1>$AR$74:$AW$74</formula1>
    </dataValidation>
    <dataValidation type="list" allowBlank="1" showInputMessage="1" showErrorMessage="1" sqref="AB155:AB158" xr:uid="{1D790340-B611-4D8C-807E-51EA2B2982E1}">
      <formula1>$AS$155:$AT$155</formula1>
    </dataValidation>
    <dataValidation type="list" allowBlank="1" showInputMessage="1" showErrorMessage="1" sqref="AB159:AB160" xr:uid="{B6D98BD2-E44A-45F0-85A9-DD6C63C7B0A6}">
      <formula1>$AS$159:$AT$159</formula1>
    </dataValidation>
    <dataValidation type="list" allowBlank="1" showInputMessage="1" showErrorMessage="1" sqref="AB38:AB45" xr:uid="{C3729FE3-E8D4-44CC-A21D-4515CC7AAB60}">
      <formula1>$AR$38:$AX$38</formula1>
    </dataValidation>
    <dataValidation type="list" allowBlank="1" showInputMessage="1" showErrorMessage="1" sqref="AB196:AB200" xr:uid="{BB53C0A7-3B79-4BA3-8464-4D5B1B5FF110}">
      <formula1>$AR$196:$AV$196</formula1>
    </dataValidation>
    <dataValidation type="list" allowBlank="1" showInputMessage="1" showErrorMessage="1" sqref="AB110:AB113" xr:uid="{75B977C5-2350-4159-ABB6-5AEF25C36DC6}">
      <formula1>$AR$110:$AV$110</formula1>
    </dataValidation>
    <dataValidation type="list" allowBlank="1" showInputMessage="1" showErrorMessage="1" sqref="AB46" xr:uid="{392145BC-95C6-4582-97CF-A0374FD78752}">
      <formula1>$AR$46:$AW$46</formula1>
    </dataValidation>
    <dataValidation type="list" allowBlank="1" showInputMessage="1" showErrorMessage="1" sqref="AB237 AB88:AB90 AB114:AB115 AB58:AB62 AB149:AB150 AB213:AB226 AB96 AB247 AB20 AB119:AB121 AB123 AB127 AB255:AB260 AB99:AB101 AB164:AB192" xr:uid="{023AEDB0-0A68-4401-A6A1-3F72B4EA8505}">
      <formula1>AIS_NA</formula1>
    </dataValidation>
  </dataValidations>
  <pageMargins left="0.25" right="0.25" top="0.75" bottom="0.75" header="0.3" footer="0.3"/>
  <pageSetup paperSize="9" scale="47" fitToHeight="0" orientation="landscape" r:id="rId1"/>
  <headerFooter>
    <oddFooter xml:space="preserve">&amp;L&amp;F&amp;C&amp;D&amp;RPage &amp;P of &amp;N  </oddFooter>
  </headerFooter>
  <ignoredErrors>
    <ignoredError sqref="V18:BE34 H228:T336 V17:W17 Z17:BE17 O17:P17 O18:Q18 S17:T18 V173:BE336 V52:X52 Z52:BE52 O126:Q126 S126:T126 V139:BE149 V53:BE69 F70 V115:BE122 O127:T137 Y107:BE114 E106:F106 F108:F114 AA151:BE153 E150:F150 F152:F153 V73:BE105 V106:X106 V150:Z150 O42:T69 O139:T150 H43:M46 H139:M150 C151 V41:BE51 W35:BE35 V36:BE39 O19:T38 H17:M38 O39:Q39 S39:T39 O41:Q41 S41:T41 C41 H152:M153 J151:M151 O173:T227 Q151:T151 V152:Z153 X151:Z151 H109:M122 J107:M107 O108:T122 Q107:T107 V108:X114 X107 H124:M137 J123:M123 O124:T125 Q123:T123 V124:BE137 X123:BE123 H39:J39 L39:M39 H73:M73 H47:J47 L47:M47 H75:M106 H74:J74 L74:M74 H108:J108 L108:M108 O73:T106 O70:Q70 S70:T70 H173:M227 H154:J154 L154:M154 H41:J42 L41:M42 H155:M171 O152:T171 V154:BE171 O71:T71 H48:M71 V70:Z71 AA71:BE71" formula="1"/>
  </ignoredErrors>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expression" priority="217" id="{26E8AFB8-EB8E-4549-91E2-6F0B5A9F2377}">
            <xm:f>$S$8='Assessment Details'!$Q$23</xm:f>
            <x14:dxf>
              <font>
                <color theme="0"/>
              </font>
              <fill>
                <patternFill>
                  <bgColor theme="0"/>
                </patternFill>
              </fill>
              <border>
                <left/>
                <right/>
                <top/>
                <bottom/>
                <vertical/>
                <horizontal/>
              </border>
            </x14:dxf>
          </x14:cfRule>
          <xm:sqref>N108:S137 N139:S149 O151:S151 O107:S107 N152:S227 N9:S105</xm:sqref>
        </x14:conditionalFormatting>
        <x14:conditionalFormatting xmlns:xm="http://schemas.microsoft.com/office/excel/2006/main">
          <x14:cfRule type="expression" priority="4553" id="{F07B10D0-2688-4D2D-9352-51F0145E8B48}">
            <xm:f>$S$8='Assessment Details'!$Q$23</xm:f>
            <x14:dxf>
              <border>
                <left style="thin">
                  <color theme="0"/>
                </left>
                <right style="thin">
                  <color theme="0"/>
                </right>
                <top style="thin">
                  <color theme="0"/>
                </top>
                <bottom style="thin">
                  <color theme="0"/>
                </bottom>
                <vertical/>
                <horizontal/>
              </border>
            </x14:dxf>
          </x14:cfRule>
          <xm:sqref>N147:O148 N194:O195 N227 N9:S10 N36:O37 N18:N19 N103:O104 N255:S260 N35 N64:O65 N94:O95 N117:O118 N162:O163 N211:O212 N213:N221 N63 N93 N102 N116 N146 N161 N193 N210 Q173:R174 Q41:R45 Q47:R50 Q52:R54 Q56:R57 Q59:R60 Q62:R62 Q67:R73 Q75:R77 Q79:R80 Q82:R83 N87 Q89:R90 Q92:R92 Q97:R98 Q101:R101 Q107:R107 Q109:R109 Q111:R113 Q115:R115 Q120:R122 Q124:R126 Q128:R130 Q139:R141 Q143:R145 Q151:R153 Q156:R156 Q158:R158 Q160:R160 Q165:R165 Q168:R170 Q176:R178 Q180:R182 Q184:R184 Q186:R187 Q189:R192 Q197:R197 Q202:R203 Q205:R206 Q208:R209 Q132:R136 Q199:R200 Q85:R87 S215:S226 Q162:R163 Q117:R118 Q94:R95 Q64:R65 Q103:R104 Q11:R37 Q194:R195 Q147:R148 Q211:R226 Q237:S237 N246:S247 N252:S253 N249:S249 Q227:S227 R166</xm:sqref>
        </x14:conditionalFormatting>
        <x14:conditionalFormatting xmlns:xm="http://schemas.microsoft.com/office/excel/2006/main">
          <x14:cfRule type="expression" priority="204" id="{1B653B29-3D42-40C1-932B-B69CCB31110E}">
            <xm:f>$Z$8='Assessment Details'!$Q$23</xm:f>
            <x14:dxf>
              <font>
                <color theme="0"/>
              </font>
              <fill>
                <patternFill>
                  <bgColor theme="0"/>
                </patternFill>
              </fill>
              <border>
                <left/>
                <right/>
                <top/>
                <bottom/>
              </border>
            </x14:dxf>
          </x14:cfRule>
          <xm:sqref>U71:Z71 V70:Z70 U108:Z137 U139:Z149 V151:Z151 V107:Z107 U9:Z69 U152:Z227 U73:Z105 V72:Z72</xm:sqref>
        </x14:conditionalFormatting>
        <x14:conditionalFormatting xmlns:xm="http://schemas.microsoft.com/office/excel/2006/main">
          <x14:cfRule type="expression" priority="4551" id="{EF72BBD8-21BF-47F9-A216-8FDC90D5599B}">
            <xm:f>$Z$8='Assessment Details'!$Q$23</xm:f>
            <x14:dxf>
              <border>
                <left style="thin">
                  <color theme="0"/>
                </left>
                <right style="thin">
                  <color theme="0"/>
                </right>
                <top style="thin">
                  <color theme="0"/>
                </top>
                <bottom style="thin">
                  <color theme="0"/>
                </bottom>
                <vertical/>
                <horizontal/>
              </border>
            </x14:dxf>
          </x14:cfRule>
          <xm:sqref>U147:V148 U194:V195 Z227 U9:Z10 X17:Y20 X252:Y252 X27:Y27 U36:V37 X11:Y11 X31:Y31 U103:V104 U257:Y257 U35 U64:V65 U94:V95 U117:V118 U162:V163 U211:V212 U213:U221 X173:Y174 X87:Y87 U87 X210:Y227 X161:Y163 X116:Y118 X93:Y95 X63:Y65 X102:Y104 X35:Y37 X193:Y195 X146:Y148</xm:sqref>
        </x14:conditionalFormatting>
        <x14:conditionalFormatting xmlns:xm="http://schemas.microsoft.com/office/excel/2006/main">
          <x14:cfRule type="expression" priority="4480" id="{3B48386A-6E88-435D-96E3-7ECE48307FC5}">
            <xm:f>$Z$8='Assessment Details'!$Q$23</xm:f>
            <x14:dxf>
              <font>
                <color theme="0"/>
              </font>
              <fill>
                <patternFill>
                  <bgColor theme="0"/>
                </patternFill>
              </fill>
            </x14:dxf>
          </x14:cfRule>
          <xm:sqref>AB9</xm:sqref>
        </x14:conditionalFormatting>
        <x14:conditionalFormatting xmlns:xm="http://schemas.microsoft.com/office/excel/2006/main">
          <x14:cfRule type="expression" priority="4479" id="{DD02E5C0-2556-4DD5-BD85-B262FB3B1D1C}">
            <xm:f>$Z$8='Assessment Details'!$Q$23</xm:f>
            <x14:dxf>
              <border>
                <left style="thin">
                  <color theme="0"/>
                </left>
                <right style="thin">
                  <color theme="0"/>
                </right>
                <top style="thin">
                  <color theme="0"/>
                </top>
                <bottom style="thin">
                  <color theme="0"/>
                </bottom>
                <vertical/>
                <horizontal/>
              </border>
            </x14:dxf>
          </x14:cfRule>
          <xm:sqref>AB9</xm:sqref>
        </x14:conditionalFormatting>
        <x14:conditionalFormatting xmlns:xm="http://schemas.microsoft.com/office/excel/2006/main">
          <x14:cfRule type="expression" priority="4342" id="{EB55F4F4-1DD4-4294-9406-21C3CBEF7E73}">
            <xm:f>$S$8='Assessment Details'!$Q$23</xm:f>
            <x14:dxf>
              <font>
                <color theme="0"/>
              </font>
              <fill>
                <patternFill>
                  <bgColor theme="0"/>
                </patternFill>
              </fill>
              <border>
                <vertical/>
                <horizontal/>
              </border>
            </x14:dxf>
          </x14:cfRule>
          <xm:sqref>N222</xm:sqref>
        </x14:conditionalFormatting>
        <x14:conditionalFormatting xmlns:xm="http://schemas.microsoft.com/office/excel/2006/main">
          <x14:cfRule type="expression" priority="4341" id="{F53F118C-8F6E-4BA5-BF71-8B5D02386E74}">
            <xm:f>$S$8='Assessment Details'!$Q$23</xm:f>
            <x14:dxf>
              <border>
                <left style="thin">
                  <color theme="0"/>
                </left>
                <right style="thin">
                  <color theme="0"/>
                </right>
                <top style="thin">
                  <color theme="0"/>
                </top>
                <bottom style="thin">
                  <color theme="0"/>
                </bottom>
                <vertical/>
                <horizontal/>
              </border>
            </x14:dxf>
          </x14:cfRule>
          <xm:sqref>N222</xm:sqref>
        </x14:conditionalFormatting>
        <x14:conditionalFormatting xmlns:xm="http://schemas.microsoft.com/office/excel/2006/main">
          <x14:cfRule type="expression" priority="4340" id="{AF28C966-0E6E-4749-BB73-48B9A7BC2ACE}">
            <xm:f>$Z$8='Assessment Details'!$Q$23</xm:f>
            <x14:dxf>
              <font>
                <color theme="0"/>
              </font>
              <fill>
                <patternFill>
                  <bgColor theme="0"/>
                </patternFill>
              </fill>
            </x14:dxf>
          </x14:cfRule>
          <xm:sqref>U222</xm:sqref>
        </x14:conditionalFormatting>
        <x14:conditionalFormatting xmlns:xm="http://schemas.microsoft.com/office/excel/2006/main">
          <x14:cfRule type="expression" priority="4339" id="{C4A652AD-542D-4A51-8B0A-38440CC32874}">
            <xm:f>$Z$8='Assessment Details'!$Q$23</xm:f>
            <x14:dxf>
              <border>
                <left style="thin">
                  <color theme="0"/>
                </left>
                <right style="thin">
                  <color theme="0"/>
                </right>
                <top style="thin">
                  <color theme="0"/>
                </top>
                <bottom style="thin">
                  <color theme="0"/>
                </bottom>
                <vertical/>
                <horizontal/>
              </border>
            </x14:dxf>
          </x14:cfRule>
          <xm:sqref>U222</xm:sqref>
        </x14:conditionalFormatting>
        <x14:conditionalFormatting xmlns:xm="http://schemas.microsoft.com/office/excel/2006/main">
          <x14:cfRule type="expression" priority="4322" id="{C6F0C1E9-58BE-4F8C-8B3F-826B41B00157}">
            <xm:f>$S$8='Assessment Details'!$Q$23</xm:f>
            <x14:dxf>
              <font>
                <color theme="0"/>
              </font>
              <fill>
                <patternFill>
                  <bgColor theme="0"/>
                </patternFill>
              </fill>
              <border>
                <vertical/>
                <horizontal/>
              </border>
            </x14:dxf>
          </x14:cfRule>
          <xm:sqref>N223</xm:sqref>
        </x14:conditionalFormatting>
        <x14:conditionalFormatting xmlns:xm="http://schemas.microsoft.com/office/excel/2006/main">
          <x14:cfRule type="expression" priority="4321" id="{3C90B44D-5A49-480C-AAEF-2497645946C8}">
            <xm:f>$S$8='Assessment Details'!$Q$23</xm:f>
            <x14:dxf>
              <border>
                <left style="thin">
                  <color theme="0"/>
                </left>
                <right style="thin">
                  <color theme="0"/>
                </right>
                <top style="thin">
                  <color theme="0"/>
                </top>
                <bottom style="thin">
                  <color theme="0"/>
                </bottom>
                <vertical/>
                <horizontal/>
              </border>
            </x14:dxf>
          </x14:cfRule>
          <xm:sqref>N223</xm:sqref>
        </x14:conditionalFormatting>
        <x14:conditionalFormatting xmlns:xm="http://schemas.microsoft.com/office/excel/2006/main">
          <x14:cfRule type="expression" priority="4320" id="{5F40EE38-1188-4DBF-AAA8-FD83D80F7088}">
            <xm:f>$Z$8='Assessment Details'!$Q$23</xm:f>
            <x14:dxf>
              <font>
                <color theme="0"/>
              </font>
              <fill>
                <patternFill>
                  <bgColor theme="0"/>
                </patternFill>
              </fill>
            </x14:dxf>
          </x14:cfRule>
          <xm:sqref>U223</xm:sqref>
        </x14:conditionalFormatting>
        <x14:conditionalFormatting xmlns:xm="http://schemas.microsoft.com/office/excel/2006/main">
          <x14:cfRule type="expression" priority="4319" id="{BD2D5A2E-1C75-476A-B6A3-98481EF96DC5}">
            <xm:f>$Z$8='Assessment Details'!$Q$23</xm:f>
            <x14:dxf>
              <border>
                <left style="thin">
                  <color theme="0"/>
                </left>
                <right style="thin">
                  <color theme="0"/>
                </right>
                <top style="thin">
                  <color theme="0"/>
                </top>
                <bottom style="thin">
                  <color theme="0"/>
                </bottom>
                <vertical/>
                <horizontal/>
              </border>
            </x14:dxf>
          </x14:cfRule>
          <xm:sqref>U223</xm:sqref>
        </x14:conditionalFormatting>
        <x14:conditionalFormatting xmlns:xm="http://schemas.microsoft.com/office/excel/2006/main">
          <x14:cfRule type="expression" priority="4302" id="{46247BBD-A873-4922-8750-3D09E8184D0D}">
            <xm:f>$S$8='Assessment Details'!$Q$23</xm:f>
            <x14:dxf>
              <font>
                <color theme="0"/>
              </font>
              <fill>
                <patternFill>
                  <bgColor theme="0"/>
                </patternFill>
              </fill>
              <border>
                <vertical/>
                <horizontal/>
              </border>
            </x14:dxf>
          </x14:cfRule>
          <xm:sqref>N224</xm:sqref>
        </x14:conditionalFormatting>
        <x14:conditionalFormatting xmlns:xm="http://schemas.microsoft.com/office/excel/2006/main">
          <x14:cfRule type="expression" priority="4301" id="{37C47E48-8E86-4D2F-AF4E-5484360E7AD9}">
            <xm:f>$S$8='Assessment Details'!$Q$23</xm:f>
            <x14:dxf>
              <border>
                <left style="thin">
                  <color theme="0"/>
                </left>
                <right style="thin">
                  <color theme="0"/>
                </right>
                <top style="thin">
                  <color theme="0"/>
                </top>
                <bottom style="thin">
                  <color theme="0"/>
                </bottom>
                <vertical/>
                <horizontal/>
              </border>
            </x14:dxf>
          </x14:cfRule>
          <xm:sqref>N224</xm:sqref>
        </x14:conditionalFormatting>
        <x14:conditionalFormatting xmlns:xm="http://schemas.microsoft.com/office/excel/2006/main">
          <x14:cfRule type="expression" priority="4300" id="{02418F47-1C4E-4E82-902A-C7E9C07A07DC}">
            <xm:f>$Z$8='Assessment Details'!$Q$23</xm:f>
            <x14:dxf>
              <font>
                <color theme="0"/>
              </font>
              <fill>
                <patternFill>
                  <bgColor theme="0"/>
                </patternFill>
              </fill>
            </x14:dxf>
          </x14:cfRule>
          <xm:sqref>U224</xm:sqref>
        </x14:conditionalFormatting>
        <x14:conditionalFormatting xmlns:xm="http://schemas.microsoft.com/office/excel/2006/main">
          <x14:cfRule type="expression" priority="4299" id="{1C3DBDD0-C41F-468D-843F-A3B47D9BCC0F}">
            <xm:f>$Z$8='Assessment Details'!$Q$23</xm:f>
            <x14:dxf>
              <border>
                <left style="thin">
                  <color theme="0"/>
                </left>
                <right style="thin">
                  <color theme="0"/>
                </right>
                <top style="thin">
                  <color theme="0"/>
                </top>
                <bottom style="thin">
                  <color theme="0"/>
                </bottom>
                <vertical/>
                <horizontal/>
              </border>
            </x14:dxf>
          </x14:cfRule>
          <xm:sqref>U224</xm:sqref>
        </x14:conditionalFormatting>
        <x14:conditionalFormatting xmlns:xm="http://schemas.microsoft.com/office/excel/2006/main">
          <x14:cfRule type="expression" priority="4282" id="{CD4EB85A-D7F1-43AC-8452-720AB857931A}">
            <xm:f>$S$8='Assessment Details'!$Q$23</xm:f>
            <x14:dxf>
              <font>
                <color theme="0"/>
              </font>
              <fill>
                <patternFill>
                  <bgColor theme="0"/>
                </patternFill>
              </fill>
              <border>
                <vertical/>
                <horizontal/>
              </border>
            </x14:dxf>
          </x14:cfRule>
          <xm:sqref>N225</xm:sqref>
        </x14:conditionalFormatting>
        <x14:conditionalFormatting xmlns:xm="http://schemas.microsoft.com/office/excel/2006/main">
          <x14:cfRule type="expression" priority="4281" id="{3DC3B8C6-7B5E-4404-976C-3A3832AD9D64}">
            <xm:f>$S$8='Assessment Details'!$Q$23</xm:f>
            <x14:dxf>
              <border>
                <left style="thin">
                  <color theme="0"/>
                </left>
                <right style="thin">
                  <color theme="0"/>
                </right>
                <top style="thin">
                  <color theme="0"/>
                </top>
                <bottom style="thin">
                  <color theme="0"/>
                </bottom>
                <vertical/>
                <horizontal/>
              </border>
            </x14:dxf>
          </x14:cfRule>
          <xm:sqref>N225</xm:sqref>
        </x14:conditionalFormatting>
        <x14:conditionalFormatting xmlns:xm="http://schemas.microsoft.com/office/excel/2006/main">
          <x14:cfRule type="expression" priority="4280" id="{BC251D69-11C2-4540-8D77-657BD1491065}">
            <xm:f>$Z$8='Assessment Details'!$Q$23</xm:f>
            <x14:dxf>
              <font>
                <color theme="0"/>
              </font>
              <fill>
                <patternFill>
                  <bgColor theme="0"/>
                </patternFill>
              </fill>
            </x14:dxf>
          </x14:cfRule>
          <xm:sqref>U225</xm:sqref>
        </x14:conditionalFormatting>
        <x14:conditionalFormatting xmlns:xm="http://schemas.microsoft.com/office/excel/2006/main">
          <x14:cfRule type="expression" priority="4279" id="{091DEED1-E318-4562-ACE6-E415E5633351}">
            <xm:f>$Z$8='Assessment Details'!$Q$23</xm:f>
            <x14:dxf>
              <border>
                <left style="thin">
                  <color theme="0"/>
                </left>
                <right style="thin">
                  <color theme="0"/>
                </right>
                <top style="thin">
                  <color theme="0"/>
                </top>
                <bottom style="thin">
                  <color theme="0"/>
                </bottom>
                <vertical/>
                <horizontal/>
              </border>
            </x14:dxf>
          </x14:cfRule>
          <xm:sqref>U225</xm:sqref>
        </x14:conditionalFormatting>
        <x14:conditionalFormatting xmlns:xm="http://schemas.microsoft.com/office/excel/2006/main">
          <x14:cfRule type="expression" priority="4260" id="{2B1EC8D9-8898-47AD-9A7F-C907B78FA3E3}">
            <xm:f>$Z$8='Assessment Details'!$Q$23</xm:f>
            <x14:dxf>
              <font>
                <color theme="0"/>
              </font>
              <fill>
                <patternFill>
                  <bgColor theme="0"/>
                </patternFill>
              </fill>
            </x14:dxf>
          </x14:cfRule>
          <xm:sqref>U256:Y256</xm:sqref>
        </x14:conditionalFormatting>
        <x14:conditionalFormatting xmlns:xm="http://schemas.microsoft.com/office/excel/2006/main">
          <x14:cfRule type="expression" priority="4259" id="{16217C15-98ED-40E1-9D3C-D8F9EAA14716}">
            <xm:f>$Z$8='Assessment Details'!$Q$23</xm:f>
            <x14:dxf>
              <border>
                <left style="thin">
                  <color theme="0"/>
                </left>
                <right style="thin">
                  <color theme="0"/>
                </right>
                <top style="thin">
                  <color theme="0"/>
                </top>
                <bottom style="thin">
                  <color theme="0"/>
                </bottom>
                <vertical/>
                <horizontal/>
              </border>
            </x14:dxf>
          </x14:cfRule>
          <xm:sqref>U256:Y256</xm:sqref>
        </x14:conditionalFormatting>
        <x14:conditionalFormatting xmlns:xm="http://schemas.microsoft.com/office/excel/2006/main">
          <x14:cfRule type="expression" priority="4236" id="{003CF9C3-5882-4AE5-9825-DD5F562997CA}">
            <xm:f>$Z$8='Assessment Details'!$Q$23</xm:f>
            <x14:dxf>
              <font>
                <color theme="0"/>
              </font>
              <fill>
                <patternFill>
                  <bgColor theme="0"/>
                </patternFill>
              </fill>
            </x14:dxf>
          </x14:cfRule>
          <xm:sqref>X237:Y237</xm:sqref>
        </x14:conditionalFormatting>
        <x14:conditionalFormatting xmlns:xm="http://schemas.microsoft.com/office/excel/2006/main">
          <x14:cfRule type="expression" priority="4235" id="{506DB9F6-CF47-4A3E-8BDC-0CF6F0FB1801}">
            <xm:f>$Z$8='Assessment Details'!$Q$23</xm:f>
            <x14:dxf>
              <border>
                <left style="thin">
                  <color theme="0"/>
                </left>
                <right style="thin">
                  <color theme="0"/>
                </right>
                <top style="thin">
                  <color theme="0"/>
                </top>
                <bottom style="thin">
                  <color theme="0"/>
                </bottom>
                <vertical/>
                <horizontal/>
              </border>
            </x14:dxf>
          </x14:cfRule>
          <xm:sqref>X237:Y237</xm:sqref>
        </x14:conditionalFormatting>
        <x14:conditionalFormatting xmlns:xm="http://schemas.microsoft.com/office/excel/2006/main">
          <x14:cfRule type="expression" priority="4230" id="{65CE01A1-5605-4EA8-9C68-7A192DC9BB8C}">
            <xm:f>$S$8='Assessment Details'!$Q$23</xm:f>
            <x14:dxf>
              <font>
                <color theme="0"/>
              </font>
              <fill>
                <patternFill>
                  <bgColor theme="0"/>
                </patternFill>
              </fill>
              <border>
                <vertical/>
                <horizontal/>
              </border>
            </x14:dxf>
          </x14:cfRule>
          <xm:sqref>N237:P237</xm:sqref>
        </x14:conditionalFormatting>
        <x14:conditionalFormatting xmlns:xm="http://schemas.microsoft.com/office/excel/2006/main">
          <x14:cfRule type="expression" priority="4229" id="{1E118A00-84A7-423B-BFC9-B87735183CA0}">
            <xm:f>$S$8='Assessment Details'!$Q$23</xm:f>
            <x14:dxf>
              <border>
                <left style="thin">
                  <color theme="0"/>
                </left>
                <right style="thin">
                  <color theme="0"/>
                </right>
                <top style="thin">
                  <color theme="0"/>
                </top>
                <bottom style="thin">
                  <color theme="0"/>
                </bottom>
                <vertical/>
                <horizontal/>
              </border>
            </x14:dxf>
          </x14:cfRule>
          <xm:sqref>N237:P237</xm:sqref>
        </x14:conditionalFormatting>
        <x14:conditionalFormatting xmlns:xm="http://schemas.microsoft.com/office/excel/2006/main">
          <x14:cfRule type="expression" priority="4226" id="{E03EFE18-FBBD-40FC-BDF3-34AF33D8729A}">
            <xm:f>$S$8='Assessment Details'!$Q$23</xm:f>
            <x14:dxf>
              <font>
                <color theme="0"/>
              </font>
              <fill>
                <patternFill>
                  <bgColor theme="0"/>
                </patternFill>
              </fill>
              <border>
                <vertical/>
                <horizontal/>
              </border>
            </x14:dxf>
          </x14:cfRule>
          <xm:sqref>U237:W237</xm:sqref>
        </x14:conditionalFormatting>
        <x14:conditionalFormatting xmlns:xm="http://schemas.microsoft.com/office/excel/2006/main">
          <x14:cfRule type="expression" priority="4225" id="{1B409915-313F-482D-9590-169533B82CE8}">
            <xm:f>$S$8='Assessment Details'!$Q$23</xm:f>
            <x14:dxf>
              <border>
                <left style="thin">
                  <color theme="0"/>
                </left>
                <right style="thin">
                  <color theme="0"/>
                </right>
                <top style="thin">
                  <color theme="0"/>
                </top>
                <bottom style="thin">
                  <color theme="0"/>
                </bottom>
                <vertical/>
                <horizontal/>
              </border>
            </x14:dxf>
          </x14:cfRule>
          <xm:sqref>U237:W237</xm:sqref>
        </x14:conditionalFormatting>
        <x14:conditionalFormatting xmlns:xm="http://schemas.microsoft.com/office/excel/2006/main">
          <x14:cfRule type="expression" priority="4205" id="{C23D9E8F-AD36-4F36-8873-6C2B93A98BF5}">
            <xm:f>$Z$8='Assessment Details'!$Q$23</xm:f>
            <x14:dxf>
              <font>
                <color theme="0"/>
              </font>
              <fill>
                <patternFill>
                  <bgColor theme="0"/>
                </patternFill>
              </fill>
            </x14:dxf>
          </x14:cfRule>
          <xm:sqref>X246:Y246</xm:sqref>
        </x14:conditionalFormatting>
        <x14:conditionalFormatting xmlns:xm="http://schemas.microsoft.com/office/excel/2006/main">
          <x14:cfRule type="expression" priority="4204" id="{9F798C84-7CB0-48B5-8C29-E9F67D86CAF5}">
            <xm:f>$Z$8='Assessment Details'!$Q$23</xm:f>
            <x14:dxf>
              <border>
                <left style="thin">
                  <color theme="0"/>
                </left>
                <right style="thin">
                  <color theme="0"/>
                </right>
                <top style="thin">
                  <color theme="0"/>
                </top>
                <bottom style="thin">
                  <color theme="0"/>
                </bottom>
                <vertical/>
                <horizontal/>
              </border>
            </x14:dxf>
          </x14:cfRule>
          <xm:sqref>X246:Y246</xm:sqref>
        </x14:conditionalFormatting>
        <x14:conditionalFormatting xmlns:xm="http://schemas.microsoft.com/office/excel/2006/main">
          <x14:cfRule type="expression" priority="4179" id="{8584CAA5-EBD7-42B8-9D58-8DBF5321B526}">
            <xm:f>$Z$8='Assessment Details'!$Q$23</xm:f>
            <x14:dxf>
              <font>
                <color theme="0"/>
              </font>
              <fill>
                <patternFill>
                  <bgColor theme="0"/>
                </patternFill>
              </fill>
            </x14:dxf>
          </x14:cfRule>
          <xm:sqref>U246:W246</xm:sqref>
        </x14:conditionalFormatting>
        <x14:conditionalFormatting xmlns:xm="http://schemas.microsoft.com/office/excel/2006/main">
          <x14:cfRule type="expression" priority="4178" id="{36D9EACB-D66B-4BD5-96E8-8BAC3D7006C4}">
            <xm:f>$Z$8='Assessment Details'!$Q$23</xm:f>
            <x14:dxf>
              <border>
                <left style="thin">
                  <color theme="0"/>
                </left>
                <right style="thin">
                  <color theme="0"/>
                </right>
                <top style="thin">
                  <color theme="0"/>
                </top>
                <bottom style="thin">
                  <color theme="0"/>
                </bottom>
                <vertical/>
                <horizontal/>
              </border>
            </x14:dxf>
          </x14:cfRule>
          <xm:sqref>U246:W246</xm:sqref>
        </x14:conditionalFormatting>
        <x14:conditionalFormatting xmlns:xm="http://schemas.microsoft.com/office/excel/2006/main">
          <x14:cfRule type="expression" priority="4168" id="{BD68F092-7696-4BAF-B97A-D33E8A53C89A}">
            <xm:f>$Z$8='Assessment Details'!$Q$23</xm:f>
            <x14:dxf>
              <font>
                <color theme="0"/>
              </font>
              <fill>
                <patternFill>
                  <bgColor theme="0"/>
                </patternFill>
              </fill>
            </x14:dxf>
          </x14:cfRule>
          <xm:sqref>U252:W252</xm:sqref>
        </x14:conditionalFormatting>
        <x14:conditionalFormatting xmlns:xm="http://schemas.microsoft.com/office/excel/2006/main">
          <x14:cfRule type="expression" priority="4167" id="{E90D7E1E-28DA-47D4-AABC-E60720466AF9}">
            <xm:f>$Z$8='Assessment Details'!$Q$23</xm:f>
            <x14:dxf>
              <border>
                <left style="thin">
                  <color theme="0"/>
                </left>
                <right style="thin">
                  <color theme="0"/>
                </right>
                <top style="thin">
                  <color theme="0"/>
                </top>
                <bottom style="thin">
                  <color theme="0"/>
                </bottom>
                <vertical/>
                <horizontal/>
              </border>
            </x14:dxf>
          </x14:cfRule>
          <xm:sqref>U252:W252</xm:sqref>
        </x14:conditionalFormatting>
        <x14:conditionalFormatting xmlns:xm="http://schemas.microsoft.com/office/excel/2006/main">
          <x14:cfRule type="expression" priority="4149" id="{4B51EF7C-4C0C-4E96-BBDD-2D04B5CAC58C}">
            <xm:f>$Z$8='Assessment Details'!$Q$23</xm:f>
            <x14:dxf>
              <font>
                <color theme="0"/>
              </font>
              <fill>
                <patternFill>
                  <bgColor theme="0"/>
                </patternFill>
              </fill>
            </x14:dxf>
          </x14:cfRule>
          <xm:sqref>X247:Y247</xm:sqref>
        </x14:conditionalFormatting>
        <x14:conditionalFormatting xmlns:xm="http://schemas.microsoft.com/office/excel/2006/main">
          <x14:cfRule type="expression" priority="4148" id="{F4CA5879-5898-4CE4-B06A-915C45E07AED}">
            <xm:f>$Z$8='Assessment Details'!$Q$23</xm:f>
            <x14:dxf>
              <border>
                <left style="thin">
                  <color theme="0"/>
                </left>
                <right style="thin">
                  <color theme="0"/>
                </right>
                <top style="thin">
                  <color theme="0"/>
                </top>
                <bottom style="thin">
                  <color theme="0"/>
                </bottom>
                <vertical/>
                <horizontal/>
              </border>
            </x14:dxf>
          </x14:cfRule>
          <xm:sqref>X247:Y247</xm:sqref>
        </x14:conditionalFormatting>
        <x14:conditionalFormatting xmlns:xm="http://schemas.microsoft.com/office/excel/2006/main">
          <x14:cfRule type="expression" priority="4129" id="{1863681A-C5A6-469C-9BF7-D98DE7D964C1}">
            <xm:f>$Z$8='Assessment Details'!$Q$23</xm:f>
            <x14:dxf>
              <font>
                <color theme="0"/>
              </font>
              <fill>
                <patternFill>
                  <bgColor theme="0"/>
                </patternFill>
              </fill>
            </x14:dxf>
          </x14:cfRule>
          <xm:sqref>U247:W247</xm:sqref>
        </x14:conditionalFormatting>
        <x14:conditionalFormatting xmlns:xm="http://schemas.microsoft.com/office/excel/2006/main">
          <x14:cfRule type="expression" priority="4128" id="{E733F3F7-9EE8-48C1-A76B-CE9B4A611C8F}">
            <xm:f>$Z$8='Assessment Details'!$Q$23</xm:f>
            <x14:dxf>
              <border>
                <left style="thin">
                  <color theme="0"/>
                </left>
                <right style="thin">
                  <color theme="0"/>
                </right>
                <top style="thin">
                  <color theme="0"/>
                </top>
                <bottom style="thin">
                  <color theme="0"/>
                </bottom>
                <vertical/>
                <horizontal/>
              </border>
            </x14:dxf>
          </x14:cfRule>
          <xm:sqref>U247:W247</xm:sqref>
        </x14:conditionalFormatting>
        <x14:conditionalFormatting xmlns:xm="http://schemas.microsoft.com/office/excel/2006/main">
          <x14:cfRule type="expression" priority="4118" id="{DDEF0701-07C5-4E7E-8FD2-669EF36B4A6C}">
            <xm:f>$Z$8='Assessment Details'!$Q$23</xm:f>
            <x14:dxf>
              <font>
                <color theme="0"/>
              </font>
              <fill>
                <patternFill>
                  <bgColor theme="0"/>
                </patternFill>
              </fill>
            </x14:dxf>
          </x14:cfRule>
          <xm:sqref>X249:Y249</xm:sqref>
        </x14:conditionalFormatting>
        <x14:conditionalFormatting xmlns:xm="http://schemas.microsoft.com/office/excel/2006/main">
          <x14:cfRule type="expression" priority="4117" id="{6AA86BA3-135E-4FD5-AE20-0C1DD4832BF4}">
            <xm:f>$Z$8='Assessment Details'!$Q$23</xm:f>
            <x14:dxf>
              <border>
                <left style="thin">
                  <color theme="0"/>
                </left>
                <right style="thin">
                  <color theme="0"/>
                </right>
                <top style="thin">
                  <color theme="0"/>
                </top>
                <bottom style="thin">
                  <color theme="0"/>
                </bottom>
                <vertical/>
                <horizontal/>
              </border>
            </x14:dxf>
          </x14:cfRule>
          <xm:sqref>X249:Y249</xm:sqref>
        </x14:conditionalFormatting>
        <x14:conditionalFormatting xmlns:xm="http://schemas.microsoft.com/office/excel/2006/main">
          <x14:cfRule type="expression" priority="4103" id="{D7772031-3012-43A4-9FDA-021CF7E6AC75}">
            <xm:f>$Z$8='Assessment Details'!$Q$23</xm:f>
            <x14:dxf>
              <font>
                <color theme="0"/>
              </font>
              <fill>
                <patternFill>
                  <bgColor theme="0"/>
                </patternFill>
              </fill>
            </x14:dxf>
          </x14:cfRule>
          <xm:sqref>U249:W249</xm:sqref>
        </x14:conditionalFormatting>
        <x14:conditionalFormatting xmlns:xm="http://schemas.microsoft.com/office/excel/2006/main">
          <x14:cfRule type="expression" priority="4102" id="{284B85CE-0DE8-4D71-A1D7-56A9956F500E}">
            <xm:f>$Z$8='Assessment Details'!$Q$23</xm:f>
            <x14:dxf>
              <border>
                <left style="thin">
                  <color theme="0"/>
                </left>
                <right style="thin">
                  <color theme="0"/>
                </right>
                <top style="thin">
                  <color theme="0"/>
                </top>
                <bottom style="thin">
                  <color theme="0"/>
                </bottom>
                <vertical/>
                <horizontal/>
              </border>
            </x14:dxf>
          </x14:cfRule>
          <xm:sqref>U249:W249</xm:sqref>
        </x14:conditionalFormatting>
        <x14:conditionalFormatting xmlns:xm="http://schemas.microsoft.com/office/excel/2006/main">
          <x14:cfRule type="expression" priority="4092" id="{089B1A5E-D6F8-4926-BCCD-A2B7E5A02655}">
            <xm:f>$Z$8='Assessment Details'!$Q$23</xm:f>
            <x14:dxf>
              <font>
                <color theme="0"/>
              </font>
              <fill>
                <patternFill>
                  <bgColor theme="0"/>
                </patternFill>
              </fill>
            </x14:dxf>
          </x14:cfRule>
          <xm:sqref>X253:Y253</xm:sqref>
        </x14:conditionalFormatting>
        <x14:conditionalFormatting xmlns:xm="http://schemas.microsoft.com/office/excel/2006/main">
          <x14:cfRule type="expression" priority="4091" id="{2E73FD9D-0124-4E9A-BBF1-07A3CE176EEC}">
            <xm:f>$Z$8='Assessment Details'!$Q$23</xm:f>
            <x14:dxf>
              <border>
                <left style="thin">
                  <color theme="0"/>
                </left>
                <right style="thin">
                  <color theme="0"/>
                </right>
                <top style="thin">
                  <color theme="0"/>
                </top>
                <bottom style="thin">
                  <color theme="0"/>
                </bottom>
                <vertical/>
                <horizontal/>
              </border>
            </x14:dxf>
          </x14:cfRule>
          <xm:sqref>X253:Y253</xm:sqref>
        </x14:conditionalFormatting>
        <x14:conditionalFormatting xmlns:xm="http://schemas.microsoft.com/office/excel/2006/main">
          <x14:cfRule type="expression" priority="4077" id="{3E1A5667-438E-4E2D-A819-A6E789848E50}">
            <xm:f>$Z$8='Assessment Details'!$Q$23</xm:f>
            <x14:dxf>
              <font>
                <color theme="0"/>
              </font>
              <fill>
                <patternFill>
                  <bgColor theme="0"/>
                </patternFill>
              </fill>
            </x14:dxf>
          </x14:cfRule>
          <xm:sqref>U253:W253</xm:sqref>
        </x14:conditionalFormatting>
        <x14:conditionalFormatting xmlns:xm="http://schemas.microsoft.com/office/excel/2006/main">
          <x14:cfRule type="expression" priority="4076" id="{548FE308-7257-4041-A67A-44E3146350BC}">
            <xm:f>$Z$8='Assessment Details'!$Q$23</xm:f>
            <x14:dxf>
              <border>
                <left style="thin">
                  <color theme="0"/>
                </left>
                <right style="thin">
                  <color theme="0"/>
                </right>
                <top style="thin">
                  <color theme="0"/>
                </top>
                <bottom style="thin">
                  <color theme="0"/>
                </bottom>
                <vertical/>
                <horizontal/>
              </border>
            </x14:dxf>
          </x14:cfRule>
          <xm:sqref>U253:W253</xm:sqref>
        </x14:conditionalFormatting>
        <x14:conditionalFormatting xmlns:xm="http://schemas.microsoft.com/office/excel/2006/main">
          <x14:cfRule type="expression" priority="4058" id="{40A6C918-0285-4793-B4C0-2A0509B70D59}">
            <xm:f>$Z$8='Assessment Details'!$Q$23</xm:f>
            <x14:dxf>
              <font>
                <color theme="0"/>
              </font>
              <fill>
                <patternFill>
                  <bgColor theme="0"/>
                </patternFill>
              </fill>
            </x14:dxf>
          </x14:cfRule>
          <xm:sqref>X260:Y260</xm:sqref>
        </x14:conditionalFormatting>
        <x14:conditionalFormatting xmlns:xm="http://schemas.microsoft.com/office/excel/2006/main">
          <x14:cfRule type="expression" priority="4057" id="{8030EB4F-35E3-4365-929E-A938099568DB}">
            <xm:f>$Z$8='Assessment Details'!$Q$23</xm:f>
            <x14:dxf>
              <border>
                <left style="thin">
                  <color theme="0"/>
                </left>
                <right style="thin">
                  <color theme="0"/>
                </right>
                <top style="thin">
                  <color theme="0"/>
                </top>
                <bottom style="thin">
                  <color theme="0"/>
                </bottom>
                <vertical/>
                <horizontal/>
              </border>
            </x14:dxf>
          </x14:cfRule>
          <xm:sqref>X260:Y260</xm:sqref>
        </x14:conditionalFormatting>
        <x14:conditionalFormatting xmlns:xm="http://schemas.microsoft.com/office/excel/2006/main">
          <x14:cfRule type="expression" priority="4038" id="{70461200-1D86-4E38-AFA9-416F4C9719C2}">
            <xm:f>$Z$8='Assessment Details'!$Q$23</xm:f>
            <x14:dxf>
              <font>
                <color theme="0"/>
              </font>
              <fill>
                <patternFill>
                  <bgColor theme="0"/>
                </patternFill>
              </fill>
            </x14:dxf>
          </x14:cfRule>
          <xm:sqref>U260:W260</xm:sqref>
        </x14:conditionalFormatting>
        <x14:conditionalFormatting xmlns:xm="http://schemas.microsoft.com/office/excel/2006/main">
          <x14:cfRule type="expression" priority="4037" id="{3254B1F7-7614-4BEA-A0E0-0BC3006B01C7}">
            <xm:f>$Z$8='Assessment Details'!$Q$23</xm:f>
            <x14:dxf>
              <border>
                <left style="thin">
                  <color theme="0"/>
                </left>
                <right style="thin">
                  <color theme="0"/>
                </right>
                <top style="thin">
                  <color theme="0"/>
                </top>
                <bottom style="thin">
                  <color theme="0"/>
                </bottom>
                <vertical/>
                <horizontal/>
              </border>
            </x14:dxf>
          </x14:cfRule>
          <xm:sqref>U260:W260</xm:sqref>
        </x14:conditionalFormatting>
        <x14:conditionalFormatting xmlns:xm="http://schemas.microsoft.com/office/excel/2006/main">
          <x14:cfRule type="expression" priority="4025" id="{D6A69441-03E9-4327-8284-0BDA0464EEB2}">
            <xm:f>$Z$8='Assessment Details'!$Q$23</xm:f>
            <x14:dxf>
              <font>
                <color theme="0"/>
              </font>
              <fill>
                <patternFill>
                  <bgColor theme="0"/>
                </patternFill>
              </fill>
            </x14:dxf>
          </x14:cfRule>
          <xm:sqref>X255:Y255</xm:sqref>
        </x14:conditionalFormatting>
        <x14:conditionalFormatting xmlns:xm="http://schemas.microsoft.com/office/excel/2006/main">
          <x14:cfRule type="expression" priority="4024" id="{BAD3BC7F-0FB0-48CA-B45D-D3FDD9803F43}">
            <xm:f>$Z$8='Assessment Details'!$Q$23</xm:f>
            <x14:dxf>
              <border>
                <left style="thin">
                  <color theme="0"/>
                </left>
                <right style="thin">
                  <color theme="0"/>
                </right>
                <top style="thin">
                  <color theme="0"/>
                </top>
                <bottom style="thin">
                  <color theme="0"/>
                </bottom>
                <vertical/>
                <horizontal/>
              </border>
            </x14:dxf>
          </x14:cfRule>
          <xm:sqref>X255:Y255</xm:sqref>
        </x14:conditionalFormatting>
        <x14:conditionalFormatting xmlns:xm="http://schemas.microsoft.com/office/excel/2006/main">
          <x14:cfRule type="expression" priority="4013" id="{05CD3DBD-1D3C-47C4-979A-3B6551DB1F7B}">
            <xm:f>$Z$8='Assessment Details'!$Q$23</xm:f>
            <x14:dxf>
              <font>
                <color theme="0"/>
              </font>
              <fill>
                <patternFill>
                  <bgColor theme="0"/>
                </patternFill>
              </fill>
            </x14:dxf>
          </x14:cfRule>
          <xm:sqref>U255:W255</xm:sqref>
        </x14:conditionalFormatting>
        <x14:conditionalFormatting xmlns:xm="http://schemas.microsoft.com/office/excel/2006/main">
          <x14:cfRule type="expression" priority="4012" id="{E2809547-3D6A-400D-A44D-0B08F3FA074E}">
            <xm:f>$Z$8='Assessment Details'!$Q$23</xm:f>
            <x14:dxf>
              <border>
                <left style="thin">
                  <color theme="0"/>
                </left>
                <right style="thin">
                  <color theme="0"/>
                </right>
                <top style="thin">
                  <color theme="0"/>
                </top>
                <bottom style="thin">
                  <color theme="0"/>
                </bottom>
                <vertical/>
                <horizontal/>
              </border>
            </x14:dxf>
          </x14:cfRule>
          <xm:sqref>U255:W255</xm:sqref>
        </x14:conditionalFormatting>
        <x14:conditionalFormatting xmlns:xm="http://schemas.microsoft.com/office/excel/2006/main">
          <x14:cfRule type="expression" priority="3991" id="{399F52E0-54B9-42D8-B324-B9E504AB42A4}">
            <xm:f>$Z$8='Assessment Details'!$Q$23</xm:f>
            <x14:dxf>
              <font>
                <color theme="0"/>
              </font>
              <fill>
                <patternFill>
                  <bgColor theme="0"/>
                </patternFill>
              </fill>
            </x14:dxf>
          </x14:cfRule>
          <xm:sqref>U258:Y258</xm:sqref>
        </x14:conditionalFormatting>
        <x14:conditionalFormatting xmlns:xm="http://schemas.microsoft.com/office/excel/2006/main">
          <x14:cfRule type="expression" priority="3990" id="{AF88DC5A-E5BA-44F0-AA24-E74C2F4C750A}">
            <xm:f>$Z$8='Assessment Details'!$Q$23</xm:f>
            <x14:dxf>
              <border>
                <left style="thin">
                  <color theme="0"/>
                </left>
                <right style="thin">
                  <color theme="0"/>
                </right>
                <top style="thin">
                  <color theme="0"/>
                </top>
                <bottom style="thin">
                  <color theme="0"/>
                </bottom>
                <vertical/>
                <horizontal/>
              </border>
            </x14:dxf>
          </x14:cfRule>
          <xm:sqref>U258:Y258</xm:sqref>
        </x14:conditionalFormatting>
        <x14:conditionalFormatting xmlns:xm="http://schemas.microsoft.com/office/excel/2006/main">
          <x14:cfRule type="expression" priority="3969" id="{8171F4EA-E567-40FF-BC0B-6FCFBEC7F2DA}">
            <xm:f>$Z$8='Assessment Details'!$Q$23</xm:f>
            <x14:dxf>
              <font>
                <color theme="0"/>
              </font>
              <fill>
                <patternFill>
                  <bgColor theme="0"/>
                </patternFill>
              </fill>
            </x14:dxf>
          </x14:cfRule>
          <xm:sqref>U259:Y259</xm:sqref>
        </x14:conditionalFormatting>
        <x14:conditionalFormatting xmlns:xm="http://schemas.microsoft.com/office/excel/2006/main">
          <x14:cfRule type="expression" priority="3968" id="{666DDFF4-B863-47FE-ABF9-E2EE77E7729D}">
            <xm:f>$Z$8='Assessment Details'!$Q$23</xm:f>
            <x14:dxf>
              <border>
                <left style="thin">
                  <color theme="0"/>
                </left>
                <right style="thin">
                  <color theme="0"/>
                </right>
                <top style="thin">
                  <color theme="0"/>
                </top>
                <bottom style="thin">
                  <color theme="0"/>
                </bottom>
                <vertical/>
                <horizontal/>
              </border>
            </x14:dxf>
          </x14:cfRule>
          <xm:sqref>U259:Y259</xm:sqref>
        </x14:conditionalFormatting>
        <x14:conditionalFormatting xmlns:xm="http://schemas.microsoft.com/office/excel/2006/main">
          <x14:cfRule type="expression" priority="2865" id="{80841CB3-12D6-444D-9765-69377C98ED5F}">
            <xm:f>$S$8='Assessment Details'!$Q$23</xm:f>
            <x14:dxf>
              <font>
                <color theme="0"/>
              </font>
              <fill>
                <patternFill>
                  <bgColor theme="0"/>
                </patternFill>
              </fill>
              <border>
                <vertical/>
                <horizontal/>
              </border>
            </x14:dxf>
          </x14:cfRule>
          <xm:sqref>Q123:R123</xm:sqref>
        </x14:conditionalFormatting>
        <x14:conditionalFormatting xmlns:xm="http://schemas.microsoft.com/office/excel/2006/main">
          <x14:cfRule type="expression" priority="2864" id="{D2A6FA7D-D45E-40B6-94FC-90EE7AF965AF}">
            <xm:f>$S$8='Assessment Details'!$Q$23</xm:f>
            <x14:dxf>
              <border>
                <left style="thin">
                  <color theme="0"/>
                </left>
                <right style="thin">
                  <color theme="0"/>
                </right>
                <top style="thin">
                  <color theme="0"/>
                </top>
                <bottom style="thin">
                  <color theme="0"/>
                </bottom>
                <vertical/>
                <horizontal/>
              </border>
            </x14:dxf>
          </x14:cfRule>
          <xm:sqref>Q123:R123</xm:sqref>
        </x14:conditionalFormatting>
        <x14:conditionalFormatting xmlns:xm="http://schemas.microsoft.com/office/excel/2006/main">
          <x14:cfRule type="expression" priority="3743" id="{E7CFFBBB-3569-40FC-B86F-169605FB321A}">
            <xm:f>$Z$8='Assessment Details'!$Q$23</xm:f>
            <x14:dxf>
              <font>
                <color theme="0"/>
              </font>
              <fill>
                <patternFill>
                  <bgColor theme="0"/>
                </patternFill>
              </fill>
            </x14:dxf>
          </x14:cfRule>
          <xm:sqref>X248:Y248</xm:sqref>
        </x14:conditionalFormatting>
        <x14:conditionalFormatting xmlns:xm="http://schemas.microsoft.com/office/excel/2006/main">
          <x14:cfRule type="expression" priority="3742" id="{8A0C0AF9-9023-4533-9251-9341D84C35AF}">
            <xm:f>$Z$8='Assessment Details'!$Q$23</xm:f>
            <x14:dxf>
              <border>
                <left style="thin">
                  <color theme="0"/>
                </left>
                <right style="thin">
                  <color theme="0"/>
                </right>
                <top style="thin">
                  <color theme="0"/>
                </top>
                <bottom style="thin">
                  <color theme="0"/>
                </bottom>
                <vertical/>
                <horizontal/>
              </border>
            </x14:dxf>
          </x14:cfRule>
          <xm:sqref>X248:Y248</xm:sqref>
        </x14:conditionalFormatting>
        <x14:conditionalFormatting xmlns:xm="http://schemas.microsoft.com/office/excel/2006/main">
          <x14:cfRule type="expression" priority="3736" id="{0DCA768C-2245-43CB-B02B-B6C8672CA3A2}">
            <xm:f>$S$8='Assessment Details'!$Q$23</xm:f>
            <x14:dxf>
              <font>
                <color theme="0"/>
              </font>
              <fill>
                <patternFill>
                  <bgColor theme="0"/>
                </patternFill>
              </fill>
              <border>
                <vertical/>
                <horizontal/>
              </border>
            </x14:dxf>
          </x14:cfRule>
          <xm:sqref>N248:R248</xm:sqref>
        </x14:conditionalFormatting>
        <x14:conditionalFormatting xmlns:xm="http://schemas.microsoft.com/office/excel/2006/main">
          <x14:cfRule type="expression" priority="3735" id="{7E49C1AA-37D9-4981-8ADB-7C269B2ECAE3}">
            <xm:f>$S$8='Assessment Details'!$Q$23</xm:f>
            <x14:dxf>
              <border>
                <left style="thin">
                  <color theme="0"/>
                </left>
                <right style="thin">
                  <color theme="0"/>
                </right>
                <top style="thin">
                  <color theme="0"/>
                </top>
                <bottom style="thin">
                  <color theme="0"/>
                </bottom>
                <vertical/>
                <horizontal/>
              </border>
            </x14:dxf>
          </x14:cfRule>
          <xm:sqref>N248:R248</xm:sqref>
        </x14:conditionalFormatting>
        <x14:conditionalFormatting xmlns:xm="http://schemas.microsoft.com/office/excel/2006/main">
          <x14:cfRule type="expression" priority="3734" id="{77D1E0B0-30DF-4C79-9789-3D9EF437F938}">
            <xm:f>$Z$8='Assessment Details'!$Q$23</xm:f>
            <x14:dxf>
              <font>
                <color theme="0"/>
              </font>
              <fill>
                <patternFill>
                  <bgColor theme="0"/>
                </patternFill>
              </fill>
            </x14:dxf>
          </x14:cfRule>
          <xm:sqref>U248:W248</xm:sqref>
        </x14:conditionalFormatting>
        <x14:conditionalFormatting xmlns:xm="http://schemas.microsoft.com/office/excel/2006/main">
          <x14:cfRule type="expression" priority="3733" id="{3612A464-E812-4286-B9F5-C19F3242B82C}">
            <xm:f>$Z$8='Assessment Details'!$Q$23</xm:f>
            <x14:dxf>
              <border>
                <left style="thin">
                  <color theme="0"/>
                </left>
                <right style="thin">
                  <color theme="0"/>
                </right>
                <top style="thin">
                  <color theme="0"/>
                </top>
                <bottom style="thin">
                  <color theme="0"/>
                </bottom>
                <vertical/>
                <horizontal/>
              </border>
            </x14:dxf>
          </x14:cfRule>
          <xm:sqref>U248:W248</xm:sqref>
        </x14:conditionalFormatting>
        <x14:conditionalFormatting xmlns:xm="http://schemas.microsoft.com/office/excel/2006/main">
          <x14:cfRule type="expression" priority="3731" id="{B4E5A23B-2AC0-4018-8372-E7EB8F6F5B77}">
            <xm:f>$F$249='Assessment Details'!$O$61</xm:f>
            <x14:dxf>
              <font>
                <color theme="0" tint="-0.14996795556505021"/>
              </font>
              <fill>
                <patternFill>
                  <bgColor theme="0" tint="-0.14996795556505021"/>
                </patternFill>
              </fill>
            </x14:dxf>
          </x14:cfRule>
          <xm:sqref>G249:L249 N249:S249 U249:Z249</xm:sqref>
        </x14:conditionalFormatting>
        <x14:conditionalFormatting xmlns:xm="http://schemas.microsoft.com/office/excel/2006/main">
          <x14:cfRule type="expression" priority="3689" id="{B2A039A1-D851-4728-8BCC-C7A2C4697CC8}">
            <xm:f>$S$8='Assessment Details'!$Q$23</xm:f>
            <x14:dxf>
              <font>
                <color theme="0"/>
              </font>
              <fill>
                <patternFill>
                  <bgColor theme="0"/>
                </patternFill>
              </fill>
              <border>
                <vertical/>
                <horizontal/>
              </border>
            </x14:dxf>
          </x14:cfRule>
          <xm:sqref>N16</xm:sqref>
        </x14:conditionalFormatting>
        <x14:conditionalFormatting xmlns:xm="http://schemas.microsoft.com/office/excel/2006/main">
          <x14:cfRule type="expression" priority="3688" id="{1D0E6FE4-8490-4A67-82D9-62018F5C6FBC}">
            <xm:f>$S$8='Assessment Details'!$Q$23</xm:f>
            <x14:dxf>
              <border>
                <left style="thin">
                  <color theme="0"/>
                </left>
                <right style="thin">
                  <color theme="0"/>
                </right>
                <top style="thin">
                  <color theme="0"/>
                </top>
                <bottom style="thin">
                  <color theme="0"/>
                </bottom>
                <vertical/>
                <horizontal/>
              </border>
            </x14:dxf>
          </x14:cfRule>
          <xm:sqref>N16</xm:sqref>
        </x14:conditionalFormatting>
        <x14:conditionalFormatting xmlns:xm="http://schemas.microsoft.com/office/excel/2006/main">
          <x14:cfRule type="expression" priority="3687" id="{A8F52E86-B17B-4813-BACC-90329C5333C7}">
            <xm:f>$Z$8='Assessment Details'!$Q$23</xm:f>
            <x14:dxf>
              <font>
                <color theme="0"/>
              </font>
              <fill>
                <patternFill>
                  <bgColor theme="0"/>
                </patternFill>
              </fill>
            </x14:dxf>
          </x14:cfRule>
          <xm:sqref>X16:Y16</xm:sqref>
        </x14:conditionalFormatting>
        <x14:conditionalFormatting xmlns:xm="http://schemas.microsoft.com/office/excel/2006/main">
          <x14:cfRule type="expression" priority="3686" id="{C924779E-9290-4A27-B28A-4C2853714569}">
            <xm:f>$Z$8='Assessment Details'!$Q$23</xm:f>
            <x14:dxf>
              <border>
                <left style="thin">
                  <color theme="0"/>
                </left>
                <right style="thin">
                  <color theme="0"/>
                </right>
                <top style="thin">
                  <color theme="0"/>
                </top>
                <bottom style="thin">
                  <color theme="0"/>
                </bottom>
                <vertical/>
                <horizontal/>
              </border>
            </x14:dxf>
          </x14:cfRule>
          <xm:sqref>X16:Y16</xm:sqref>
        </x14:conditionalFormatting>
        <x14:conditionalFormatting xmlns:xm="http://schemas.microsoft.com/office/excel/2006/main">
          <x14:cfRule type="expression" priority="3673" id="{0975EA98-A6B0-4FB4-89FD-ABC68E857A76}">
            <xm:f>$S$8='Assessment Details'!$Q$23</xm:f>
            <x14:dxf>
              <font>
                <color theme="0"/>
              </font>
              <fill>
                <patternFill>
                  <bgColor theme="0"/>
                </patternFill>
              </fill>
              <border>
                <vertical/>
                <horizontal/>
              </border>
            </x14:dxf>
          </x14:cfRule>
          <xm:sqref>N15</xm:sqref>
        </x14:conditionalFormatting>
        <x14:conditionalFormatting xmlns:xm="http://schemas.microsoft.com/office/excel/2006/main">
          <x14:cfRule type="expression" priority="3672" id="{51B0884B-F3B3-485D-A377-BA31E4BFC38C}">
            <xm:f>$S$8='Assessment Details'!$Q$23</xm:f>
            <x14:dxf>
              <border>
                <left style="thin">
                  <color theme="0"/>
                </left>
                <right style="thin">
                  <color theme="0"/>
                </right>
                <top style="thin">
                  <color theme="0"/>
                </top>
                <bottom style="thin">
                  <color theme="0"/>
                </bottom>
                <vertical/>
                <horizontal/>
              </border>
            </x14:dxf>
          </x14:cfRule>
          <xm:sqref>N15</xm:sqref>
        </x14:conditionalFormatting>
        <x14:conditionalFormatting xmlns:xm="http://schemas.microsoft.com/office/excel/2006/main">
          <x14:cfRule type="expression" priority="3657" id="{468AF6F7-56DB-4F16-8090-E324B4BC1CB5}">
            <xm:f>$S$8='Assessment Details'!$Q$23</xm:f>
            <x14:dxf>
              <font>
                <color theme="0"/>
              </font>
              <fill>
                <patternFill>
                  <bgColor theme="0"/>
                </patternFill>
              </fill>
              <border>
                <vertical/>
                <horizontal/>
              </border>
            </x14:dxf>
          </x14:cfRule>
          <xm:sqref>N14</xm:sqref>
        </x14:conditionalFormatting>
        <x14:conditionalFormatting xmlns:xm="http://schemas.microsoft.com/office/excel/2006/main">
          <x14:cfRule type="expression" priority="3656" id="{0ED21D60-7F57-40CB-AFB5-03C0E88A0C43}">
            <xm:f>$S$8='Assessment Details'!$Q$23</xm:f>
            <x14:dxf>
              <border>
                <left style="thin">
                  <color theme="0"/>
                </left>
                <right style="thin">
                  <color theme="0"/>
                </right>
                <top style="thin">
                  <color theme="0"/>
                </top>
                <bottom style="thin">
                  <color theme="0"/>
                </bottom>
                <vertical/>
                <horizontal/>
              </border>
            </x14:dxf>
          </x14:cfRule>
          <xm:sqref>N14</xm:sqref>
        </x14:conditionalFormatting>
        <x14:conditionalFormatting xmlns:xm="http://schemas.microsoft.com/office/excel/2006/main">
          <x14:cfRule type="expression" priority="3655" id="{0ABD4199-2B67-4DF4-BEA2-9B0700098AD8}">
            <xm:f>$Z$8='Assessment Details'!$Q$23</xm:f>
            <x14:dxf>
              <font>
                <color theme="0"/>
              </font>
              <fill>
                <patternFill>
                  <bgColor theme="0"/>
                </patternFill>
              </fill>
            </x14:dxf>
          </x14:cfRule>
          <xm:sqref>X14:Y14</xm:sqref>
        </x14:conditionalFormatting>
        <x14:conditionalFormatting xmlns:xm="http://schemas.microsoft.com/office/excel/2006/main">
          <x14:cfRule type="expression" priority="3654" id="{6E943F80-0B7D-4DD0-AF45-FF5E85C0374A}">
            <xm:f>$Z$8='Assessment Details'!$Q$23</xm:f>
            <x14:dxf>
              <border>
                <left style="thin">
                  <color theme="0"/>
                </left>
                <right style="thin">
                  <color theme="0"/>
                </right>
                <top style="thin">
                  <color theme="0"/>
                </top>
                <bottom style="thin">
                  <color theme="0"/>
                </bottom>
                <vertical/>
                <horizontal/>
              </border>
            </x14:dxf>
          </x14:cfRule>
          <xm:sqref>X14:Y14</xm:sqref>
        </x14:conditionalFormatting>
        <x14:conditionalFormatting xmlns:xm="http://schemas.microsoft.com/office/excel/2006/main">
          <x14:cfRule type="expression" priority="3641" id="{14597087-9990-434C-ABBB-77168106030A}">
            <xm:f>$S$8='Assessment Details'!$Q$23</xm:f>
            <x14:dxf>
              <font>
                <color theme="0"/>
              </font>
              <fill>
                <patternFill>
                  <bgColor theme="0"/>
                </patternFill>
              </fill>
              <border>
                <vertical/>
                <horizontal/>
              </border>
            </x14:dxf>
          </x14:cfRule>
          <xm:sqref>N13</xm:sqref>
        </x14:conditionalFormatting>
        <x14:conditionalFormatting xmlns:xm="http://schemas.microsoft.com/office/excel/2006/main">
          <x14:cfRule type="expression" priority="3640" id="{3F81F4DE-432F-45BF-B35D-477F2CEC5F77}">
            <xm:f>$S$8='Assessment Details'!$Q$23</xm:f>
            <x14:dxf>
              <border>
                <left style="thin">
                  <color theme="0"/>
                </left>
                <right style="thin">
                  <color theme="0"/>
                </right>
                <top style="thin">
                  <color theme="0"/>
                </top>
                <bottom style="thin">
                  <color theme="0"/>
                </bottom>
                <vertical/>
                <horizontal/>
              </border>
            </x14:dxf>
          </x14:cfRule>
          <xm:sqref>N13</xm:sqref>
        </x14:conditionalFormatting>
        <x14:conditionalFormatting xmlns:xm="http://schemas.microsoft.com/office/excel/2006/main">
          <x14:cfRule type="expression" priority="3639" id="{0691244B-CCBF-4F9B-B010-682E899A44C9}">
            <xm:f>$Z$8='Assessment Details'!$Q$23</xm:f>
            <x14:dxf>
              <font>
                <color theme="0"/>
              </font>
              <fill>
                <patternFill>
                  <bgColor theme="0"/>
                </patternFill>
              </fill>
            </x14:dxf>
          </x14:cfRule>
          <xm:sqref>X13:Y13</xm:sqref>
        </x14:conditionalFormatting>
        <x14:conditionalFormatting xmlns:xm="http://schemas.microsoft.com/office/excel/2006/main">
          <x14:cfRule type="expression" priority="3638" id="{49F6A36B-037D-4ED3-A4E3-CE2698BA69BB}">
            <xm:f>$Z$8='Assessment Details'!$Q$23</xm:f>
            <x14:dxf>
              <border>
                <left style="thin">
                  <color theme="0"/>
                </left>
                <right style="thin">
                  <color theme="0"/>
                </right>
                <top style="thin">
                  <color theme="0"/>
                </top>
                <bottom style="thin">
                  <color theme="0"/>
                </bottom>
                <vertical/>
                <horizontal/>
              </border>
            </x14:dxf>
          </x14:cfRule>
          <xm:sqref>X13:Y13</xm:sqref>
        </x14:conditionalFormatting>
        <x14:conditionalFormatting xmlns:xm="http://schemas.microsoft.com/office/excel/2006/main">
          <x14:cfRule type="expression" priority="3625" id="{EE1182E8-19AC-462C-9F32-CDAAC6DB7DB9}">
            <xm:f>$S$8='Assessment Details'!$Q$23</xm:f>
            <x14:dxf>
              <font>
                <color theme="0"/>
              </font>
              <fill>
                <patternFill>
                  <bgColor theme="0"/>
                </patternFill>
              </fill>
              <border>
                <vertical/>
                <horizontal/>
              </border>
            </x14:dxf>
          </x14:cfRule>
          <xm:sqref>N12</xm:sqref>
        </x14:conditionalFormatting>
        <x14:conditionalFormatting xmlns:xm="http://schemas.microsoft.com/office/excel/2006/main">
          <x14:cfRule type="expression" priority="3624" id="{FEEA52F8-97DF-4F8A-B310-885F91244739}">
            <xm:f>$S$8='Assessment Details'!$Q$23</xm:f>
            <x14:dxf>
              <border>
                <left style="thin">
                  <color theme="0"/>
                </left>
                <right style="thin">
                  <color theme="0"/>
                </right>
                <top style="thin">
                  <color theme="0"/>
                </top>
                <bottom style="thin">
                  <color theme="0"/>
                </bottom>
                <vertical/>
                <horizontal/>
              </border>
            </x14:dxf>
          </x14:cfRule>
          <xm:sqref>N12</xm:sqref>
        </x14:conditionalFormatting>
        <x14:conditionalFormatting xmlns:xm="http://schemas.microsoft.com/office/excel/2006/main">
          <x14:cfRule type="expression" priority="3623" id="{0500ED55-14FD-4D75-812A-4C6E977937E3}">
            <xm:f>$Z$8='Assessment Details'!$Q$23</xm:f>
            <x14:dxf>
              <font>
                <color theme="0"/>
              </font>
              <fill>
                <patternFill>
                  <bgColor theme="0"/>
                </patternFill>
              </fill>
            </x14:dxf>
          </x14:cfRule>
          <xm:sqref>X12:Y12</xm:sqref>
        </x14:conditionalFormatting>
        <x14:conditionalFormatting xmlns:xm="http://schemas.microsoft.com/office/excel/2006/main">
          <x14:cfRule type="expression" priority="3622" id="{02F69B67-FF1F-407F-A6A5-392A24E088D4}">
            <xm:f>$Z$8='Assessment Details'!$Q$23</xm:f>
            <x14:dxf>
              <border>
                <left style="thin">
                  <color theme="0"/>
                </left>
                <right style="thin">
                  <color theme="0"/>
                </right>
                <top style="thin">
                  <color theme="0"/>
                </top>
                <bottom style="thin">
                  <color theme="0"/>
                </bottom>
                <vertical/>
                <horizontal/>
              </border>
            </x14:dxf>
          </x14:cfRule>
          <xm:sqref>X12:Y12</xm:sqref>
        </x14:conditionalFormatting>
        <x14:conditionalFormatting xmlns:xm="http://schemas.microsoft.com/office/excel/2006/main">
          <x14:cfRule type="expression" priority="3609" id="{ED659AEB-C534-474D-BC9A-1F28BB6E03AC}">
            <xm:f>$S$8='Assessment Details'!$Q$23</xm:f>
            <x14:dxf>
              <font>
                <color theme="0"/>
              </font>
              <fill>
                <patternFill>
                  <bgColor theme="0"/>
                </patternFill>
              </fill>
              <border>
                <vertical/>
                <horizontal/>
              </border>
            </x14:dxf>
          </x14:cfRule>
          <xm:sqref>N21</xm:sqref>
        </x14:conditionalFormatting>
        <x14:conditionalFormatting xmlns:xm="http://schemas.microsoft.com/office/excel/2006/main">
          <x14:cfRule type="expression" priority="3608" id="{6B1AF7A8-920D-46C9-A14C-53B9EBB0B276}">
            <xm:f>$S$8='Assessment Details'!$Q$23</xm:f>
            <x14:dxf>
              <border>
                <left style="thin">
                  <color theme="0"/>
                </left>
                <right style="thin">
                  <color theme="0"/>
                </right>
                <top style="thin">
                  <color theme="0"/>
                </top>
                <bottom style="thin">
                  <color theme="0"/>
                </bottom>
                <vertical/>
                <horizontal/>
              </border>
            </x14:dxf>
          </x14:cfRule>
          <xm:sqref>N21</xm:sqref>
        </x14:conditionalFormatting>
        <x14:conditionalFormatting xmlns:xm="http://schemas.microsoft.com/office/excel/2006/main">
          <x14:cfRule type="expression" priority="3607" id="{4750F467-AF2B-4EE1-8D37-F8DDE10FF71D}">
            <xm:f>$Z$8='Assessment Details'!$Q$23</xm:f>
            <x14:dxf>
              <font>
                <color theme="0"/>
              </font>
              <fill>
                <patternFill>
                  <bgColor theme="0"/>
                </patternFill>
              </fill>
            </x14:dxf>
          </x14:cfRule>
          <xm:sqref>X21:Y21</xm:sqref>
        </x14:conditionalFormatting>
        <x14:conditionalFormatting xmlns:xm="http://schemas.microsoft.com/office/excel/2006/main">
          <x14:cfRule type="expression" priority="3606" id="{28B49DD8-0A54-4B53-81A1-7A75EC50BB3D}">
            <xm:f>$Z$8='Assessment Details'!$Q$23</xm:f>
            <x14:dxf>
              <border>
                <left style="thin">
                  <color theme="0"/>
                </left>
                <right style="thin">
                  <color theme="0"/>
                </right>
                <top style="thin">
                  <color theme="0"/>
                </top>
                <bottom style="thin">
                  <color theme="0"/>
                </bottom>
                <vertical/>
                <horizontal/>
              </border>
            </x14:dxf>
          </x14:cfRule>
          <xm:sqref>X21:Y21</xm:sqref>
        </x14:conditionalFormatting>
        <x14:conditionalFormatting xmlns:xm="http://schemas.microsoft.com/office/excel/2006/main">
          <x14:cfRule type="expression" priority="3593" id="{EBFD9CF1-A8AE-40AE-869A-C533AAA0878A}">
            <xm:f>$S$8='Assessment Details'!$Q$23</xm:f>
            <x14:dxf>
              <font>
                <color theme="0"/>
              </font>
              <fill>
                <patternFill>
                  <bgColor theme="0"/>
                </patternFill>
              </fill>
              <border>
                <vertical/>
                <horizontal/>
              </border>
            </x14:dxf>
          </x14:cfRule>
          <xm:sqref>N22</xm:sqref>
        </x14:conditionalFormatting>
        <x14:conditionalFormatting xmlns:xm="http://schemas.microsoft.com/office/excel/2006/main">
          <x14:cfRule type="expression" priority="3592" id="{D369C0D1-0C55-4FD5-802F-67A9FF741933}">
            <xm:f>$S$8='Assessment Details'!$Q$23</xm:f>
            <x14:dxf>
              <border>
                <left style="thin">
                  <color theme="0"/>
                </left>
                <right style="thin">
                  <color theme="0"/>
                </right>
                <top style="thin">
                  <color theme="0"/>
                </top>
                <bottom style="thin">
                  <color theme="0"/>
                </bottom>
                <vertical/>
                <horizontal/>
              </border>
            </x14:dxf>
          </x14:cfRule>
          <xm:sqref>N22</xm:sqref>
        </x14:conditionalFormatting>
        <x14:conditionalFormatting xmlns:xm="http://schemas.microsoft.com/office/excel/2006/main">
          <x14:cfRule type="expression" priority="3591" id="{E510AEC0-4C08-437C-81A1-F63E45E9612F}">
            <xm:f>$Z$8='Assessment Details'!$Q$23</xm:f>
            <x14:dxf>
              <font>
                <color theme="0"/>
              </font>
              <fill>
                <patternFill>
                  <bgColor theme="0"/>
                </patternFill>
              </fill>
            </x14:dxf>
          </x14:cfRule>
          <xm:sqref>X22:Y22</xm:sqref>
        </x14:conditionalFormatting>
        <x14:conditionalFormatting xmlns:xm="http://schemas.microsoft.com/office/excel/2006/main">
          <x14:cfRule type="expression" priority="3590" id="{D6CA72C4-0E17-486E-B4D6-79593A15E384}">
            <xm:f>$Z$8='Assessment Details'!$Q$23</xm:f>
            <x14:dxf>
              <border>
                <left style="thin">
                  <color theme="0"/>
                </left>
                <right style="thin">
                  <color theme="0"/>
                </right>
                <top style="thin">
                  <color theme="0"/>
                </top>
                <bottom style="thin">
                  <color theme="0"/>
                </bottom>
                <vertical/>
                <horizontal/>
              </border>
            </x14:dxf>
          </x14:cfRule>
          <xm:sqref>X22:Y22</xm:sqref>
        </x14:conditionalFormatting>
        <x14:conditionalFormatting xmlns:xm="http://schemas.microsoft.com/office/excel/2006/main">
          <x14:cfRule type="expression" priority="3577" id="{30CFD794-A9D0-4919-8423-A687917A2B42}">
            <xm:f>$S$8='Assessment Details'!$Q$23</xm:f>
            <x14:dxf>
              <font>
                <color theme="0"/>
              </font>
              <fill>
                <patternFill>
                  <bgColor theme="0"/>
                </patternFill>
              </fill>
              <border>
                <vertical/>
                <horizontal/>
              </border>
            </x14:dxf>
          </x14:cfRule>
          <xm:sqref>N23</xm:sqref>
        </x14:conditionalFormatting>
        <x14:conditionalFormatting xmlns:xm="http://schemas.microsoft.com/office/excel/2006/main">
          <x14:cfRule type="expression" priority="3576" id="{B46BFA8D-A9DA-4239-8CDD-89052E852517}">
            <xm:f>$S$8='Assessment Details'!$Q$23</xm:f>
            <x14:dxf>
              <border>
                <left style="thin">
                  <color theme="0"/>
                </left>
                <right style="thin">
                  <color theme="0"/>
                </right>
                <top style="thin">
                  <color theme="0"/>
                </top>
                <bottom style="thin">
                  <color theme="0"/>
                </bottom>
                <vertical/>
                <horizontal/>
              </border>
            </x14:dxf>
          </x14:cfRule>
          <xm:sqref>N23</xm:sqref>
        </x14:conditionalFormatting>
        <x14:conditionalFormatting xmlns:xm="http://schemas.microsoft.com/office/excel/2006/main">
          <x14:cfRule type="expression" priority="3575" id="{289670E2-FB01-44CB-AE51-853232CF8DF5}">
            <xm:f>$Z$8='Assessment Details'!$Q$23</xm:f>
            <x14:dxf>
              <font>
                <color theme="0"/>
              </font>
              <fill>
                <patternFill>
                  <bgColor theme="0"/>
                </patternFill>
              </fill>
            </x14:dxf>
          </x14:cfRule>
          <xm:sqref>X23:Y23</xm:sqref>
        </x14:conditionalFormatting>
        <x14:conditionalFormatting xmlns:xm="http://schemas.microsoft.com/office/excel/2006/main">
          <x14:cfRule type="expression" priority="3574" id="{EC73C7D2-DB83-4C5E-82C8-E40AF24836A7}">
            <xm:f>$Z$8='Assessment Details'!$Q$23</xm:f>
            <x14:dxf>
              <border>
                <left style="thin">
                  <color theme="0"/>
                </left>
                <right style="thin">
                  <color theme="0"/>
                </right>
                <top style="thin">
                  <color theme="0"/>
                </top>
                <bottom style="thin">
                  <color theme="0"/>
                </bottom>
                <vertical/>
                <horizontal/>
              </border>
            </x14:dxf>
          </x14:cfRule>
          <xm:sqref>X23:Y23</xm:sqref>
        </x14:conditionalFormatting>
        <x14:conditionalFormatting xmlns:xm="http://schemas.microsoft.com/office/excel/2006/main">
          <x14:cfRule type="expression" priority="3561" id="{5739EE40-DC4D-4F29-811B-29CD63AB73ED}">
            <xm:f>$S$8='Assessment Details'!$Q$23</xm:f>
            <x14:dxf>
              <font>
                <color theme="0"/>
              </font>
              <fill>
                <patternFill>
                  <bgColor theme="0"/>
                </patternFill>
              </fill>
              <border>
                <vertical/>
                <horizontal/>
              </border>
            </x14:dxf>
          </x14:cfRule>
          <xm:sqref>N24</xm:sqref>
        </x14:conditionalFormatting>
        <x14:conditionalFormatting xmlns:xm="http://schemas.microsoft.com/office/excel/2006/main">
          <x14:cfRule type="expression" priority="3560" id="{59AEA59F-EAFF-47AE-B1EB-2753249AF74D}">
            <xm:f>$S$8='Assessment Details'!$Q$23</xm:f>
            <x14:dxf>
              <border>
                <left style="thin">
                  <color theme="0"/>
                </left>
                <right style="thin">
                  <color theme="0"/>
                </right>
                <top style="thin">
                  <color theme="0"/>
                </top>
                <bottom style="thin">
                  <color theme="0"/>
                </bottom>
                <vertical/>
                <horizontal/>
              </border>
            </x14:dxf>
          </x14:cfRule>
          <xm:sqref>N24</xm:sqref>
        </x14:conditionalFormatting>
        <x14:conditionalFormatting xmlns:xm="http://schemas.microsoft.com/office/excel/2006/main">
          <x14:cfRule type="expression" priority="3559" id="{D0BA127D-AF9A-4A10-B700-936AFCA8D241}">
            <xm:f>$Z$8='Assessment Details'!$Q$23</xm:f>
            <x14:dxf>
              <font>
                <color theme="0"/>
              </font>
              <fill>
                <patternFill>
                  <bgColor theme="0"/>
                </patternFill>
              </fill>
            </x14:dxf>
          </x14:cfRule>
          <xm:sqref>X24:Y24</xm:sqref>
        </x14:conditionalFormatting>
        <x14:conditionalFormatting xmlns:xm="http://schemas.microsoft.com/office/excel/2006/main">
          <x14:cfRule type="expression" priority="3558" id="{6E44C845-F000-41B3-A695-00FFD6DEAA00}">
            <xm:f>$Z$8='Assessment Details'!$Q$23</xm:f>
            <x14:dxf>
              <border>
                <left style="thin">
                  <color theme="0"/>
                </left>
                <right style="thin">
                  <color theme="0"/>
                </right>
                <top style="thin">
                  <color theme="0"/>
                </top>
                <bottom style="thin">
                  <color theme="0"/>
                </bottom>
                <vertical/>
                <horizontal/>
              </border>
            </x14:dxf>
          </x14:cfRule>
          <xm:sqref>X24:Y24</xm:sqref>
        </x14:conditionalFormatting>
        <x14:conditionalFormatting xmlns:xm="http://schemas.microsoft.com/office/excel/2006/main">
          <x14:cfRule type="expression" priority="3545" id="{62720286-3142-45D6-B0CC-B2A9ABEB7FB2}">
            <xm:f>$S$8='Assessment Details'!$Q$23</xm:f>
            <x14:dxf>
              <font>
                <color theme="0"/>
              </font>
              <fill>
                <patternFill>
                  <bgColor theme="0"/>
                </patternFill>
              </fill>
              <border>
                <vertical/>
                <horizontal/>
              </border>
            </x14:dxf>
          </x14:cfRule>
          <xm:sqref>N28</xm:sqref>
        </x14:conditionalFormatting>
        <x14:conditionalFormatting xmlns:xm="http://schemas.microsoft.com/office/excel/2006/main">
          <x14:cfRule type="expression" priority="3544" id="{7D5AD448-4A98-4EFA-9537-3661F1DC69EF}">
            <xm:f>$S$8='Assessment Details'!$Q$23</xm:f>
            <x14:dxf>
              <border>
                <left style="thin">
                  <color theme="0"/>
                </left>
                <right style="thin">
                  <color theme="0"/>
                </right>
                <top style="thin">
                  <color theme="0"/>
                </top>
                <bottom style="thin">
                  <color theme="0"/>
                </bottom>
                <vertical/>
                <horizontal/>
              </border>
            </x14:dxf>
          </x14:cfRule>
          <xm:sqref>N28</xm:sqref>
        </x14:conditionalFormatting>
        <x14:conditionalFormatting xmlns:xm="http://schemas.microsoft.com/office/excel/2006/main">
          <x14:cfRule type="expression" priority="3543" id="{15868158-DE56-48A3-90CB-5E08F276B121}">
            <xm:f>$Z$8='Assessment Details'!$Q$23</xm:f>
            <x14:dxf>
              <font>
                <color theme="0"/>
              </font>
              <fill>
                <patternFill>
                  <bgColor theme="0"/>
                </patternFill>
              </fill>
            </x14:dxf>
          </x14:cfRule>
          <xm:sqref>X28:Y28</xm:sqref>
        </x14:conditionalFormatting>
        <x14:conditionalFormatting xmlns:xm="http://schemas.microsoft.com/office/excel/2006/main">
          <x14:cfRule type="expression" priority="3542" id="{95F84CDB-5690-43C7-92E5-5F0633A74D0A}">
            <xm:f>$Z$8='Assessment Details'!$Q$23</xm:f>
            <x14:dxf>
              <border>
                <left style="thin">
                  <color theme="0"/>
                </left>
                <right style="thin">
                  <color theme="0"/>
                </right>
                <top style="thin">
                  <color theme="0"/>
                </top>
                <bottom style="thin">
                  <color theme="0"/>
                </bottom>
                <vertical/>
                <horizontal/>
              </border>
            </x14:dxf>
          </x14:cfRule>
          <xm:sqref>X28:Y28</xm:sqref>
        </x14:conditionalFormatting>
        <x14:conditionalFormatting xmlns:xm="http://schemas.microsoft.com/office/excel/2006/main">
          <x14:cfRule type="expression" priority="3529" id="{AF5D9744-D435-4F7E-8BD2-7822D78E86B5}">
            <xm:f>$S$8='Assessment Details'!$Q$23</xm:f>
            <x14:dxf>
              <font>
                <color theme="0"/>
              </font>
              <fill>
                <patternFill>
                  <bgColor theme="0"/>
                </patternFill>
              </fill>
              <border>
                <vertical/>
                <horizontal/>
              </border>
            </x14:dxf>
          </x14:cfRule>
          <xm:sqref>N29</xm:sqref>
        </x14:conditionalFormatting>
        <x14:conditionalFormatting xmlns:xm="http://schemas.microsoft.com/office/excel/2006/main">
          <x14:cfRule type="expression" priority="3528" id="{BFC76992-1E49-46CC-9E29-C20E1386BD8F}">
            <xm:f>$S$8='Assessment Details'!$Q$23</xm:f>
            <x14:dxf>
              <border>
                <left style="thin">
                  <color theme="0"/>
                </left>
                <right style="thin">
                  <color theme="0"/>
                </right>
                <top style="thin">
                  <color theme="0"/>
                </top>
                <bottom style="thin">
                  <color theme="0"/>
                </bottom>
                <vertical/>
                <horizontal/>
              </border>
            </x14:dxf>
          </x14:cfRule>
          <xm:sqref>N29</xm:sqref>
        </x14:conditionalFormatting>
        <x14:conditionalFormatting xmlns:xm="http://schemas.microsoft.com/office/excel/2006/main">
          <x14:cfRule type="expression" priority="3527" id="{06AA824E-1639-46EF-A738-822BED2062DE}">
            <xm:f>$Z$8='Assessment Details'!$Q$23</xm:f>
            <x14:dxf>
              <font>
                <color theme="0"/>
              </font>
              <fill>
                <patternFill>
                  <bgColor theme="0"/>
                </patternFill>
              </fill>
            </x14:dxf>
          </x14:cfRule>
          <xm:sqref>X29:Y29</xm:sqref>
        </x14:conditionalFormatting>
        <x14:conditionalFormatting xmlns:xm="http://schemas.microsoft.com/office/excel/2006/main">
          <x14:cfRule type="expression" priority="3526" id="{091C4537-0981-45A2-903A-D06358AB1324}">
            <xm:f>$Z$8='Assessment Details'!$Q$23</xm:f>
            <x14:dxf>
              <border>
                <left style="thin">
                  <color theme="0"/>
                </left>
                <right style="thin">
                  <color theme="0"/>
                </right>
                <top style="thin">
                  <color theme="0"/>
                </top>
                <bottom style="thin">
                  <color theme="0"/>
                </bottom>
                <vertical/>
                <horizontal/>
              </border>
            </x14:dxf>
          </x14:cfRule>
          <xm:sqref>X29:Y29</xm:sqref>
        </x14:conditionalFormatting>
        <x14:conditionalFormatting xmlns:xm="http://schemas.microsoft.com/office/excel/2006/main">
          <x14:cfRule type="expression" priority="3513" id="{9E69F7EB-8E3F-40ED-B49A-5F2566E23221}">
            <xm:f>$S$8='Assessment Details'!$Q$23</xm:f>
            <x14:dxf>
              <font>
                <color theme="0"/>
              </font>
              <fill>
                <patternFill>
                  <bgColor theme="0"/>
                </patternFill>
              </fill>
              <border>
                <vertical/>
                <horizontal/>
              </border>
            </x14:dxf>
          </x14:cfRule>
          <xm:sqref>N30</xm:sqref>
        </x14:conditionalFormatting>
        <x14:conditionalFormatting xmlns:xm="http://schemas.microsoft.com/office/excel/2006/main">
          <x14:cfRule type="expression" priority="3512" id="{918BB4E2-D352-49A3-9681-A831A9DDE801}">
            <xm:f>$S$8='Assessment Details'!$Q$23</xm:f>
            <x14:dxf>
              <border>
                <left style="thin">
                  <color theme="0"/>
                </left>
                <right style="thin">
                  <color theme="0"/>
                </right>
                <top style="thin">
                  <color theme="0"/>
                </top>
                <bottom style="thin">
                  <color theme="0"/>
                </bottom>
                <vertical/>
                <horizontal/>
              </border>
            </x14:dxf>
          </x14:cfRule>
          <xm:sqref>N30</xm:sqref>
        </x14:conditionalFormatting>
        <x14:conditionalFormatting xmlns:xm="http://schemas.microsoft.com/office/excel/2006/main">
          <x14:cfRule type="expression" priority="3511" id="{017C0CD2-BFC7-4472-8A84-D25E983FAB4B}">
            <xm:f>$Z$8='Assessment Details'!$Q$23</xm:f>
            <x14:dxf>
              <font>
                <color theme="0"/>
              </font>
              <fill>
                <patternFill>
                  <bgColor theme="0"/>
                </patternFill>
              </fill>
            </x14:dxf>
          </x14:cfRule>
          <xm:sqref>X30:Y30</xm:sqref>
        </x14:conditionalFormatting>
        <x14:conditionalFormatting xmlns:xm="http://schemas.microsoft.com/office/excel/2006/main">
          <x14:cfRule type="expression" priority="3510" id="{82777833-394D-43A7-8038-B6DA34939F99}">
            <xm:f>$Z$8='Assessment Details'!$Q$23</xm:f>
            <x14:dxf>
              <border>
                <left style="thin">
                  <color theme="0"/>
                </left>
                <right style="thin">
                  <color theme="0"/>
                </right>
                <top style="thin">
                  <color theme="0"/>
                </top>
                <bottom style="thin">
                  <color theme="0"/>
                </bottom>
                <vertical/>
                <horizontal/>
              </border>
            </x14:dxf>
          </x14:cfRule>
          <xm:sqref>X30:Y30</xm:sqref>
        </x14:conditionalFormatting>
        <x14:conditionalFormatting xmlns:xm="http://schemas.microsoft.com/office/excel/2006/main">
          <x14:cfRule type="expression" priority="3497" id="{460E784F-64CF-4F2E-8193-3E2EC1124A08}">
            <xm:f>$S$8='Assessment Details'!$Q$23</xm:f>
            <x14:dxf>
              <font>
                <color theme="0"/>
              </font>
              <fill>
                <patternFill>
                  <bgColor theme="0"/>
                </patternFill>
              </fill>
              <border>
                <vertical/>
                <horizontal/>
              </border>
            </x14:dxf>
          </x14:cfRule>
          <xm:sqref>N32</xm:sqref>
        </x14:conditionalFormatting>
        <x14:conditionalFormatting xmlns:xm="http://schemas.microsoft.com/office/excel/2006/main">
          <x14:cfRule type="expression" priority="3496" id="{49600BB0-26E2-444B-B954-BA0D92B8D3FE}">
            <xm:f>$S$8='Assessment Details'!$Q$23</xm:f>
            <x14:dxf>
              <border>
                <left style="thin">
                  <color theme="0"/>
                </left>
                <right style="thin">
                  <color theme="0"/>
                </right>
                <top style="thin">
                  <color theme="0"/>
                </top>
                <bottom style="thin">
                  <color theme="0"/>
                </bottom>
                <vertical/>
                <horizontal/>
              </border>
            </x14:dxf>
          </x14:cfRule>
          <xm:sqref>N32</xm:sqref>
        </x14:conditionalFormatting>
        <x14:conditionalFormatting xmlns:xm="http://schemas.microsoft.com/office/excel/2006/main">
          <x14:cfRule type="expression" priority="3495" id="{D6870EA8-63F5-49CE-9555-4B125AD932FE}">
            <xm:f>$Z$8='Assessment Details'!$Q$23</xm:f>
            <x14:dxf>
              <font>
                <color theme="0"/>
              </font>
              <fill>
                <patternFill>
                  <bgColor theme="0"/>
                </patternFill>
              </fill>
            </x14:dxf>
          </x14:cfRule>
          <xm:sqref>X32:Y32</xm:sqref>
        </x14:conditionalFormatting>
        <x14:conditionalFormatting xmlns:xm="http://schemas.microsoft.com/office/excel/2006/main">
          <x14:cfRule type="expression" priority="3494" id="{E08A0F6E-3965-43E6-92E6-1D2AB84C93CB}">
            <xm:f>$Z$8='Assessment Details'!$Q$23</xm:f>
            <x14:dxf>
              <border>
                <left style="thin">
                  <color theme="0"/>
                </left>
                <right style="thin">
                  <color theme="0"/>
                </right>
                <top style="thin">
                  <color theme="0"/>
                </top>
                <bottom style="thin">
                  <color theme="0"/>
                </bottom>
                <vertical/>
                <horizontal/>
              </border>
            </x14:dxf>
          </x14:cfRule>
          <xm:sqref>X32:Y32</xm:sqref>
        </x14:conditionalFormatting>
        <x14:conditionalFormatting xmlns:xm="http://schemas.microsoft.com/office/excel/2006/main">
          <x14:cfRule type="expression" priority="3481" id="{38F425FC-94CD-4BB9-A180-E504232063FB}">
            <xm:f>$S$8='Assessment Details'!$Q$23</xm:f>
            <x14:dxf>
              <font>
                <color theme="0"/>
              </font>
              <fill>
                <patternFill>
                  <bgColor theme="0"/>
                </patternFill>
              </fill>
              <border>
                <vertical/>
                <horizontal/>
              </border>
            </x14:dxf>
          </x14:cfRule>
          <xm:sqref>N33</xm:sqref>
        </x14:conditionalFormatting>
        <x14:conditionalFormatting xmlns:xm="http://schemas.microsoft.com/office/excel/2006/main">
          <x14:cfRule type="expression" priority="3480" id="{6BFF1090-B4A7-4D7A-9B52-3C465FDBE6D1}">
            <xm:f>$S$8='Assessment Details'!$Q$23</xm:f>
            <x14:dxf>
              <border>
                <left style="thin">
                  <color theme="0"/>
                </left>
                <right style="thin">
                  <color theme="0"/>
                </right>
                <top style="thin">
                  <color theme="0"/>
                </top>
                <bottom style="thin">
                  <color theme="0"/>
                </bottom>
                <vertical/>
                <horizontal/>
              </border>
            </x14:dxf>
          </x14:cfRule>
          <xm:sqref>N33</xm:sqref>
        </x14:conditionalFormatting>
        <x14:conditionalFormatting xmlns:xm="http://schemas.microsoft.com/office/excel/2006/main">
          <x14:cfRule type="expression" priority="3479" id="{10F91EB4-3D6B-406D-A53C-9868780B78BF}">
            <xm:f>$Z$8='Assessment Details'!$Q$23</xm:f>
            <x14:dxf>
              <font>
                <color theme="0"/>
              </font>
              <fill>
                <patternFill>
                  <bgColor theme="0"/>
                </patternFill>
              </fill>
            </x14:dxf>
          </x14:cfRule>
          <xm:sqref>X33:Y33</xm:sqref>
        </x14:conditionalFormatting>
        <x14:conditionalFormatting xmlns:xm="http://schemas.microsoft.com/office/excel/2006/main">
          <x14:cfRule type="expression" priority="3478" id="{D97093BF-466C-4308-85C2-FDB1D1296701}">
            <xm:f>$Z$8='Assessment Details'!$Q$23</xm:f>
            <x14:dxf>
              <border>
                <left style="thin">
                  <color theme="0"/>
                </left>
                <right style="thin">
                  <color theme="0"/>
                </right>
                <top style="thin">
                  <color theme="0"/>
                </top>
                <bottom style="thin">
                  <color theme="0"/>
                </bottom>
                <vertical/>
                <horizontal/>
              </border>
            </x14:dxf>
          </x14:cfRule>
          <xm:sqref>X33:Y33</xm:sqref>
        </x14:conditionalFormatting>
        <x14:conditionalFormatting xmlns:xm="http://schemas.microsoft.com/office/excel/2006/main">
          <x14:cfRule type="expression" priority="3465" id="{9D40A64A-1A5D-47C4-85D0-414185D1DDD7}">
            <xm:f>$S$8='Assessment Details'!$Q$23</xm:f>
            <x14:dxf>
              <font>
                <color theme="0"/>
              </font>
              <fill>
                <patternFill>
                  <bgColor theme="0"/>
                </patternFill>
              </fill>
              <border>
                <vertical/>
                <horizontal/>
              </border>
            </x14:dxf>
          </x14:cfRule>
          <xm:sqref>N34</xm:sqref>
        </x14:conditionalFormatting>
        <x14:conditionalFormatting xmlns:xm="http://schemas.microsoft.com/office/excel/2006/main">
          <x14:cfRule type="expression" priority="3464" id="{17F35FEC-BD80-4030-8F69-22539DD26437}">
            <xm:f>$S$8='Assessment Details'!$Q$23</xm:f>
            <x14:dxf>
              <border>
                <left style="thin">
                  <color theme="0"/>
                </left>
                <right style="thin">
                  <color theme="0"/>
                </right>
                <top style="thin">
                  <color theme="0"/>
                </top>
                <bottom style="thin">
                  <color theme="0"/>
                </bottom>
                <vertical/>
                <horizontal/>
              </border>
            </x14:dxf>
          </x14:cfRule>
          <xm:sqref>N34</xm:sqref>
        </x14:conditionalFormatting>
        <x14:conditionalFormatting xmlns:xm="http://schemas.microsoft.com/office/excel/2006/main">
          <x14:cfRule type="expression" priority="3463" id="{56402DFA-9922-456D-8512-574F77753863}">
            <xm:f>$Z$8='Assessment Details'!$Q$23</xm:f>
            <x14:dxf>
              <font>
                <color theme="0"/>
              </font>
              <fill>
                <patternFill>
                  <bgColor theme="0"/>
                </patternFill>
              </fill>
            </x14:dxf>
          </x14:cfRule>
          <xm:sqref>X34:Y34</xm:sqref>
        </x14:conditionalFormatting>
        <x14:conditionalFormatting xmlns:xm="http://schemas.microsoft.com/office/excel/2006/main">
          <x14:cfRule type="expression" priority="3462" id="{652B0D8E-CAF5-420E-879E-68C784E00640}">
            <xm:f>$Z$8='Assessment Details'!$Q$23</xm:f>
            <x14:dxf>
              <border>
                <left style="thin">
                  <color theme="0"/>
                </left>
                <right style="thin">
                  <color theme="0"/>
                </right>
                <top style="thin">
                  <color theme="0"/>
                </top>
                <bottom style="thin">
                  <color theme="0"/>
                </bottom>
                <vertical/>
                <horizontal/>
              </border>
            </x14:dxf>
          </x14:cfRule>
          <xm:sqref>X34:Y34</xm:sqref>
        </x14:conditionalFormatting>
        <x14:conditionalFormatting xmlns:xm="http://schemas.microsoft.com/office/excel/2006/main">
          <x14:cfRule type="expression" priority="3394" id="{A51A9EE3-A346-4A7D-9CC4-6F74F48CB346}">
            <xm:f>$Z$8='Assessment Details'!$Q$23</xm:f>
            <x14:dxf>
              <font>
                <color theme="0"/>
              </font>
              <fill>
                <patternFill>
                  <bgColor theme="0"/>
                </patternFill>
              </fill>
            </x14:dxf>
          </x14:cfRule>
          <xm:sqref>U12:U14</xm:sqref>
        </x14:conditionalFormatting>
        <x14:conditionalFormatting xmlns:xm="http://schemas.microsoft.com/office/excel/2006/main">
          <x14:cfRule type="expression" priority="3393" id="{13859A7A-761F-40DE-93AE-0C3FE6143BC4}">
            <xm:f>$Z$8='Assessment Details'!$Q$23</xm:f>
            <x14:dxf>
              <border>
                <left style="thin">
                  <color theme="0"/>
                </left>
                <right style="thin">
                  <color theme="0"/>
                </right>
                <top style="thin">
                  <color theme="0"/>
                </top>
                <bottom style="thin">
                  <color theme="0"/>
                </bottom>
                <vertical/>
                <horizontal/>
              </border>
            </x14:dxf>
          </x14:cfRule>
          <xm:sqref>U12:U14</xm:sqref>
        </x14:conditionalFormatting>
        <x14:conditionalFormatting xmlns:xm="http://schemas.microsoft.com/office/excel/2006/main">
          <x14:cfRule type="expression" priority="3390" id="{9CCA7761-7168-4980-BCB9-AD04377C62A6}">
            <xm:f>$Z$8='Assessment Details'!$Q$23</xm:f>
            <x14:dxf>
              <font>
                <color theme="0"/>
              </font>
              <fill>
                <patternFill>
                  <bgColor theme="0"/>
                </patternFill>
              </fill>
            </x14:dxf>
          </x14:cfRule>
          <xm:sqref>U16</xm:sqref>
        </x14:conditionalFormatting>
        <x14:conditionalFormatting xmlns:xm="http://schemas.microsoft.com/office/excel/2006/main">
          <x14:cfRule type="expression" priority="3389" id="{B1D1F7DB-2F4A-4616-83B0-5513D932E48E}">
            <xm:f>$Z$8='Assessment Details'!$Q$23</xm:f>
            <x14:dxf>
              <border>
                <left style="thin">
                  <color theme="0"/>
                </left>
                <right style="thin">
                  <color theme="0"/>
                </right>
                <top style="thin">
                  <color theme="0"/>
                </top>
                <bottom style="thin">
                  <color theme="0"/>
                </bottom>
                <vertical/>
                <horizontal/>
              </border>
            </x14:dxf>
          </x14:cfRule>
          <xm:sqref>U16</xm:sqref>
        </x14:conditionalFormatting>
        <x14:conditionalFormatting xmlns:xm="http://schemas.microsoft.com/office/excel/2006/main">
          <x14:cfRule type="expression" priority="3386" id="{B0A2CEFF-3203-4EFC-97E6-4FD644D6FD19}">
            <xm:f>$Z$8='Assessment Details'!$Q$23</xm:f>
            <x14:dxf>
              <font>
                <color theme="0"/>
              </font>
              <fill>
                <patternFill>
                  <bgColor theme="0"/>
                </patternFill>
              </fill>
            </x14:dxf>
          </x14:cfRule>
          <xm:sqref>U18:U19</xm:sqref>
        </x14:conditionalFormatting>
        <x14:conditionalFormatting xmlns:xm="http://schemas.microsoft.com/office/excel/2006/main">
          <x14:cfRule type="expression" priority="3385" id="{ADE3DB88-2496-4BE7-BDC3-B98ACF16BED3}">
            <xm:f>$Z$8='Assessment Details'!$Q$23</xm:f>
            <x14:dxf>
              <border>
                <left style="thin">
                  <color theme="0"/>
                </left>
                <right style="thin">
                  <color theme="0"/>
                </right>
                <top style="thin">
                  <color theme="0"/>
                </top>
                <bottom style="thin">
                  <color theme="0"/>
                </bottom>
                <vertical/>
                <horizontal/>
              </border>
            </x14:dxf>
          </x14:cfRule>
          <xm:sqref>U18:U19</xm:sqref>
        </x14:conditionalFormatting>
        <x14:conditionalFormatting xmlns:xm="http://schemas.microsoft.com/office/excel/2006/main">
          <x14:cfRule type="expression" priority="3382" id="{7E6D2CFE-5AF3-4ACA-B0B1-DADF3C9267AB}">
            <xm:f>$Z$8='Assessment Details'!$Q$23</xm:f>
            <x14:dxf>
              <font>
                <color theme="0"/>
              </font>
              <fill>
                <patternFill>
                  <bgColor theme="0"/>
                </patternFill>
              </fill>
            </x14:dxf>
          </x14:cfRule>
          <xm:sqref>U21:U24</xm:sqref>
        </x14:conditionalFormatting>
        <x14:conditionalFormatting xmlns:xm="http://schemas.microsoft.com/office/excel/2006/main">
          <x14:cfRule type="expression" priority="3381" id="{CF39A711-10F3-41D6-B598-205336331052}">
            <xm:f>$Z$8='Assessment Details'!$Q$23</xm:f>
            <x14:dxf>
              <border>
                <left style="thin">
                  <color theme="0"/>
                </left>
                <right style="thin">
                  <color theme="0"/>
                </right>
                <top style="thin">
                  <color theme="0"/>
                </top>
                <bottom style="thin">
                  <color theme="0"/>
                </bottom>
                <vertical/>
                <horizontal/>
              </border>
            </x14:dxf>
          </x14:cfRule>
          <xm:sqref>U21:U24</xm:sqref>
        </x14:conditionalFormatting>
        <x14:conditionalFormatting xmlns:xm="http://schemas.microsoft.com/office/excel/2006/main">
          <x14:cfRule type="expression" priority="3378" id="{4DC1D019-7687-4557-AA3C-2EAB0E799B24}">
            <xm:f>$Z$8='Assessment Details'!$Q$23</xm:f>
            <x14:dxf>
              <font>
                <color theme="0"/>
              </font>
              <fill>
                <patternFill>
                  <bgColor theme="0"/>
                </patternFill>
              </fill>
            </x14:dxf>
          </x14:cfRule>
          <xm:sqref>U28:U30</xm:sqref>
        </x14:conditionalFormatting>
        <x14:conditionalFormatting xmlns:xm="http://schemas.microsoft.com/office/excel/2006/main">
          <x14:cfRule type="expression" priority="3377" id="{C3B9F756-BA02-4BE4-A786-0959C2B9093C}">
            <xm:f>$Z$8='Assessment Details'!$Q$23</xm:f>
            <x14:dxf>
              <border>
                <left style="thin">
                  <color theme="0"/>
                </left>
                <right style="thin">
                  <color theme="0"/>
                </right>
                <top style="thin">
                  <color theme="0"/>
                </top>
                <bottom style="thin">
                  <color theme="0"/>
                </bottom>
                <vertical/>
                <horizontal/>
              </border>
            </x14:dxf>
          </x14:cfRule>
          <xm:sqref>U28:U30</xm:sqref>
        </x14:conditionalFormatting>
        <x14:conditionalFormatting xmlns:xm="http://schemas.microsoft.com/office/excel/2006/main">
          <x14:cfRule type="expression" priority="3374" id="{9D8EAA10-831B-47F6-9880-B672D74A7B47}">
            <xm:f>$Z$8='Assessment Details'!$Q$23</xm:f>
            <x14:dxf>
              <font>
                <color theme="0"/>
              </font>
              <fill>
                <patternFill>
                  <bgColor theme="0"/>
                </patternFill>
              </fill>
            </x14:dxf>
          </x14:cfRule>
          <xm:sqref>U32:U34</xm:sqref>
        </x14:conditionalFormatting>
        <x14:conditionalFormatting xmlns:xm="http://schemas.microsoft.com/office/excel/2006/main">
          <x14:cfRule type="expression" priority="3373" id="{8D490185-C11D-4E2C-A262-0F04EC874789}">
            <xm:f>$Z$8='Assessment Details'!$Q$23</xm:f>
            <x14:dxf>
              <border>
                <left style="thin">
                  <color theme="0"/>
                </left>
                <right style="thin">
                  <color theme="0"/>
                </right>
                <top style="thin">
                  <color theme="0"/>
                </top>
                <bottom style="thin">
                  <color theme="0"/>
                </bottom>
                <vertical/>
                <horizontal/>
              </border>
            </x14:dxf>
          </x14:cfRule>
          <xm:sqref>U32:U34</xm:sqref>
        </x14:conditionalFormatting>
        <x14:conditionalFormatting xmlns:xm="http://schemas.microsoft.com/office/excel/2006/main">
          <x14:cfRule type="expression" priority="1261" id="{1157C328-2960-4AAC-B89F-17A69C6D9E95}">
            <xm:f>$Z$8='Assessment Details'!$Q$23</xm:f>
            <x14:dxf>
              <border>
                <left style="thin">
                  <color theme="0"/>
                </left>
                <right style="thin">
                  <color theme="0"/>
                </right>
                <top style="thin">
                  <color theme="0"/>
                </top>
                <bottom style="thin">
                  <color theme="0"/>
                </bottom>
                <vertical/>
                <horizontal/>
              </border>
            </x14:dxf>
          </x14:cfRule>
          <xm:sqref>U208:U209</xm:sqref>
        </x14:conditionalFormatting>
        <x14:conditionalFormatting xmlns:xm="http://schemas.microsoft.com/office/excel/2006/main">
          <x14:cfRule type="expression" priority="3359" id="{6C3AC176-5C03-43AC-B982-5A5210702F2C}">
            <xm:f>$S$8='Assessment Details'!$Q$23</xm:f>
            <x14:dxf>
              <font>
                <color theme="0"/>
              </font>
              <fill>
                <patternFill>
                  <bgColor theme="0"/>
                </patternFill>
              </fill>
              <border>
                <vertical/>
                <horizontal/>
              </border>
            </x14:dxf>
          </x14:cfRule>
          <xm:sqref>Q38:R40</xm:sqref>
        </x14:conditionalFormatting>
        <x14:conditionalFormatting xmlns:xm="http://schemas.microsoft.com/office/excel/2006/main">
          <x14:cfRule type="expression" priority="3358" id="{DDB385AE-37C4-40DB-A9DD-5D96C9F8473F}">
            <xm:f>$S$8='Assessment Details'!$Q$23</xm:f>
            <x14:dxf>
              <border>
                <left style="thin">
                  <color theme="0"/>
                </left>
                <right style="thin">
                  <color theme="0"/>
                </right>
                <top style="thin">
                  <color theme="0"/>
                </top>
                <bottom style="thin">
                  <color theme="0"/>
                </bottom>
                <vertical/>
                <horizontal/>
              </border>
            </x14:dxf>
          </x14:cfRule>
          <xm:sqref>Q38:R40</xm:sqref>
        </x14:conditionalFormatting>
        <x14:conditionalFormatting xmlns:xm="http://schemas.microsoft.com/office/excel/2006/main">
          <x14:cfRule type="expression" priority="3357" id="{922435A6-256D-41EC-B350-F35DE030C64C}">
            <xm:f>$Z$8='Assessment Details'!$Q$23</xm:f>
            <x14:dxf>
              <font>
                <color theme="0"/>
              </font>
              <fill>
                <patternFill>
                  <bgColor theme="0"/>
                </patternFill>
              </fill>
            </x14:dxf>
          </x14:cfRule>
          <xm:sqref>X38:Y40</xm:sqref>
        </x14:conditionalFormatting>
        <x14:conditionalFormatting xmlns:xm="http://schemas.microsoft.com/office/excel/2006/main">
          <x14:cfRule type="expression" priority="3356" id="{30653C29-5FEC-4020-A8A1-BF730558D507}">
            <xm:f>$Z$8='Assessment Details'!$Q$23</xm:f>
            <x14:dxf>
              <border>
                <left style="thin">
                  <color theme="0"/>
                </left>
                <right style="thin">
                  <color theme="0"/>
                </right>
                <top style="thin">
                  <color theme="0"/>
                </top>
                <bottom style="thin">
                  <color theme="0"/>
                </bottom>
                <vertical/>
                <horizontal/>
              </border>
            </x14:dxf>
          </x14:cfRule>
          <xm:sqref>X38:Y40</xm:sqref>
        </x14:conditionalFormatting>
        <x14:conditionalFormatting xmlns:xm="http://schemas.microsoft.com/office/excel/2006/main">
          <x14:cfRule type="expression" priority="3338" id="{C5FDD142-AD61-4957-894A-D69E602D3558}">
            <xm:f>$S$8='Assessment Details'!$Q$23</xm:f>
            <x14:dxf>
              <font>
                <color theme="0"/>
              </font>
              <fill>
                <patternFill>
                  <bgColor theme="0"/>
                </patternFill>
              </fill>
              <border>
                <vertical/>
                <horizontal/>
              </border>
            </x14:dxf>
          </x14:cfRule>
          <xm:sqref>Q66:R66</xm:sqref>
        </x14:conditionalFormatting>
        <x14:conditionalFormatting xmlns:xm="http://schemas.microsoft.com/office/excel/2006/main">
          <x14:cfRule type="expression" priority="3337" id="{9DB8FE42-9040-4E4E-A9EA-F4D2918927B9}">
            <xm:f>$S$8='Assessment Details'!$Q$23</xm:f>
            <x14:dxf>
              <border>
                <left style="thin">
                  <color theme="0"/>
                </left>
                <right style="thin">
                  <color theme="0"/>
                </right>
                <top style="thin">
                  <color theme="0"/>
                </top>
                <bottom style="thin">
                  <color theme="0"/>
                </bottom>
                <vertical/>
                <horizontal/>
              </border>
            </x14:dxf>
          </x14:cfRule>
          <xm:sqref>Q66:R66</xm:sqref>
        </x14:conditionalFormatting>
        <x14:conditionalFormatting xmlns:xm="http://schemas.microsoft.com/office/excel/2006/main">
          <x14:cfRule type="expression" priority="3336" id="{2CA6F8E7-D3DE-4547-8A93-31B420D3AA32}">
            <xm:f>$Z$8='Assessment Details'!$Q$23</xm:f>
            <x14:dxf>
              <font>
                <color theme="0"/>
              </font>
              <fill>
                <patternFill>
                  <bgColor theme="0"/>
                </patternFill>
              </fill>
            </x14:dxf>
          </x14:cfRule>
          <xm:sqref>X66:Y66</xm:sqref>
        </x14:conditionalFormatting>
        <x14:conditionalFormatting xmlns:xm="http://schemas.microsoft.com/office/excel/2006/main">
          <x14:cfRule type="expression" priority="3335" id="{EB20820A-77BD-428A-B963-01B423B6B520}">
            <xm:f>$Z$8='Assessment Details'!$Q$23</xm:f>
            <x14:dxf>
              <border>
                <left style="thin">
                  <color theme="0"/>
                </left>
                <right style="thin">
                  <color theme="0"/>
                </right>
                <top style="thin">
                  <color theme="0"/>
                </top>
                <bottom style="thin">
                  <color theme="0"/>
                </bottom>
                <vertical/>
                <horizontal/>
              </border>
            </x14:dxf>
          </x14:cfRule>
          <xm:sqref>X66:Y66</xm:sqref>
        </x14:conditionalFormatting>
        <x14:conditionalFormatting xmlns:xm="http://schemas.microsoft.com/office/excel/2006/main">
          <x14:cfRule type="expression" priority="3317" id="{9BE243BD-939B-4B2A-8445-545F1AAAA016}">
            <xm:f>$S$8='Assessment Details'!$Q$23</xm:f>
            <x14:dxf>
              <font>
                <color theme="0"/>
              </font>
              <fill>
                <patternFill>
                  <bgColor theme="0"/>
                </patternFill>
              </fill>
              <border>
                <vertical/>
                <horizontal/>
              </border>
            </x14:dxf>
          </x14:cfRule>
          <xm:sqref>Q96:R96</xm:sqref>
        </x14:conditionalFormatting>
        <x14:conditionalFormatting xmlns:xm="http://schemas.microsoft.com/office/excel/2006/main">
          <x14:cfRule type="expression" priority="3316" id="{31D3F3DC-A5A6-43F7-A84E-47847D571250}">
            <xm:f>$S$8='Assessment Details'!$Q$23</xm:f>
            <x14:dxf>
              <border>
                <left style="thin">
                  <color theme="0"/>
                </left>
                <right style="thin">
                  <color theme="0"/>
                </right>
                <top style="thin">
                  <color theme="0"/>
                </top>
                <bottom style="thin">
                  <color theme="0"/>
                </bottom>
                <vertical/>
                <horizontal/>
              </border>
            </x14:dxf>
          </x14:cfRule>
          <xm:sqref>Q96:R96</xm:sqref>
        </x14:conditionalFormatting>
        <x14:conditionalFormatting xmlns:xm="http://schemas.microsoft.com/office/excel/2006/main">
          <x14:cfRule type="expression" priority="3315" id="{0D96B168-A075-4ACA-972F-7C5BD9EDF006}">
            <xm:f>$Z$8='Assessment Details'!$Q$23</xm:f>
            <x14:dxf>
              <font>
                <color theme="0"/>
              </font>
              <fill>
                <patternFill>
                  <bgColor theme="0"/>
                </patternFill>
              </fill>
            </x14:dxf>
          </x14:cfRule>
          <xm:sqref>X96:Y96</xm:sqref>
        </x14:conditionalFormatting>
        <x14:conditionalFormatting xmlns:xm="http://schemas.microsoft.com/office/excel/2006/main">
          <x14:cfRule type="expression" priority="3314" id="{BEDE4353-73BB-4268-9782-D92BFDFF7B2F}">
            <xm:f>$Z$8='Assessment Details'!$Q$23</xm:f>
            <x14:dxf>
              <border>
                <left style="thin">
                  <color theme="0"/>
                </left>
                <right style="thin">
                  <color theme="0"/>
                </right>
                <top style="thin">
                  <color theme="0"/>
                </top>
                <bottom style="thin">
                  <color theme="0"/>
                </bottom>
                <vertical/>
                <horizontal/>
              </border>
            </x14:dxf>
          </x14:cfRule>
          <xm:sqref>X96:Y96</xm:sqref>
        </x14:conditionalFormatting>
        <x14:conditionalFormatting xmlns:xm="http://schemas.microsoft.com/office/excel/2006/main">
          <x14:cfRule type="expression" priority="3296" id="{BD646086-7FEC-4608-8260-A1539322D6DC}">
            <xm:f>$S$8='Assessment Details'!$Q$23</xm:f>
            <x14:dxf>
              <font>
                <color theme="0"/>
              </font>
              <fill>
                <patternFill>
                  <bgColor theme="0"/>
                </patternFill>
              </fill>
              <border>
                <vertical/>
                <horizontal/>
              </border>
            </x14:dxf>
          </x14:cfRule>
          <xm:sqref>Q105:R105</xm:sqref>
        </x14:conditionalFormatting>
        <x14:conditionalFormatting xmlns:xm="http://schemas.microsoft.com/office/excel/2006/main">
          <x14:cfRule type="expression" priority="3295" id="{EEA9CA69-870A-4711-A0E3-C79AA489B52D}">
            <xm:f>$S$8='Assessment Details'!$Q$23</xm:f>
            <x14:dxf>
              <border>
                <left style="thin">
                  <color theme="0"/>
                </left>
                <right style="thin">
                  <color theme="0"/>
                </right>
                <top style="thin">
                  <color theme="0"/>
                </top>
                <bottom style="thin">
                  <color theme="0"/>
                </bottom>
                <vertical/>
                <horizontal/>
              </border>
            </x14:dxf>
          </x14:cfRule>
          <xm:sqref>Q105:R105</xm:sqref>
        </x14:conditionalFormatting>
        <x14:conditionalFormatting xmlns:xm="http://schemas.microsoft.com/office/excel/2006/main">
          <x14:cfRule type="expression" priority="3294" id="{26400E7D-6B6F-447E-83D4-8FC0EB5CF78E}">
            <xm:f>$Z$8='Assessment Details'!$Q$23</xm:f>
            <x14:dxf>
              <font>
                <color theme="0"/>
              </font>
              <fill>
                <patternFill>
                  <bgColor theme="0"/>
                </patternFill>
              </fill>
            </x14:dxf>
          </x14:cfRule>
          <xm:sqref>X105:Y105</xm:sqref>
        </x14:conditionalFormatting>
        <x14:conditionalFormatting xmlns:xm="http://schemas.microsoft.com/office/excel/2006/main">
          <x14:cfRule type="expression" priority="3293" id="{F8A3620C-8EF9-428C-A90A-9C7C4BFC7B8F}">
            <xm:f>$Z$8='Assessment Details'!$Q$23</xm:f>
            <x14:dxf>
              <border>
                <left style="thin">
                  <color theme="0"/>
                </left>
                <right style="thin">
                  <color theme="0"/>
                </right>
                <top style="thin">
                  <color theme="0"/>
                </top>
                <bottom style="thin">
                  <color theme="0"/>
                </bottom>
                <vertical/>
                <horizontal/>
              </border>
            </x14:dxf>
          </x14:cfRule>
          <xm:sqref>X105:Y105</xm:sqref>
        </x14:conditionalFormatting>
        <x14:conditionalFormatting xmlns:xm="http://schemas.microsoft.com/office/excel/2006/main">
          <x14:cfRule type="expression" priority="3275" id="{1421B727-C568-499F-B397-D12CBB809207}">
            <xm:f>$S$8='Assessment Details'!$Q$23</xm:f>
            <x14:dxf>
              <font>
                <color theme="0"/>
              </font>
              <fill>
                <patternFill>
                  <bgColor theme="0"/>
                </patternFill>
              </fill>
              <border>
                <vertical/>
                <horizontal/>
              </border>
            </x14:dxf>
          </x14:cfRule>
          <xm:sqref>Q119:R119</xm:sqref>
        </x14:conditionalFormatting>
        <x14:conditionalFormatting xmlns:xm="http://schemas.microsoft.com/office/excel/2006/main">
          <x14:cfRule type="expression" priority="3274" id="{8B0E32BB-5BEA-47CD-9C01-AAF17FE22052}">
            <xm:f>$S$8='Assessment Details'!$Q$23</xm:f>
            <x14:dxf>
              <border>
                <left style="thin">
                  <color theme="0"/>
                </left>
                <right style="thin">
                  <color theme="0"/>
                </right>
                <top style="thin">
                  <color theme="0"/>
                </top>
                <bottom style="thin">
                  <color theme="0"/>
                </bottom>
                <vertical/>
                <horizontal/>
              </border>
            </x14:dxf>
          </x14:cfRule>
          <xm:sqref>Q119:R119</xm:sqref>
        </x14:conditionalFormatting>
        <x14:conditionalFormatting xmlns:xm="http://schemas.microsoft.com/office/excel/2006/main">
          <x14:cfRule type="expression" priority="3273" id="{C13FC868-E52F-4756-B818-0A85DAE4126A}">
            <xm:f>$Z$8='Assessment Details'!$Q$23</xm:f>
            <x14:dxf>
              <font>
                <color theme="0"/>
              </font>
              <fill>
                <patternFill>
                  <bgColor theme="0"/>
                </patternFill>
              </fill>
            </x14:dxf>
          </x14:cfRule>
          <xm:sqref>X119:Y119</xm:sqref>
        </x14:conditionalFormatting>
        <x14:conditionalFormatting xmlns:xm="http://schemas.microsoft.com/office/excel/2006/main">
          <x14:cfRule type="expression" priority="3272" id="{88FDF083-3680-4574-BAB7-515BC4B41E56}">
            <xm:f>$Z$8='Assessment Details'!$Q$23</xm:f>
            <x14:dxf>
              <border>
                <left style="thin">
                  <color theme="0"/>
                </left>
                <right style="thin">
                  <color theme="0"/>
                </right>
                <top style="thin">
                  <color theme="0"/>
                </top>
                <bottom style="thin">
                  <color theme="0"/>
                </bottom>
                <vertical/>
                <horizontal/>
              </border>
            </x14:dxf>
          </x14:cfRule>
          <xm:sqref>X119:Y119</xm:sqref>
        </x14:conditionalFormatting>
        <x14:conditionalFormatting xmlns:xm="http://schemas.microsoft.com/office/excel/2006/main">
          <x14:cfRule type="expression" priority="3254" id="{81F3038F-426F-4747-8900-DBE5B652BCC2}">
            <xm:f>$S$8='Assessment Details'!$Q$23</xm:f>
            <x14:dxf>
              <font>
                <color theme="0"/>
              </font>
              <fill>
                <patternFill>
                  <bgColor theme="0"/>
                </patternFill>
              </fill>
              <border>
                <vertical/>
                <horizontal/>
              </border>
            </x14:dxf>
          </x14:cfRule>
          <xm:sqref>Q149:R149</xm:sqref>
        </x14:conditionalFormatting>
        <x14:conditionalFormatting xmlns:xm="http://schemas.microsoft.com/office/excel/2006/main">
          <x14:cfRule type="expression" priority="3253" id="{28CCF0C5-F228-4C53-8E33-EBBA0F28B7CE}">
            <xm:f>$S$8='Assessment Details'!$Q$23</xm:f>
            <x14:dxf>
              <border>
                <left style="thin">
                  <color theme="0"/>
                </left>
                <right style="thin">
                  <color theme="0"/>
                </right>
                <top style="thin">
                  <color theme="0"/>
                </top>
                <bottom style="thin">
                  <color theme="0"/>
                </bottom>
                <vertical/>
                <horizontal/>
              </border>
            </x14:dxf>
          </x14:cfRule>
          <xm:sqref>Q149:R149</xm:sqref>
        </x14:conditionalFormatting>
        <x14:conditionalFormatting xmlns:xm="http://schemas.microsoft.com/office/excel/2006/main">
          <x14:cfRule type="expression" priority="3252" id="{7383BAE4-3D48-4869-9E46-23F6B5EB3A82}">
            <xm:f>$Z$8='Assessment Details'!$Q$23</xm:f>
            <x14:dxf>
              <font>
                <color theme="0"/>
              </font>
              <fill>
                <patternFill>
                  <bgColor theme="0"/>
                </patternFill>
              </fill>
            </x14:dxf>
          </x14:cfRule>
          <xm:sqref>X149:Y149</xm:sqref>
        </x14:conditionalFormatting>
        <x14:conditionalFormatting xmlns:xm="http://schemas.microsoft.com/office/excel/2006/main">
          <x14:cfRule type="expression" priority="3251" id="{FCFE5056-63F8-452F-AED4-120DD2450C0C}">
            <xm:f>$Z$8='Assessment Details'!$Q$23</xm:f>
            <x14:dxf>
              <border>
                <left style="thin">
                  <color theme="0"/>
                </left>
                <right style="thin">
                  <color theme="0"/>
                </right>
                <top style="thin">
                  <color theme="0"/>
                </top>
                <bottom style="thin">
                  <color theme="0"/>
                </bottom>
                <vertical/>
                <horizontal/>
              </border>
            </x14:dxf>
          </x14:cfRule>
          <xm:sqref>X149:Y149</xm:sqref>
        </x14:conditionalFormatting>
        <x14:conditionalFormatting xmlns:xm="http://schemas.microsoft.com/office/excel/2006/main">
          <x14:cfRule type="expression" priority="3233" id="{0444930C-4CE3-44D2-BC81-4C1D88FCCA1B}">
            <xm:f>$S$8='Assessment Details'!$Q$23</xm:f>
            <x14:dxf>
              <font>
                <color theme="0"/>
              </font>
              <fill>
                <patternFill>
                  <bgColor theme="0"/>
                </patternFill>
              </fill>
              <border>
                <vertical/>
                <horizontal/>
              </border>
            </x14:dxf>
          </x14:cfRule>
          <xm:sqref>Q164:R164</xm:sqref>
        </x14:conditionalFormatting>
        <x14:conditionalFormatting xmlns:xm="http://schemas.microsoft.com/office/excel/2006/main">
          <x14:cfRule type="expression" priority="3232" id="{2DBE5A5D-98A8-4AE5-BC54-26B6836E0BC9}">
            <xm:f>$S$8='Assessment Details'!$Q$23</xm:f>
            <x14:dxf>
              <border>
                <left style="thin">
                  <color theme="0"/>
                </left>
                <right style="thin">
                  <color theme="0"/>
                </right>
                <top style="thin">
                  <color theme="0"/>
                </top>
                <bottom style="thin">
                  <color theme="0"/>
                </bottom>
                <vertical/>
                <horizontal/>
              </border>
            </x14:dxf>
          </x14:cfRule>
          <xm:sqref>Q164:R164</xm:sqref>
        </x14:conditionalFormatting>
        <x14:conditionalFormatting xmlns:xm="http://schemas.microsoft.com/office/excel/2006/main">
          <x14:cfRule type="expression" priority="3231" id="{CAF06E05-9020-4AD1-8454-3BB6ED627400}">
            <xm:f>$Z$8='Assessment Details'!$Q$23</xm:f>
            <x14:dxf>
              <font>
                <color theme="0"/>
              </font>
              <fill>
                <patternFill>
                  <bgColor theme="0"/>
                </patternFill>
              </fill>
            </x14:dxf>
          </x14:cfRule>
          <xm:sqref>X164:Y164</xm:sqref>
        </x14:conditionalFormatting>
        <x14:conditionalFormatting xmlns:xm="http://schemas.microsoft.com/office/excel/2006/main">
          <x14:cfRule type="expression" priority="3230" id="{263A6C7E-BA95-4754-8A43-ED99E15179A0}">
            <xm:f>$Z$8='Assessment Details'!$Q$23</xm:f>
            <x14:dxf>
              <border>
                <left style="thin">
                  <color theme="0"/>
                </left>
                <right style="thin">
                  <color theme="0"/>
                </right>
                <top style="thin">
                  <color theme="0"/>
                </top>
                <bottom style="thin">
                  <color theme="0"/>
                </bottom>
                <vertical/>
                <horizontal/>
              </border>
            </x14:dxf>
          </x14:cfRule>
          <xm:sqref>X164:Y164</xm:sqref>
        </x14:conditionalFormatting>
        <x14:conditionalFormatting xmlns:xm="http://schemas.microsoft.com/office/excel/2006/main">
          <x14:cfRule type="expression" priority="3212" id="{CFFC450B-3C88-4BFB-ACDE-B81081183CE2}">
            <xm:f>$S$8='Assessment Details'!$Q$23</xm:f>
            <x14:dxf>
              <font>
                <color theme="0"/>
              </font>
              <fill>
                <patternFill>
                  <bgColor theme="0"/>
                </patternFill>
              </fill>
              <border>
                <vertical/>
                <horizontal/>
              </border>
            </x14:dxf>
          </x14:cfRule>
          <xm:sqref>Q196:R196</xm:sqref>
        </x14:conditionalFormatting>
        <x14:conditionalFormatting xmlns:xm="http://schemas.microsoft.com/office/excel/2006/main">
          <x14:cfRule type="expression" priority="3211" id="{2DEBF06C-E242-4F1F-A859-338D0E5EDD24}">
            <xm:f>$S$8='Assessment Details'!$Q$23</xm:f>
            <x14:dxf>
              <border>
                <left style="thin">
                  <color theme="0"/>
                </left>
                <right style="thin">
                  <color theme="0"/>
                </right>
                <top style="thin">
                  <color theme="0"/>
                </top>
                <bottom style="thin">
                  <color theme="0"/>
                </bottom>
                <vertical/>
                <horizontal/>
              </border>
            </x14:dxf>
          </x14:cfRule>
          <xm:sqref>Q196:R196</xm:sqref>
        </x14:conditionalFormatting>
        <x14:conditionalFormatting xmlns:xm="http://schemas.microsoft.com/office/excel/2006/main">
          <x14:cfRule type="expression" priority="3210" id="{DEC4FF61-29DE-4AF0-9EA4-ABA92DE9431F}">
            <xm:f>$Z$8='Assessment Details'!$Q$23</xm:f>
            <x14:dxf>
              <font>
                <color theme="0"/>
              </font>
              <fill>
                <patternFill>
                  <bgColor theme="0"/>
                </patternFill>
              </fill>
            </x14:dxf>
          </x14:cfRule>
          <xm:sqref>X196:Y196</xm:sqref>
        </x14:conditionalFormatting>
        <x14:conditionalFormatting xmlns:xm="http://schemas.microsoft.com/office/excel/2006/main">
          <x14:cfRule type="expression" priority="3209" id="{DC296F35-B16D-4F66-B19D-31F96D1F6B50}">
            <xm:f>$Z$8='Assessment Details'!$Q$23</xm:f>
            <x14:dxf>
              <border>
                <left style="thin">
                  <color theme="0"/>
                </left>
                <right style="thin">
                  <color theme="0"/>
                </right>
                <top style="thin">
                  <color theme="0"/>
                </top>
                <bottom style="thin">
                  <color theme="0"/>
                </bottom>
                <vertical/>
                <horizontal/>
              </border>
            </x14:dxf>
          </x14:cfRule>
          <xm:sqref>X196:Y196</xm:sqref>
        </x14:conditionalFormatting>
        <x14:conditionalFormatting xmlns:xm="http://schemas.microsoft.com/office/excel/2006/main">
          <x14:cfRule type="expression" priority="3195" id="{6A17C14E-95CA-4F1C-941A-66E9A1A1F0C1}">
            <xm:f>$S$8='Assessment Details'!$Q$23</xm:f>
            <x14:dxf>
              <font>
                <color theme="0"/>
              </font>
              <fill>
                <patternFill>
                  <bgColor theme="0"/>
                </patternFill>
              </fill>
              <border>
                <vertical/>
                <horizontal/>
              </border>
            </x14:dxf>
          </x14:cfRule>
          <xm:sqref>Q46:R46</xm:sqref>
        </x14:conditionalFormatting>
        <x14:conditionalFormatting xmlns:xm="http://schemas.microsoft.com/office/excel/2006/main">
          <x14:cfRule type="expression" priority="3194" id="{F769F6F4-F7AE-411A-9AB4-D2BEE81131E4}">
            <xm:f>$S$8='Assessment Details'!$Q$23</xm:f>
            <x14:dxf>
              <border>
                <left style="thin">
                  <color theme="0"/>
                </left>
                <right style="thin">
                  <color theme="0"/>
                </right>
                <top style="thin">
                  <color theme="0"/>
                </top>
                <bottom style="thin">
                  <color theme="0"/>
                </bottom>
                <vertical/>
                <horizontal/>
              </border>
            </x14:dxf>
          </x14:cfRule>
          <xm:sqref>Q46:R46</xm:sqref>
        </x14:conditionalFormatting>
        <x14:conditionalFormatting xmlns:xm="http://schemas.microsoft.com/office/excel/2006/main">
          <x14:cfRule type="expression" priority="3193" id="{A0788221-5360-4C20-8F7C-C13BEF4AB25B}">
            <xm:f>$Z$8='Assessment Details'!$Q$23</xm:f>
            <x14:dxf>
              <font>
                <color theme="0"/>
              </font>
              <fill>
                <patternFill>
                  <bgColor theme="0"/>
                </patternFill>
              </fill>
            </x14:dxf>
          </x14:cfRule>
          <xm:sqref>X46:Y46</xm:sqref>
        </x14:conditionalFormatting>
        <x14:conditionalFormatting xmlns:xm="http://schemas.microsoft.com/office/excel/2006/main">
          <x14:cfRule type="expression" priority="3192" id="{63B44E60-F62E-48F7-B912-3C336492CDB7}">
            <xm:f>$Z$8='Assessment Details'!$Q$23</xm:f>
            <x14:dxf>
              <border>
                <left style="thin">
                  <color theme="0"/>
                </left>
                <right style="thin">
                  <color theme="0"/>
                </right>
                <top style="thin">
                  <color theme="0"/>
                </top>
                <bottom style="thin">
                  <color theme="0"/>
                </bottom>
                <vertical/>
                <horizontal/>
              </border>
            </x14:dxf>
          </x14:cfRule>
          <xm:sqref>X46:Y46</xm:sqref>
        </x14:conditionalFormatting>
        <x14:conditionalFormatting xmlns:xm="http://schemas.microsoft.com/office/excel/2006/main">
          <x14:cfRule type="expression" priority="3173" id="{CBDEB4C6-EF37-4241-8BAA-7739B31D5E1D}">
            <xm:f>$S$8='Assessment Details'!$Q$23</xm:f>
            <x14:dxf>
              <font>
                <color theme="0"/>
              </font>
              <fill>
                <patternFill>
                  <bgColor theme="0"/>
                </patternFill>
              </fill>
              <border>
                <vertical/>
                <horizontal/>
              </border>
            </x14:dxf>
          </x14:cfRule>
          <xm:sqref>Q51:R51</xm:sqref>
        </x14:conditionalFormatting>
        <x14:conditionalFormatting xmlns:xm="http://schemas.microsoft.com/office/excel/2006/main">
          <x14:cfRule type="expression" priority="3172" id="{98C9992C-FC97-4376-8F1F-6C25652AA061}">
            <xm:f>$S$8='Assessment Details'!$Q$23</xm:f>
            <x14:dxf>
              <border>
                <left style="thin">
                  <color theme="0"/>
                </left>
                <right style="thin">
                  <color theme="0"/>
                </right>
                <top style="thin">
                  <color theme="0"/>
                </top>
                <bottom style="thin">
                  <color theme="0"/>
                </bottom>
                <vertical/>
                <horizontal/>
              </border>
            </x14:dxf>
          </x14:cfRule>
          <xm:sqref>Q51:R51</xm:sqref>
        </x14:conditionalFormatting>
        <x14:conditionalFormatting xmlns:xm="http://schemas.microsoft.com/office/excel/2006/main">
          <x14:cfRule type="expression" priority="3171" id="{1E0CC94B-D03A-43E3-ABDB-D0627BB41F93}">
            <xm:f>$Z$8='Assessment Details'!$Q$23</xm:f>
            <x14:dxf>
              <font>
                <color theme="0"/>
              </font>
              <fill>
                <patternFill>
                  <bgColor theme="0"/>
                </patternFill>
              </fill>
            </x14:dxf>
          </x14:cfRule>
          <xm:sqref>X51:Y51</xm:sqref>
        </x14:conditionalFormatting>
        <x14:conditionalFormatting xmlns:xm="http://schemas.microsoft.com/office/excel/2006/main">
          <x14:cfRule type="expression" priority="3170" id="{A0BFE9FF-1D5A-44B7-B8CC-374C010E9FD7}">
            <xm:f>$Z$8='Assessment Details'!$Q$23</xm:f>
            <x14:dxf>
              <border>
                <left style="thin">
                  <color theme="0"/>
                </left>
                <right style="thin">
                  <color theme="0"/>
                </right>
                <top style="thin">
                  <color theme="0"/>
                </top>
                <bottom style="thin">
                  <color theme="0"/>
                </bottom>
                <vertical/>
                <horizontal/>
              </border>
            </x14:dxf>
          </x14:cfRule>
          <xm:sqref>X51:Y51</xm:sqref>
        </x14:conditionalFormatting>
        <x14:conditionalFormatting xmlns:xm="http://schemas.microsoft.com/office/excel/2006/main">
          <x14:cfRule type="expression" priority="3151" id="{9315D916-3649-45C8-B0ED-ACFE0A540766}">
            <xm:f>$S$8='Assessment Details'!$Q$23</xm:f>
            <x14:dxf>
              <font>
                <color theme="0"/>
              </font>
              <fill>
                <patternFill>
                  <bgColor theme="0"/>
                </patternFill>
              </fill>
              <border>
                <vertical/>
                <horizontal/>
              </border>
            </x14:dxf>
          </x14:cfRule>
          <xm:sqref>Q55:R55</xm:sqref>
        </x14:conditionalFormatting>
        <x14:conditionalFormatting xmlns:xm="http://schemas.microsoft.com/office/excel/2006/main">
          <x14:cfRule type="expression" priority="3150" id="{AACA57D1-7737-49BB-B036-00DAFF086512}">
            <xm:f>$S$8='Assessment Details'!$Q$23</xm:f>
            <x14:dxf>
              <border>
                <left style="thin">
                  <color theme="0"/>
                </left>
                <right style="thin">
                  <color theme="0"/>
                </right>
                <top style="thin">
                  <color theme="0"/>
                </top>
                <bottom style="thin">
                  <color theme="0"/>
                </bottom>
                <vertical/>
                <horizontal/>
              </border>
            </x14:dxf>
          </x14:cfRule>
          <xm:sqref>Q55:R55</xm:sqref>
        </x14:conditionalFormatting>
        <x14:conditionalFormatting xmlns:xm="http://schemas.microsoft.com/office/excel/2006/main">
          <x14:cfRule type="expression" priority="3149" id="{43C21B87-38F1-427F-A470-0691091C6BDB}">
            <xm:f>$Z$8='Assessment Details'!$Q$23</xm:f>
            <x14:dxf>
              <font>
                <color theme="0"/>
              </font>
              <fill>
                <patternFill>
                  <bgColor theme="0"/>
                </patternFill>
              </fill>
            </x14:dxf>
          </x14:cfRule>
          <xm:sqref>X55:Y55</xm:sqref>
        </x14:conditionalFormatting>
        <x14:conditionalFormatting xmlns:xm="http://schemas.microsoft.com/office/excel/2006/main">
          <x14:cfRule type="expression" priority="3148" id="{DDB11178-A34E-43ED-9082-874182B16AC8}">
            <xm:f>$Z$8='Assessment Details'!$Q$23</xm:f>
            <x14:dxf>
              <border>
                <left style="thin">
                  <color theme="0"/>
                </left>
                <right style="thin">
                  <color theme="0"/>
                </right>
                <top style="thin">
                  <color theme="0"/>
                </top>
                <bottom style="thin">
                  <color theme="0"/>
                </bottom>
                <vertical/>
                <horizontal/>
              </border>
            </x14:dxf>
          </x14:cfRule>
          <xm:sqref>X55:Y55</xm:sqref>
        </x14:conditionalFormatting>
        <x14:conditionalFormatting xmlns:xm="http://schemas.microsoft.com/office/excel/2006/main">
          <x14:cfRule type="expression" priority="3129" id="{2AAD307E-B81E-482C-9484-1DC14EB803E1}">
            <xm:f>$S$8='Assessment Details'!$Q$23</xm:f>
            <x14:dxf>
              <font>
                <color theme="0"/>
              </font>
              <fill>
                <patternFill>
                  <bgColor theme="0"/>
                </patternFill>
              </fill>
              <border>
                <vertical/>
                <horizontal/>
              </border>
            </x14:dxf>
          </x14:cfRule>
          <xm:sqref>Q58:R58</xm:sqref>
        </x14:conditionalFormatting>
        <x14:conditionalFormatting xmlns:xm="http://schemas.microsoft.com/office/excel/2006/main">
          <x14:cfRule type="expression" priority="3128" id="{C6779728-8D99-4A90-B6F0-6A91A235055A}">
            <xm:f>$S$8='Assessment Details'!$Q$23</xm:f>
            <x14:dxf>
              <border>
                <left style="thin">
                  <color theme="0"/>
                </left>
                <right style="thin">
                  <color theme="0"/>
                </right>
                <top style="thin">
                  <color theme="0"/>
                </top>
                <bottom style="thin">
                  <color theme="0"/>
                </bottom>
                <vertical/>
                <horizontal/>
              </border>
            </x14:dxf>
          </x14:cfRule>
          <xm:sqref>Q58:R58</xm:sqref>
        </x14:conditionalFormatting>
        <x14:conditionalFormatting xmlns:xm="http://schemas.microsoft.com/office/excel/2006/main">
          <x14:cfRule type="expression" priority="3127" id="{470EE464-3C4C-46E9-97C4-A37B85B17826}">
            <xm:f>$Z$8='Assessment Details'!$Q$23</xm:f>
            <x14:dxf>
              <font>
                <color theme="0"/>
              </font>
              <fill>
                <patternFill>
                  <bgColor theme="0"/>
                </patternFill>
              </fill>
            </x14:dxf>
          </x14:cfRule>
          <xm:sqref>X58:Y58</xm:sqref>
        </x14:conditionalFormatting>
        <x14:conditionalFormatting xmlns:xm="http://schemas.microsoft.com/office/excel/2006/main">
          <x14:cfRule type="expression" priority="3126" id="{CD4B009A-E5AC-4E20-A4D7-4F7AD941F9AC}">
            <xm:f>$Z$8='Assessment Details'!$Q$23</xm:f>
            <x14:dxf>
              <border>
                <left style="thin">
                  <color theme="0"/>
                </left>
                <right style="thin">
                  <color theme="0"/>
                </right>
                <top style="thin">
                  <color theme="0"/>
                </top>
                <bottom style="thin">
                  <color theme="0"/>
                </bottom>
                <vertical/>
                <horizontal/>
              </border>
            </x14:dxf>
          </x14:cfRule>
          <xm:sqref>X58:Y58</xm:sqref>
        </x14:conditionalFormatting>
        <x14:conditionalFormatting xmlns:xm="http://schemas.microsoft.com/office/excel/2006/main">
          <x14:cfRule type="expression" priority="3107" id="{975964DE-804D-495C-95B4-CA7D3DAF2E82}">
            <xm:f>$S$8='Assessment Details'!$Q$23</xm:f>
            <x14:dxf>
              <font>
                <color theme="0"/>
              </font>
              <fill>
                <patternFill>
                  <bgColor theme="0"/>
                </patternFill>
              </fill>
              <border>
                <vertical/>
                <horizontal/>
              </border>
            </x14:dxf>
          </x14:cfRule>
          <xm:sqref>Q61:R61</xm:sqref>
        </x14:conditionalFormatting>
        <x14:conditionalFormatting xmlns:xm="http://schemas.microsoft.com/office/excel/2006/main">
          <x14:cfRule type="expression" priority="3106" id="{2FD449FD-26A9-4824-9821-933499E607A2}">
            <xm:f>$S$8='Assessment Details'!$Q$23</xm:f>
            <x14:dxf>
              <border>
                <left style="thin">
                  <color theme="0"/>
                </left>
                <right style="thin">
                  <color theme="0"/>
                </right>
                <top style="thin">
                  <color theme="0"/>
                </top>
                <bottom style="thin">
                  <color theme="0"/>
                </bottom>
                <vertical/>
                <horizontal/>
              </border>
            </x14:dxf>
          </x14:cfRule>
          <xm:sqref>Q61:R61</xm:sqref>
        </x14:conditionalFormatting>
        <x14:conditionalFormatting xmlns:xm="http://schemas.microsoft.com/office/excel/2006/main">
          <x14:cfRule type="expression" priority="3105" id="{53218113-CCB3-4635-A5AC-62772AC4C7F2}">
            <xm:f>$Z$8='Assessment Details'!$Q$23</xm:f>
            <x14:dxf>
              <font>
                <color theme="0"/>
              </font>
              <fill>
                <patternFill>
                  <bgColor theme="0"/>
                </patternFill>
              </fill>
            </x14:dxf>
          </x14:cfRule>
          <xm:sqref>X61:Y61</xm:sqref>
        </x14:conditionalFormatting>
        <x14:conditionalFormatting xmlns:xm="http://schemas.microsoft.com/office/excel/2006/main">
          <x14:cfRule type="expression" priority="3104" id="{4569F90B-1D29-4385-89F3-FEF7A6FF3CEB}">
            <xm:f>$Z$8='Assessment Details'!$Q$23</xm:f>
            <x14:dxf>
              <border>
                <left style="thin">
                  <color theme="0"/>
                </left>
                <right style="thin">
                  <color theme="0"/>
                </right>
                <top style="thin">
                  <color theme="0"/>
                </top>
                <bottom style="thin">
                  <color theme="0"/>
                </bottom>
                <vertical/>
                <horizontal/>
              </border>
            </x14:dxf>
          </x14:cfRule>
          <xm:sqref>X61:Y61</xm:sqref>
        </x14:conditionalFormatting>
        <x14:conditionalFormatting xmlns:xm="http://schemas.microsoft.com/office/excel/2006/main">
          <x14:cfRule type="expression" priority="3085" id="{3FE0B8C7-AF59-4BAA-8351-A2283C16C719}">
            <xm:f>$S$8='Assessment Details'!$Q$23</xm:f>
            <x14:dxf>
              <font>
                <color theme="0"/>
              </font>
              <fill>
                <patternFill>
                  <bgColor theme="0"/>
                </patternFill>
              </fill>
              <border>
                <vertical/>
                <horizontal/>
              </border>
            </x14:dxf>
          </x14:cfRule>
          <xm:sqref>Q74:R74</xm:sqref>
        </x14:conditionalFormatting>
        <x14:conditionalFormatting xmlns:xm="http://schemas.microsoft.com/office/excel/2006/main">
          <x14:cfRule type="expression" priority="3084" id="{744A8893-9FB1-48B4-81C7-A924173E43A7}">
            <xm:f>$S$8='Assessment Details'!$Q$23</xm:f>
            <x14:dxf>
              <border>
                <left style="thin">
                  <color theme="0"/>
                </left>
                <right style="thin">
                  <color theme="0"/>
                </right>
                <top style="thin">
                  <color theme="0"/>
                </top>
                <bottom style="thin">
                  <color theme="0"/>
                </bottom>
                <vertical/>
                <horizontal/>
              </border>
            </x14:dxf>
          </x14:cfRule>
          <xm:sqref>Q74:R74</xm:sqref>
        </x14:conditionalFormatting>
        <x14:conditionalFormatting xmlns:xm="http://schemas.microsoft.com/office/excel/2006/main">
          <x14:cfRule type="expression" priority="3083" id="{3397C7F4-C330-4414-AAB9-176876412400}">
            <xm:f>$Z$8='Assessment Details'!$Q$23</xm:f>
            <x14:dxf>
              <font>
                <color theme="0"/>
              </font>
              <fill>
                <patternFill>
                  <bgColor theme="0"/>
                </patternFill>
              </fill>
            </x14:dxf>
          </x14:cfRule>
          <xm:sqref>X74:Y74</xm:sqref>
        </x14:conditionalFormatting>
        <x14:conditionalFormatting xmlns:xm="http://schemas.microsoft.com/office/excel/2006/main">
          <x14:cfRule type="expression" priority="3082" id="{B5042649-6E98-49F5-9F51-BDC5603B9163}">
            <xm:f>$Z$8='Assessment Details'!$Q$23</xm:f>
            <x14:dxf>
              <border>
                <left style="thin">
                  <color theme="0"/>
                </left>
                <right style="thin">
                  <color theme="0"/>
                </right>
                <top style="thin">
                  <color theme="0"/>
                </top>
                <bottom style="thin">
                  <color theme="0"/>
                </bottom>
                <vertical/>
                <horizontal/>
              </border>
            </x14:dxf>
          </x14:cfRule>
          <xm:sqref>X74:Y74</xm:sqref>
        </x14:conditionalFormatting>
        <x14:conditionalFormatting xmlns:xm="http://schemas.microsoft.com/office/excel/2006/main">
          <x14:cfRule type="expression" priority="3063" id="{3BDE55F1-2597-4D5D-B985-F19E1B68F8B3}">
            <xm:f>$S$8='Assessment Details'!$Q$23</xm:f>
            <x14:dxf>
              <font>
                <color theme="0"/>
              </font>
              <fill>
                <patternFill>
                  <bgColor theme="0"/>
                </patternFill>
              </fill>
              <border>
                <vertical/>
                <horizontal/>
              </border>
            </x14:dxf>
          </x14:cfRule>
          <xm:sqref>Q78:R78</xm:sqref>
        </x14:conditionalFormatting>
        <x14:conditionalFormatting xmlns:xm="http://schemas.microsoft.com/office/excel/2006/main">
          <x14:cfRule type="expression" priority="3062" id="{7DB5EF78-5E1D-4CEB-B68B-36F15715CC2C}">
            <xm:f>$S$8='Assessment Details'!$Q$23</xm:f>
            <x14:dxf>
              <border>
                <left style="thin">
                  <color theme="0"/>
                </left>
                <right style="thin">
                  <color theme="0"/>
                </right>
                <top style="thin">
                  <color theme="0"/>
                </top>
                <bottom style="thin">
                  <color theme="0"/>
                </bottom>
                <vertical/>
                <horizontal/>
              </border>
            </x14:dxf>
          </x14:cfRule>
          <xm:sqref>Q78:R78</xm:sqref>
        </x14:conditionalFormatting>
        <x14:conditionalFormatting xmlns:xm="http://schemas.microsoft.com/office/excel/2006/main">
          <x14:cfRule type="expression" priority="3061" id="{B7F673B5-6598-42A2-A4AD-C77751D77902}">
            <xm:f>$Z$8='Assessment Details'!$Q$23</xm:f>
            <x14:dxf>
              <font>
                <color theme="0"/>
              </font>
              <fill>
                <patternFill>
                  <bgColor theme="0"/>
                </patternFill>
              </fill>
            </x14:dxf>
          </x14:cfRule>
          <xm:sqref>X78:Y78</xm:sqref>
        </x14:conditionalFormatting>
        <x14:conditionalFormatting xmlns:xm="http://schemas.microsoft.com/office/excel/2006/main">
          <x14:cfRule type="expression" priority="3060" id="{0D5867F6-0EAC-4D52-8C53-73D8646CD703}">
            <xm:f>$Z$8='Assessment Details'!$Q$23</xm:f>
            <x14:dxf>
              <border>
                <left style="thin">
                  <color theme="0"/>
                </left>
                <right style="thin">
                  <color theme="0"/>
                </right>
                <top style="thin">
                  <color theme="0"/>
                </top>
                <bottom style="thin">
                  <color theme="0"/>
                </bottom>
                <vertical/>
                <horizontal/>
              </border>
            </x14:dxf>
          </x14:cfRule>
          <xm:sqref>X78:Y78</xm:sqref>
        </x14:conditionalFormatting>
        <x14:conditionalFormatting xmlns:xm="http://schemas.microsoft.com/office/excel/2006/main">
          <x14:cfRule type="expression" priority="3041" id="{27B4461D-31DA-46E2-81BE-F64C43193179}">
            <xm:f>$S$8='Assessment Details'!$Q$23</xm:f>
            <x14:dxf>
              <font>
                <color theme="0"/>
              </font>
              <fill>
                <patternFill>
                  <bgColor theme="0"/>
                </patternFill>
              </fill>
              <border>
                <vertical/>
                <horizontal/>
              </border>
            </x14:dxf>
          </x14:cfRule>
          <xm:sqref>Q81:R81</xm:sqref>
        </x14:conditionalFormatting>
        <x14:conditionalFormatting xmlns:xm="http://schemas.microsoft.com/office/excel/2006/main">
          <x14:cfRule type="expression" priority="3040" id="{C7FF73EF-F8DB-4976-826A-87D01FA4BB29}">
            <xm:f>$S$8='Assessment Details'!$Q$23</xm:f>
            <x14:dxf>
              <border>
                <left style="thin">
                  <color theme="0"/>
                </left>
                <right style="thin">
                  <color theme="0"/>
                </right>
                <top style="thin">
                  <color theme="0"/>
                </top>
                <bottom style="thin">
                  <color theme="0"/>
                </bottom>
                <vertical/>
                <horizontal/>
              </border>
            </x14:dxf>
          </x14:cfRule>
          <xm:sqref>Q81:R81</xm:sqref>
        </x14:conditionalFormatting>
        <x14:conditionalFormatting xmlns:xm="http://schemas.microsoft.com/office/excel/2006/main">
          <x14:cfRule type="expression" priority="3039" id="{B65E1349-7466-4A9B-9235-ED83157FA8A1}">
            <xm:f>$Z$8='Assessment Details'!$Q$23</xm:f>
            <x14:dxf>
              <font>
                <color theme="0"/>
              </font>
              <fill>
                <patternFill>
                  <bgColor theme="0"/>
                </patternFill>
              </fill>
            </x14:dxf>
          </x14:cfRule>
          <xm:sqref>X81:Y81</xm:sqref>
        </x14:conditionalFormatting>
        <x14:conditionalFormatting xmlns:xm="http://schemas.microsoft.com/office/excel/2006/main">
          <x14:cfRule type="expression" priority="3038" id="{C3FC58F5-9EF2-45D7-9B97-0D6C18882827}">
            <xm:f>$Z$8='Assessment Details'!$Q$23</xm:f>
            <x14:dxf>
              <border>
                <left style="thin">
                  <color theme="0"/>
                </left>
                <right style="thin">
                  <color theme="0"/>
                </right>
                <top style="thin">
                  <color theme="0"/>
                </top>
                <bottom style="thin">
                  <color theme="0"/>
                </bottom>
                <vertical/>
                <horizontal/>
              </border>
            </x14:dxf>
          </x14:cfRule>
          <xm:sqref>X81:Y81</xm:sqref>
        </x14:conditionalFormatting>
        <x14:conditionalFormatting xmlns:xm="http://schemas.microsoft.com/office/excel/2006/main">
          <x14:cfRule type="expression" priority="3019" id="{1791F121-F855-4494-9F94-201AF776DAE3}">
            <xm:f>$S$8='Assessment Details'!$Q$23</xm:f>
            <x14:dxf>
              <font>
                <color theme="0"/>
              </font>
              <fill>
                <patternFill>
                  <bgColor theme="0"/>
                </patternFill>
              </fill>
              <border>
                <vertical/>
                <horizontal/>
              </border>
            </x14:dxf>
          </x14:cfRule>
          <xm:sqref>Q84:R84</xm:sqref>
        </x14:conditionalFormatting>
        <x14:conditionalFormatting xmlns:xm="http://schemas.microsoft.com/office/excel/2006/main">
          <x14:cfRule type="expression" priority="3018" id="{B3789350-608D-4237-90EF-4E4A0C1BFF10}">
            <xm:f>$S$8='Assessment Details'!$Q$23</xm:f>
            <x14:dxf>
              <border>
                <left style="thin">
                  <color theme="0"/>
                </left>
                <right style="thin">
                  <color theme="0"/>
                </right>
                <top style="thin">
                  <color theme="0"/>
                </top>
                <bottom style="thin">
                  <color theme="0"/>
                </bottom>
                <vertical/>
                <horizontal/>
              </border>
            </x14:dxf>
          </x14:cfRule>
          <xm:sqref>Q84:R84</xm:sqref>
        </x14:conditionalFormatting>
        <x14:conditionalFormatting xmlns:xm="http://schemas.microsoft.com/office/excel/2006/main">
          <x14:cfRule type="expression" priority="3017" id="{F3181B58-DA0D-4CF9-9972-76A8DCE0A3D7}">
            <xm:f>$Z$8='Assessment Details'!$Q$23</xm:f>
            <x14:dxf>
              <font>
                <color theme="0"/>
              </font>
              <fill>
                <patternFill>
                  <bgColor theme="0"/>
                </patternFill>
              </fill>
            </x14:dxf>
          </x14:cfRule>
          <xm:sqref>X84:Y84</xm:sqref>
        </x14:conditionalFormatting>
        <x14:conditionalFormatting xmlns:xm="http://schemas.microsoft.com/office/excel/2006/main">
          <x14:cfRule type="expression" priority="3016" id="{46DB8F0B-5298-45B1-98F7-C31874355151}">
            <xm:f>$Z$8='Assessment Details'!$Q$23</xm:f>
            <x14:dxf>
              <border>
                <left style="thin">
                  <color theme="0"/>
                </left>
                <right style="thin">
                  <color theme="0"/>
                </right>
                <top style="thin">
                  <color theme="0"/>
                </top>
                <bottom style="thin">
                  <color theme="0"/>
                </bottom>
                <vertical/>
                <horizontal/>
              </border>
            </x14:dxf>
          </x14:cfRule>
          <xm:sqref>X84:Y84</xm:sqref>
        </x14:conditionalFormatting>
        <x14:conditionalFormatting xmlns:xm="http://schemas.microsoft.com/office/excel/2006/main">
          <x14:cfRule type="expression" priority="2997" id="{F952D6D0-8EF4-4150-B3DA-A068385BB65C}">
            <xm:f>$S$8='Assessment Details'!$Q$23</xm:f>
            <x14:dxf>
              <font>
                <color theme="0"/>
              </font>
              <fill>
                <patternFill>
                  <bgColor theme="0"/>
                </patternFill>
              </fill>
              <border>
                <vertical/>
                <horizontal/>
              </border>
            </x14:dxf>
          </x14:cfRule>
          <xm:sqref>Q88:R88</xm:sqref>
        </x14:conditionalFormatting>
        <x14:conditionalFormatting xmlns:xm="http://schemas.microsoft.com/office/excel/2006/main">
          <x14:cfRule type="expression" priority="2996" id="{287A3A72-DEEE-4118-9033-6C383B62C6E2}">
            <xm:f>$S$8='Assessment Details'!$Q$23</xm:f>
            <x14:dxf>
              <border>
                <left style="thin">
                  <color theme="0"/>
                </left>
                <right style="thin">
                  <color theme="0"/>
                </right>
                <top style="thin">
                  <color theme="0"/>
                </top>
                <bottom style="thin">
                  <color theme="0"/>
                </bottom>
                <vertical/>
                <horizontal/>
              </border>
            </x14:dxf>
          </x14:cfRule>
          <xm:sqref>Q88:R88</xm:sqref>
        </x14:conditionalFormatting>
        <x14:conditionalFormatting xmlns:xm="http://schemas.microsoft.com/office/excel/2006/main">
          <x14:cfRule type="expression" priority="2995" id="{DEB80DAB-C395-4829-BA97-C8638C1E32C0}">
            <xm:f>$Z$8='Assessment Details'!$Q$23</xm:f>
            <x14:dxf>
              <font>
                <color theme="0"/>
              </font>
              <fill>
                <patternFill>
                  <bgColor theme="0"/>
                </patternFill>
              </fill>
            </x14:dxf>
          </x14:cfRule>
          <xm:sqref>X88:Y88</xm:sqref>
        </x14:conditionalFormatting>
        <x14:conditionalFormatting xmlns:xm="http://schemas.microsoft.com/office/excel/2006/main">
          <x14:cfRule type="expression" priority="2994" id="{F4B7C9CF-0F1F-4DA8-A30D-E53E19BC3410}">
            <xm:f>$Z$8='Assessment Details'!$Q$23</xm:f>
            <x14:dxf>
              <border>
                <left style="thin">
                  <color theme="0"/>
                </left>
                <right style="thin">
                  <color theme="0"/>
                </right>
                <top style="thin">
                  <color theme="0"/>
                </top>
                <bottom style="thin">
                  <color theme="0"/>
                </bottom>
                <vertical/>
                <horizontal/>
              </border>
            </x14:dxf>
          </x14:cfRule>
          <xm:sqref>X88:Y88</xm:sqref>
        </x14:conditionalFormatting>
        <x14:conditionalFormatting xmlns:xm="http://schemas.microsoft.com/office/excel/2006/main">
          <x14:cfRule type="expression" priority="2975" id="{961D8DA4-5850-4767-83A9-6460C9102A92}">
            <xm:f>$S$8='Assessment Details'!$Q$23</xm:f>
            <x14:dxf>
              <font>
                <color theme="0"/>
              </font>
              <fill>
                <patternFill>
                  <bgColor theme="0"/>
                </patternFill>
              </fill>
              <border>
                <vertical/>
                <horizontal/>
              </border>
            </x14:dxf>
          </x14:cfRule>
          <xm:sqref>Q91:R91</xm:sqref>
        </x14:conditionalFormatting>
        <x14:conditionalFormatting xmlns:xm="http://schemas.microsoft.com/office/excel/2006/main">
          <x14:cfRule type="expression" priority="2974" id="{4E4153D7-585D-4229-8AF6-15FFFA5E89ED}">
            <xm:f>$S$8='Assessment Details'!$Q$23</xm:f>
            <x14:dxf>
              <border>
                <left style="thin">
                  <color theme="0"/>
                </left>
                <right style="thin">
                  <color theme="0"/>
                </right>
                <top style="thin">
                  <color theme="0"/>
                </top>
                <bottom style="thin">
                  <color theme="0"/>
                </bottom>
                <vertical/>
                <horizontal/>
              </border>
            </x14:dxf>
          </x14:cfRule>
          <xm:sqref>Q91:R91</xm:sqref>
        </x14:conditionalFormatting>
        <x14:conditionalFormatting xmlns:xm="http://schemas.microsoft.com/office/excel/2006/main">
          <x14:cfRule type="expression" priority="2973" id="{546945FE-789B-4145-91AB-89AB7F5B7887}">
            <xm:f>$Z$8='Assessment Details'!$Q$23</xm:f>
            <x14:dxf>
              <font>
                <color theme="0"/>
              </font>
              <fill>
                <patternFill>
                  <bgColor theme="0"/>
                </patternFill>
              </fill>
            </x14:dxf>
          </x14:cfRule>
          <xm:sqref>X91:Y91</xm:sqref>
        </x14:conditionalFormatting>
        <x14:conditionalFormatting xmlns:xm="http://schemas.microsoft.com/office/excel/2006/main">
          <x14:cfRule type="expression" priority="2972" id="{3C90248F-3001-4846-8D99-4366E9FD0587}">
            <xm:f>$Z$8='Assessment Details'!$Q$23</xm:f>
            <x14:dxf>
              <border>
                <left style="thin">
                  <color theme="0"/>
                </left>
                <right style="thin">
                  <color theme="0"/>
                </right>
                <top style="thin">
                  <color theme="0"/>
                </top>
                <bottom style="thin">
                  <color theme="0"/>
                </bottom>
                <vertical/>
                <horizontal/>
              </border>
            </x14:dxf>
          </x14:cfRule>
          <xm:sqref>X91:Y91</xm:sqref>
        </x14:conditionalFormatting>
        <x14:conditionalFormatting xmlns:xm="http://schemas.microsoft.com/office/excel/2006/main">
          <x14:cfRule type="expression" priority="2953" id="{D62D12F7-91F5-4C33-B2F6-02E9E34F189B}">
            <xm:f>$S$8='Assessment Details'!$Q$23</xm:f>
            <x14:dxf>
              <font>
                <color theme="0"/>
              </font>
              <fill>
                <patternFill>
                  <bgColor theme="0"/>
                </patternFill>
              </fill>
              <border>
                <vertical/>
                <horizontal/>
              </border>
            </x14:dxf>
          </x14:cfRule>
          <xm:sqref>Q99:R99</xm:sqref>
        </x14:conditionalFormatting>
        <x14:conditionalFormatting xmlns:xm="http://schemas.microsoft.com/office/excel/2006/main">
          <x14:cfRule type="expression" priority="2952" id="{B31BD4B4-2ACB-4A6B-863D-A1CF793D99E5}">
            <xm:f>$S$8='Assessment Details'!$Q$23</xm:f>
            <x14:dxf>
              <border>
                <left style="thin">
                  <color theme="0"/>
                </left>
                <right style="thin">
                  <color theme="0"/>
                </right>
                <top style="thin">
                  <color theme="0"/>
                </top>
                <bottom style="thin">
                  <color theme="0"/>
                </bottom>
                <vertical/>
                <horizontal/>
              </border>
            </x14:dxf>
          </x14:cfRule>
          <xm:sqref>Q99:R99</xm:sqref>
        </x14:conditionalFormatting>
        <x14:conditionalFormatting xmlns:xm="http://schemas.microsoft.com/office/excel/2006/main">
          <x14:cfRule type="expression" priority="2951" id="{E35249D8-77AB-42D0-82D4-DF7512C38CE8}">
            <xm:f>$Z$8='Assessment Details'!$Q$23</xm:f>
            <x14:dxf>
              <font>
                <color theme="0"/>
              </font>
              <fill>
                <patternFill>
                  <bgColor theme="0"/>
                </patternFill>
              </fill>
            </x14:dxf>
          </x14:cfRule>
          <xm:sqref>X99:Y99</xm:sqref>
        </x14:conditionalFormatting>
        <x14:conditionalFormatting xmlns:xm="http://schemas.microsoft.com/office/excel/2006/main">
          <x14:cfRule type="expression" priority="2950" id="{8EBB8AC1-F587-4556-B14B-72E07A621945}">
            <xm:f>$Z$8='Assessment Details'!$Q$23</xm:f>
            <x14:dxf>
              <border>
                <left style="thin">
                  <color theme="0"/>
                </left>
                <right style="thin">
                  <color theme="0"/>
                </right>
                <top style="thin">
                  <color theme="0"/>
                </top>
                <bottom style="thin">
                  <color theme="0"/>
                </bottom>
                <vertical/>
                <horizontal/>
              </border>
            </x14:dxf>
          </x14:cfRule>
          <xm:sqref>X99:Y99</xm:sqref>
        </x14:conditionalFormatting>
        <x14:conditionalFormatting xmlns:xm="http://schemas.microsoft.com/office/excel/2006/main">
          <x14:cfRule type="expression" priority="2931" id="{36786943-CE38-4D1B-AD09-4CA0C9B83C65}">
            <xm:f>$S$8='Assessment Details'!$Q$23</xm:f>
            <x14:dxf>
              <font>
                <color theme="0"/>
              </font>
              <fill>
                <patternFill>
                  <bgColor theme="0"/>
                </patternFill>
              </fill>
              <border>
                <vertical/>
                <horizontal/>
              </border>
            </x14:dxf>
          </x14:cfRule>
          <xm:sqref>Q108:R108</xm:sqref>
        </x14:conditionalFormatting>
        <x14:conditionalFormatting xmlns:xm="http://schemas.microsoft.com/office/excel/2006/main">
          <x14:cfRule type="expression" priority="2930" id="{AFC0D760-90E6-45F2-B9D7-328784BF02BA}">
            <xm:f>$S$8='Assessment Details'!$Q$23</xm:f>
            <x14:dxf>
              <border>
                <left style="thin">
                  <color theme="0"/>
                </left>
                <right style="thin">
                  <color theme="0"/>
                </right>
                <top style="thin">
                  <color theme="0"/>
                </top>
                <bottom style="thin">
                  <color theme="0"/>
                </bottom>
                <vertical/>
                <horizontal/>
              </border>
            </x14:dxf>
          </x14:cfRule>
          <xm:sqref>Q108:R108</xm:sqref>
        </x14:conditionalFormatting>
        <x14:conditionalFormatting xmlns:xm="http://schemas.microsoft.com/office/excel/2006/main">
          <x14:cfRule type="expression" priority="2929" id="{417D4DDA-A392-4808-B513-CC41C7E21EF1}">
            <xm:f>$Z$8='Assessment Details'!$Q$23</xm:f>
            <x14:dxf>
              <font>
                <color theme="0"/>
              </font>
              <fill>
                <patternFill>
                  <bgColor theme="0"/>
                </patternFill>
              </fill>
            </x14:dxf>
          </x14:cfRule>
          <xm:sqref>X108:Y108</xm:sqref>
        </x14:conditionalFormatting>
        <x14:conditionalFormatting xmlns:xm="http://schemas.microsoft.com/office/excel/2006/main">
          <x14:cfRule type="expression" priority="2928" id="{C42CCBBD-8473-41D6-95BB-8D5DABA8313A}">
            <xm:f>$Z$8='Assessment Details'!$Q$23</xm:f>
            <x14:dxf>
              <border>
                <left style="thin">
                  <color theme="0"/>
                </left>
                <right style="thin">
                  <color theme="0"/>
                </right>
                <top style="thin">
                  <color theme="0"/>
                </top>
                <bottom style="thin">
                  <color theme="0"/>
                </bottom>
                <vertical/>
                <horizontal/>
              </border>
            </x14:dxf>
          </x14:cfRule>
          <xm:sqref>X108:Y108</xm:sqref>
        </x14:conditionalFormatting>
        <x14:conditionalFormatting xmlns:xm="http://schemas.microsoft.com/office/excel/2006/main">
          <x14:cfRule type="expression" priority="2909" id="{5B061993-778C-4B5B-86B1-6227066F6059}">
            <xm:f>$S$8='Assessment Details'!$Q$23</xm:f>
            <x14:dxf>
              <font>
                <color theme="0"/>
              </font>
              <fill>
                <patternFill>
                  <bgColor theme="0"/>
                </patternFill>
              </fill>
              <border>
                <vertical/>
                <horizontal/>
              </border>
            </x14:dxf>
          </x14:cfRule>
          <xm:sqref>Q110:R110</xm:sqref>
        </x14:conditionalFormatting>
        <x14:conditionalFormatting xmlns:xm="http://schemas.microsoft.com/office/excel/2006/main">
          <x14:cfRule type="expression" priority="2908" id="{03AC920A-5094-4B58-B6DA-BC1BAF981E69}">
            <xm:f>$S$8='Assessment Details'!$Q$23</xm:f>
            <x14:dxf>
              <border>
                <left style="thin">
                  <color theme="0"/>
                </left>
                <right style="thin">
                  <color theme="0"/>
                </right>
                <top style="thin">
                  <color theme="0"/>
                </top>
                <bottom style="thin">
                  <color theme="0"/>
                </bottom>
                <vertical/>
                <horizontal/>
              </border>
            </x14:dxf>
          </x14:cfRule>
          <xm:sqref>Q110:R110</xm:sqref>
        </x14:conditionalFormatting>
        <x14:conditionalFormatting xmlns:xm="http://schemas.microsoft.com/office/excel/2006/main">
          <x14:cfRule type="expression" priority="2907" id="{28EFAC08-546E-46CE-832C-FB1076BB4F5D}">
            <xm:f>$Z$8='Assessment Details'!$Q$23</xm:f>
            <x14:dxf>
              <font>
                <color theme="0"/>
              </font>
              <fill>
                <patternFill>
                  <bgColor theme="0"/>
                </patternFill>
              </fill>
            </x14:dxf>
          </x14:cfRule>
          <xm:sqref>X110:Y110</xm:sqref>
        </x14:conditionalFormatting>
        <x14:conditionalFormatting xmlns:xm="http://schemas.microsoft.com/office/excel/2006/main">
          <x14:cfRule type="expression" priority="2906" id="{6921AAE6-76F9-4635-9185-D50BABC080A9}">
            <xm:f>$Z$8='Assessment Details'!$Q$23</xm:f>
            <x14:dxf>
              <border>
                <left style="thin">
                  <color theme="0"/>
                </left>
                <right style="thin">
                  <color theme="0"/>
                </right>
                <top style="thin">
                  <color theme="0"/>
                </top>
                <bottom style="thin">
                  <color theme="0"/>
                </bottom>
                <vertical/>
                <horizontal/>
              </border>
            </x14:dxf>
          </x14:cfRule>
          <xm:sqref>X110:Y110</xm:sqref>
        </x14:conditionalFormatting>
        <x14:conditionalFormatting xmlns:xm="http://schemas.microsoft.com/office/excel/2006/main">
          <x14:cfRule type="expression" priority="2887" id="{D1134714-5ACA-428C-A7C1-04B0913D0057}">
            <xm:f>$S$8='Assessment Details'!$Q$23</xm:f>
            <x14:dxf>
              <font>
                <color theme="0"/>
              </font>
              <fill>
                <patternFill>
                  <bgColor theme="0"/>
                </patternFill>
              </fill>
              <border>
                <vertical/>
                <horizontal/>
              </border>
            </x14:dxf>
          </x14:cfRule>
          <xm:sqref>Q114:R114</xm:sqref>
        </x14:conditionalFormatting>
        <x14:conditionalFormatting xmlns:xm="http://schemas.microsoft.com/office/excel/2006/main">
          <x14:cfRule type="expression" priority="2886" id="{F6F43CAC-D378-472D-8061-FC179388F2A7}">
            <xm:f>$S$8='Assessment Details'!$Q$23</xm:f>
            <x14:dxf>
              <border>
                <left style="thin">
                  <color theme="0"/>
                </left>
                <right style="thin">
                  <color theme="0"/>
                </right>
                <top style="thin">
                  <color theme="0"/>
                </top>
                <bottom style="thin">
                  <color theme="0"/>
                </bottom>
                <vertical/>
                <horizontal/>
              </border>
            </x14:dxf>
          </x14:cfRule>
          <xm:sqref>Q114:R114</xm:sqref>
        </x14:conditionalFormatting>
        <x14:conditionalFormatting xmlns:xm="http://schemas.microsoft.com/office/excel/2006/main">
          <x14:cfRule type="expression" priority="2885" id="{FDA50E11-EB75-4207-BF37-71373B3B9DC8}">
            <xm:f>$Z$8='Assessment Details'!$Q$23</xm:f>
            <x14:dxf>
              <font>
                <color theme="0"/>
              </font>
              <fill>
                <patternFill>
                  <bgColor theme="0"/>
                </patternFill>
              </fill>
            </x14:dxf>
          </x14:cfRule>
          <xm:sqref>X114:Y114</xm:sqref>
        </x14:conditionalFormatting>
        <x14:conditionalFormatting xmlns:xm="http://schemas.microsoft.com/office/excel/2006/main">
          <x14:cfRule type="expression" priority="2884" id="{A7D32BE1-2414-4DC6-9E2E-B77DE8BB00BF}">
            <xm:f>$Z$8='Assessment Details'!$Q$23</xm:f>
            <x14:dxf>
              <border>
                <left style="thin">
                  <color theme="0"/>
                </left>
                <right style="thin">
                  <color theme="0"/>
                </right>
                <top style="thin">
                  <color theme="0"/>
                </top>
                <bottom style="thin">
                  <color theme="0"/>
                </bottom>
                <vertical/>
                <horizontal/>
              </border>
            </x14:dxf>
          </x14:cfRule>
          <xm:sqref>X114:Y114</xm:sqref>
        </x14:conditionalFormatting>
        <x14:conditionalFormatting xmlns:xm="http://schemas.microsoft.com/office/excel/2006/main">
          <x14:cfRule type="expression" priority="2863" id="{F824AB40-DF9B-4943-B19D-4D606A266650}">
            <xm:f>$Z$8='Assessment Details'!$Q$23</xm:f>
            <x14:dxf>
              <font>
                <color theme="0"/>
              </font>
              <fill>
                <patternFill>
                  <bgColor theme="0"/>
                </patternFill>
              </fill>
            </x14:dxf>
          </x14:cfRule>
          <xm:sqref>X123:Y123</xm:sqref>
        </x14:conditionalFormatting>
        <x14:conditionalFormatting xmlns:xm="http://schemas.microsoft.com/office/excel/2006/main">
          <x14:cfRule type="expression" priority="2862" id="{5AE4887A-853F-4A8D-9AC2-B7EBECF7FA58}">
            <xm:f>$Z$8='Assessment Details'!$Q$23</xm:f>
            <x14:dxf>
              <border>
                <left style="thin">
                  <color theme="0"/>
                </left>
                <right style="thin">
                  <color theme="0"/>
                </right>
                <top style="thin">
                  <color theme="0"/>
                </top>
                <bottom style="thin">
                  <color theme="0"/>
                </bottom>
                <vertical/>
                <horizontal/>
              </border>
            </x14:dxf>
          </x14:cfRule>
          <xm:sqref>X123:Y123</xm:sqref>
        </x14:conditionalFormatting>
        <x14:conditionalFormatting xmlns:xm="http://schemas.microsoft.com/office/excel/2006/main">
          <x14:cfRule type="expression" priority="2843" id="{B890570A-82E1-4E0D-A346-6FDDE8DEC1D0}">
            <xm:f>$S$8='Assessment Details'!$Q$23</xm:f>
            <x14:dxf>
              <font>
                <color theme="0"/>
              </font>
              <fill>
                <patternFill>
                  <bgColor theme="0"/>
                </patternFill>
              </fill>
              <border>
                <vertical/>
                <horizontal/>
              </border>
            </x14:dxf>
          </x14:cfRule>
          <xm:sqref>Q127:R127</xm:sqref>
        </x14:conditionalFormatting>
        <x14:conditionalFormatting xmlns:xm="http://schemas.microsoft.com/office/excel/2006/main">
          <x14:cfRule type="expression" priority="2842" id="{A84F30D9-9159-4D9B-A6D6-AB0A728D0FD9}">
            <xm:f>$S$8='Assessment Details'!$Q$23</xm:f>
            <x14:dxf>
              <border>
                <left style="thin">
                  <color theme="0"/>
                </left>
                <right style="thin">
                  <color theme="0"/>
                </right>
                <top style="thin">
                  <color theme="0"/>
                </top>
                <bottom style="thin">
                  <color theme="0"/>
                </bottom>
                <vertical/>
                <horizontal/>
              </border>
            </x14:dxf>
          </x14:cfRule>
          <xm:sqref>Q127:R127</xm:sqref>
        </x14:conditionalFormatting>
        <x14:conditionalFormatting xmlns:xm="http://schemas.microsoft.com/office/excel/2006/main">
          <x14:cfRule type="expression" priority="2841" id="{B373805C-9A92-487B-90FA-EA75D65B2312}">
            <xm:f>$Z$8='Assessment Details'!$Q$23</xm:f>
            <x14:dxf>
              <font>
                <color theme="0"/>
              </font>
              <fill>
                <patternFill>
                  <bgColor theme="0"/>
                </patternFill>
              </fill>
            </x14:dxf>
          </x14:cfRule>
          <xm:sqref>X127:Y127</xm:sqref>
        </x14:conditionalFormatting>
        <x14:conditionalFormatting xmlns:xm="http://schemas.microsoft.com/office/excel/2006/main">
          <x14:cfRule type="expression" priority="2840" id="{6DC4115D-2A4E-4993-AEE3-BC74E9358AE1}">
            <xm:f>$Z$8='Assessment Details'!$Q$23</xm:f>
            <x14:dxf>
              <border>
                <left style="thin">
                  <color theme="0"/>
                </left>
                <right style="thin">
                  <color theme="0"/>
                </right>
                <top style="thin">
                  <color theme="0"/>
                </top>
                <bottom style="thin">
                  <color theme="0"/>
                </bottom>
                <vertical/>
                <horizontal/>
              </border>
            </x14:dxf>
          </x14:cfRule>
          <xm:sqref>X127:Y127</xm:sqref>
        </x14:conditionalFormatting>
        <x14:conditionalFormatting xmlns:xm="http://schemas.microsoft.com/office/excel/2006/main">
          <x14:cfRule type="expression" priority="2821" id="{5B1D4D43-C3DD-4D2B-9A6A-F6209B1558D7}">
            <xm:f>$S$8='Assessment Details'!$Q$23</xm:f>
            <x14:dxf>
              <font>
                <color theme="0"/>
              </font>
              <fill>
                <patternFill>
                  <bgColor theme="0"/>
                </patternFill>
              </fill>
              <border>
                <vertical/>
                <horizontal/>
              </border>
            </x14:dxf>
          </x14:cfRule>
          <xm:sqref>Q131:R131</xm:sqref>
        </x14:conditionalFormatting>
        <x14:conditionalFormatting xmlns:xm="http://schemas.microsoft.com/office/excel/2006/main">
          <x14:cfRule type="expression" priority="2820" id="{C36D7400-7718-4831-B0EF-1BE7F85A803C}">
            <xm:f>$S$8='Assessment Details'!$Q$23</xm:f>
            <x14:dxf>
              <border>
                <left style="thin">
                  <color theme="0"/>
                </left>
                <right style="thin">
                  <color theme="0"/>
                </right>
                <top style="thin">
                  <color theme="0"/>
                </top>
                <bottom style="thin">
                  <color theme="0"/>
                </bottom>
                <vertical/>
                <horizontal/>
              </border>
            </x14:dxf>
          </x14:cfRule>
          <xm:sqref>Q131:R131</xm:sqref>
        </x14:conditionalFormatting>
        <x14:conditionalFormatting xmlns:xm="http://schemas.microsoft.com/office/excel/2006/main">
          <x14:cfRule type="expression" priority="2819" id="{D814B427-0B43-45E3-9FE3-C6F9C171A0A8}">
            <xm:f>$Z$8='Assessment Details'!$Q$23</xm:f>
            <x14:dxf>
              <font>
                <color theme="0"/>
              </font>
              <fill>
                <patternFill>
                  <bgColor theme="0"/>
                </patternFill>
              </fill>
            </x14:dxf>
          </x14:cfRule>
          <xm:sqref>X131:Y131</xm:sqref>
        </x14:conditionalFormatting>
        <x14:conditionalFormatting xmlns:xm="http://schemas.microsoft.com/office/excel/2006/main">
          <x14:cfRule type="expression" priority="2818" id="{AD74782E-F818-4E93-9877-66CD49FD1A9D}">
            <xm:f>$Z$8='Assessment Details'!$Q$23</xm:f>
            <x14:dxf>
              <border>
                <left style="thin">
                  <color theme="0"/>
                </left>
                <right style="thin">
                  <color theme="0"/>
                </right>
                <top style="thin">
                  <color theme="0"/>
                </top>
                <bottom style="thin">
                  <color theme="0"/>
                </bottom>
                <vertical/>
                <horizontal/>
              </border>
            </x14:dxf>
          </x14:cfRule>
          <xm:sqref>X131:Y131</xm:sqref>
        </x14:conditionalFormatting>
        <x14:conditionalFormatting xmlns:xm="http://schemas.microsoft.com/office/excel/2006/main">
          <x14:cfRule type="expression" priority="2799" id="{BC298DA3-0041-4003-A615-CD4D3EEDB4B6}">
            <xm:f>$S$8='Assessment Details'!$Q$23</xm:f>
            <x14:dxf>
              <font>
                <color theme="0"/>
              </font>
              <fill>
                <patternFill>
                  <bgColor theme="0"/>
                </patternFill>
              </fill>
              <border>
                <vertical/>
                <horizontal/>
              </border>
            </x14:dxf>
          </x14:cfRule>
          <xm:sqref>Q137:R137</xm:sqref>
        </x14:conditionalFormatting>
        <x14:conditionalFormatting xmlns:xm="http://schemas.microsoft.com/office/excel/2006/main">
          <x14:cfRule type="expression" priority="2798" id="{3E63224B-5F70-4FC7-A1D0-C81E47FBAF20}">
            <xm:f>$S$8='Assessment Details'!$Q$23</xm:f>
            <x14:dxf>
              <border>
                <left style="thin">
                  <color theme="0"/>
                </left>
                <right style="thin">
                  <color theme="0"/>
                </right>
                <top style="thin">
                  <color theme="0"/>
                </top>
                <bottom style="thin">
                  <color theme="0"/>
                </bottom>
                <vertical/>
                <horizontal/>
              </border>
            </x14:dxf>
          </x14:cfRule>
          <xm:sqref>Q137:R137</xm:sqref>
        </x14:conditionalFormatting>
        <x14:conditionalFormatting xmlns:xm="http://schemas.microsoft.com/office/excel/2006/main">
          <x14:cfRule type="expression" priority="2797" id="{854B2689-4B93-4F46-880E-26136D1313FF}">
            <xm:f>$Z$8='Assessment Details'!$Q$23</xm:f>
            <x14:dxf>
              <font>
                <color theme="0"/>
              </font>
              <fill>
                <patternFill>
                  <bgColor theme="0"/>
                </patternFill>
              </fill>
            </x14:dxf>
          </x14:cfRule>
          <xm:sqref>X137:Y137</xm:sqref>
        </x14:conditionalFormatting>
        <x14:conditionalFormatting xmlns:xm="http://schemas.microsoft.com/office/excel/2006/main">
          <x14:cfRule type="expression" priority="2796" id="{FCDA394D-E604-49EE-BC6B-CBA163DD9F4F}">
            <xm:f>$Z$8='Assessment Details'!$Q$23</xm:f>
            <x14:dxf>
              <border>
                <left style="thin">
                  <color theme="0"/>
                </left>
                <right style="thin">
                  <color theme="0"/>
                </right>
                <top style="thin">
                  <color theme="0"/>
                </top>
                <bottom style="thin">
                  <color theme="0"/>
                </bottom>
                <vertical/>
                <horizontal/>
              </border>
            </x14:dxf>
          </x14:cfRule>
          <xm:sqref>X137:Y137</xm:sqref>
        </x14:conditionalFormatting>
        <x14:conditionalFormatting xmlns:xm="http://schemas.microsoft.com/office/excel/2006/main">
          <x14:cfRule type="expression" priority="2777" id="{93E5126A-40F2-49DB-A53F-8972F416241F}">
            <xm:f>$S$8='Assessment Details'!$Q$23</xm:f>
            <x14:dxf>
              <font>
                <color theme="0"/>
              </font>
              <fill>
                <patternFill>
                  <bgColor theme="0"/>
                </patternFill>
              </fill>
              <border>
                <vertical/>
                <horizontal/>
              </border>
            </x14:dxf>
          </x14:cfRule>
          <xm:sqref>Q142:R142</xm:sqref>
        </x14:conditionalFormatting>
        <x14:conditionalFormatting xmlns:xm="http://schemas.microsoft.com/office/excel/2006/main">
          <x14:cfRule type="expression" priority="2776" id="{FC11078C-CDB7-42EA-92FE-8C46E699C37D}">
            <xm:f>$S$8='Assessment Details'!$Q$23</xm:f>
            <x14:dxf>
              <border>
                <left style="thin">
                  <color theme="0"/>
                </left>
                <right style="thin">
                  <color theme="0"/>
                </right>
                <top style="thin">
                  <color theme="0"/>
                </top>
                <bottom style="thin">
                  <color theme="0"/>
                </bottom>
                <vertical/>
                <horizontal/>
              </border>
            </x14:dxf>
          </x14:cfRule>
          <xm:sqref>Q142:R142</xm:sqref>
        </x14:conditionalFormatting>
        <x14:conditionalFormatting xmlns:xm="http://schemas.microsoft.com/office/excel/2006/main">
          <x14:cfRule type="expression" priority="2775" id="{67B61D2D-2974-491A-9C65-BCD655ABDB99}">
            <xm:f>$Z$8='Assessment Details'!$Q$23</xm:f>
            <x14:dxf>
              <font>
                <color theme="0"/>
              </font>
              <fill>
                <patternFill>
                  <bgColor theme="0"/>
                </patternFill>
              </fill>
            </x14:dxf>
          </x14:cfRule>
          <xm:sqref>X142:Y142</xm:sqref>
        </x14:conditionalFormatting>
        <x14:conditionalFormatting xmlns:xm="http://schemas.microsoft.com/office/excel/2006/main">
          <x14:cfRule type="expression" priority="2774" id="{377885CD-D487-4C27-B56A-50673BAAB469}">
            <xm:f>$Z$8='Assessment Details'!$Q$23</xm:f>
            <x14:dxf>
              <border>
                <left style="thin">
                  <color theme="0"/>
                </left>
                <right style="thin">
                  <color theme="0"/>
                </right>
                <top style="thin">
                  <color theme="0"/>
                </top>
                <bottom style="thin">
                  <color theme="0"/>
                </bottom>
                <vertical/>
                <horizontal/>
              </border>
            </x14:dxf>
          </x14:cfRule>
          <xm:sqref>X142:Y142</xm:sqref>
        </x14:conditionalFormatting>
        <x14:conditionalFormatting xmlns:xm="http://schemas.microsoft.com/office/excel/2006/main">
          <x14:cfRule type="expression" priority="2755" id="{0EBD06D7-B286-47FC-BCEB-7DE0EBE21459}">
            <xm:f>$S$8='Assessment Details'!$Q$23</xm:f>
            <x14:dxf>
              <font>
                <color theme="0"/>
              </font>
              <fill>
                <patternFill>
                  <bgColor theme="0"/>
                </patternFill>
              </fill>
              <border>
                <vertical/>
                <horizontal/>
              </border>
            </x14:dxf>
          </x14:cfRule>
          <xm:sqref>Q155:R155</xm:sqref>
        </x14:conditionalFormatting>
        <x14:conditionalFormatting xmlns:xm="http://schemas.microsoft.com/office/excel/2006/main">
          <x14:cfRule type="expression" priority="2754" id="{4A947A86-3930-4E01-91A9-88AAA98761F4}">
            <xm:f>$S$8='Assessment Details'!$Q$23</xm:f>
            <x14:dxf>
              <border>
                <left style="thin">
                  <color theme="0"/>
                </left>
                <right style="thin">
                  <color theme="0"/>
                </right>
                <top style="thin">
                  <color theme="0"/>
                </top>
                <bottom style="thin">
                  <color theme="0"/>
                </bottom>
                <vertical/>
                <horizontal/>
              </border>
            </x14:dxf>
          </x14:cfRule>
          <xm:sqref>Q155:R155</xm:sqref>
        </x14:conditionalFormatting>
        <x14:conditionalFormatting xmlns:xm="http://schemas.microsoft.com/office/excel/2006/main">
          <x14:cfRule type="expression" priority="2753" id="{CE9D4D00-9F28-4C90-BFDC-AF0BB4878934}">
            <xm:f>$Z$8='Assessment Details'!$Q$23</xm:f>
            <x14:dxf>
              <font>
                <color theme="0"/>
              </font>
              <fill>
                <patternFill>
                  <bgColor theme="0"/>
                </patternFill>
              </fill>
            </x14:dxf>
          </x14:cfRule>
          <xm:sqref>X155:Y155</xm:sqref>
        </x14:conditionalFormatting>
        <x14:conditionalFormatting xmlns:xm="http://schemas.microsoft.com/office/excel/2006/main">
          <x14:cfRule type="expression" priority="2752" id="{9F7F0A66-7030-4DBA-914D-44DAE2A50D67}">
            <xm:f>$Z$8='Assessment Details'!$Q$23</xm:f>
            <x14:dxf>
              <border>
                <left style="thin">
                  <color theme="0"/>
                </left>
                <right style="thin">
                  <color theme="0"/>
                </right>
                <top style="thin">
                  <color theme="0"/>
                </top>
                <bottom style="thin">
                  <color theme="0"/>
                </bottom>
                <vertical/>
                <horizontal/>
              </border>
            </x14:dxf>
          </x14:cfRule>
          <xm:sqref>X155:Y155</xm:sqref>
        </x14:conditionalFormatting>
        <x14:conditionalFormatting xmlns:xm="http://schemas.microsoft.com/office/excel/2006/main">
          <x14:cfRule type="expression" priority="2733" id="{C699121D-3149-497E-A3AB-E5903A92AE07}">
            <xm:f>$S$8='Assessment Details'!$Q$23</xm:f>
            <x14:dxf>
              <font>
                <color theme="0"/>
              </font>
              <fill>
                <patternFill>
                  <bgColor theme="0"/>
                </patternFill>
              </fill>
              <border>
                <vertical/>
                <horizontal/>
              </border>
            </x14:dxf>
          </x14:cfRule>
          <xm:sqref>Q157:R157</xm:sqref>
        </x14:conditionalFormatting>
        <x14:conditionalFormatting xmlns:xm="http://schemas.microsoft.com/office/excel/2006/main">
          <x14:cfRule type="expression" priority="2732" id="{401463BB-30CD-45BB-8394-CDB65C151285}">
            <xm:f>$S$8='Assessment Details'!$Q$23</xm:f>
            <x14:dxf>
              <border>
                <left style="thin">
                  <color theme="0"/>
                </left>
                <right style="thin">
                  <color theme="0"/>
                </right>
                <top style="thin">
                  <color theme="0"/>
                </top>
                <bottom style="thin">
                  <color theme="0"/>
                </bottom>
                <vertical/>
                <horizontal/>
              </border>
            </x14:dxf>
          </x14:cfRule>
          <xm:sqref>Q157:R157</xm:sqref>
        </x14:conditionalFormatting>
        <x14:conditionalFormatting xmlns:xm="http://schemas.microsoft.com/office/excel/2006/main">
          <x14:cfRule type="expression" priority="2731" id="{438AA3BA-C3CF-426C-B4DE-E5D8AB3405FA}">
            <xm:f>$Z$8='Assessment Details'!$Q$23</xm:f>
            <x14:dxf>
              <font>
                <color theme="0"/>
              </font>
              <fill>
                <patternFill>
                  <bgColor theme="0"/>
                </patternFill>
              </fill>
            </x14:dxf>
          </x14:cfRule>
          <xm:sqref>X157:Y157</xm:sqref>
        </x14:conditionalFormatting>
        <x14:conditionalFormatting xmlns:xm="http://schemas.microsoft.com/office/excel/2006/main">
          <x14:cfRule type="expression" priority="2730" id="{E2AC534E-4298-4E4C-AA35-BFF073C12C54}">
            <xm:f>$Z$8='Assessment Details'!$Q$23</xm:f>
            <x14:dxf>
              <border>
                <left style="thin">
                  <color theme="0"/>
                </left>
                <right style="thin">
                  <color theme="0"/>
                </right>
                <top style="thin">
                  <color theme="0"/>
                </top>
                <bottom style="thin">
                  <color theme="0"/>
                </bottom>
                <vertical/>
                <horizontal/>
              </border>
            </x14:dxf>
          </x14:cfRule>
          <xm:sqref>X157:Y157</xm:sqref>
        </x14:conditionalFormatting>
        <x14:conditionalFormatting xmlns:xm="http://schemas.microsoft.com/office/excel/2006/main">
          <x14:cfRule type="expression" priority="2711" id="{58EA91C2-F4B4-4BCD-A5AC-E3CB8D00696E}">
            <xm:f>$S$8='Assessment Details'!$Q$23</xm:f>
            <x14:dxf>
              <font>
                <color theme="0"/>
              </font>
              <fill>
                <patternFill>
                  <bgColor theme="0"/>
                </patternFill>
              </fill>
              <border>
                <vertical/>
                <horizontal/>
              </border>
            </x14:dxf>
          </x14:cfRule>
          <xm:sqref>Q159:R159</xm:sqref>
        </x14:conditionalFormatting>
        <x14:conditionalFormatting xmlns:xm="http://schemas.microsoft.com/office/excel/2006/main">
          <x14:cfRule type="expression" priority="2710" id="{D6696C5C-DACD-4563-9702-21A1ADF72218}">
            <xm:f>$S$8='Assessment Details'!$Q$23</xm:f>
            <x14:dxf>
              <border>
                <left style="thin">
                  <color theme="0"/>
                </left>
                <right style="thin">
                  <color theme="0"/>
                </right>
                <top style="thin">
                  <color theme="0"/>
                </top>
                <bottom style="thin">
                  <color theme="0"/>
                </bottom>
                <vertical/>
                <horizontal/>
              </border>
            </x14:dxf>
          </x14:cfRule>
          <xm:sqref>Q159:R159</xm:sqref>
        </x14:conditionalFormatting>
        <x14:conditionalFormatting xmlns:xm="http://schemas.microsoft.com/office/excel/2006/main">
          <x14:cfRule type="expression" priority="2709" id="{0A624E6F-D2F5-466B-AE49-70D18C402F62}">
            <xm:f>$Z$8='Assessment Details'!$Q$23</xm:f>
            <x14:dxf>
              <font>
                <color theme="0"/>
              </font>
              <fill>
                <patternFill>
                  <bgColor theme="0"/>
                </patternFill>
              </fill>
            </x14:dxf>
          </x14:cfRule>
          <xm:sqref>X159:Y159</xm:sqref>
        </x14:conditionalFormatting>
        <x14:conditionalFormatting xmlns:xm="http://schemas.microsoft.com/office/excel/2006/main">
          <x14:cfRule type="expression" priority="2708" id="{D2605DE7-EB0B-41EE-9545-33B6F3D412FE}">
            <xm:f>$Z$8='Assessment Details'!$Q$23</xm:f>
            <x14:dxf>
              <border>
                <left style="thin">
                  <color theme="0"/>
                </left>
                <right style="thin">
                  <color theme="0"/>
                </right>
                <top style="thin">
                  <color theme="0"/>
                </top>
                <bottom style="thin">
                  <color theme="0"/>
                </bottom>
                <vertical/>
                <horizontal/>
              </border>
            </x14:dxf>
          </x14:cfRule>
          <xm:sqref>X159:Y159</xm:sqref>
        </x14:conditionalFormatting>
        <x14:conditionalFormatting xmlns:xm="http://schemas.microsoft.com/office/excel/2006/main">
          <x14:cfRule type="expression" priority="2689" id="{5085BEE2-F280-4D62-BA43-B519A5B40CF4}">
            <xm:f>$S$8='Assessment Details'!$Q$23</xm:f>
            <x14:dxf>
              <font>
                <color theme="0"/>
              </font>
              <fill>
                <patternFill>
                  <bgColor theme="0"/>
                </patternFill>
              </fill>
              <border>
                <vertical/>
                <horizontal/>
              </border>
            </x14:dxf>
          </x14:cfRule>
          <xm:sqref>Q167:R167</xm:sqref>
        </x14:conditionalFormatting>
        <x14:conditionalFormatting xmlns:xm="http://schemas.microsoft.com/office/excel/2006/main">
          <x14:cfRule type="expression" priority="2688" id="{79EB9484-1E31-4C0F-ADDB-0CFCD9441EE2}">
            <xm:f>$S$8='Assessment Details'!$Q$23</xm:f>
            <x14:dxf>
              <border>
                <left style="thin">
                  <color theme="0"/>
                </left>
                <right style="thin">
                  <color theme="0"/>
                </right>
                <top style="thin">
                  <color theme="0"/>
                </top>
                <bottom style="thin">
                  <color theme="0"/>
                </bottom>
                <vertical/>
                <horizontal/>
              </border>
            </x14:dxf>
          </x14:cfRule>
          <xm:sqref>Q167:R167</xm:sqref>
        </x14:conditionalFormatting>
        <x14:conditionalFormatting xmlns:xm="http://schemas.microsoft.com/office/excel/2006/main">
          <x14:cfRule type="expression" priority="2687" id="{5D79AE54-4DC9-4DCA-884C-42876EAB53E2}">
            <xm:f>$Z$8='Assessment Details'!$Q$23</xm:f>
            <x14:dxf>
              <font>
                <color theme="0"/>
              </font>
              <fill>
                <patternFill>
                  <bgColor theme="0"/>
                </patternFill>
              </fill>
            </x14:dxf>
          </x14:cfRule>
          <xm:sqref>X167:Y167</xm:sqref>
        </x14:conditionalFormatting>
        <x14:conditionalFormatting xmlns:xm="http://schemas.microsoft.com/office/excel/2006/main">
          <x14:cfRule type="expression" priority="2686" id="{642EF19E-4E9F-444D-BBE2-E38D5C87ADE9}">
            <xm:f>$Z$8='Assessment Details'!$Q$23</xm:f>
            <x14:dxf>
              <border>
                <left style="thin">
                  <color theme="0"/>
                </left>
                <right style="thin">
                  <color theme="0"/>
                </right>
                <top style="thin">
                  <color theme="0"/>
                </top>
                <bottom style="thin">
                  <color theme="0"/>
                </bottom>
                <vertical/>
                <horizontal/>
              </border>
            </x14:dxf>
          </x14:cfRule>
          <xm:sqref>X167:Y167</xm:sqref>
        </x14:conditionalFormatting>
        <x14:conditionalFormatting xmlns:xm="http://schemas.microsoft.com/office/excel/2006/main">
          <x14:cfRule type="expression" priority="2667" id="{DE222025-3144-4E99-8DE8-CC9624D26BAD}">
            <xm:f>$S$8='Assessment Details'!$Q$23</xm:f>
            <x14:dxf>
              <font>
                <color theme="0"/>
              </font>
              <fill>
                <patternFill>
                  <bgColor theme="0"/>
                </patternFill>
              </fill>
              <border>
                <vertical/>
                <horizontal/>
              </border>
            </x14:dxf>
          </x14:cfRule>
          <xm:sqref>Q171:R172</xm:sqref>
        </x14:conditionalFormatting>
        <x14:conditionalFormatting xmlns:xm="http://schemas.microsoft.com/office/excel/2006/main">
          <x14:cfRule type="expression" priority="2666" id="{86289F27-85BD-4061-BB4F-ADFE71F58198}">
            <xm:f>$S$8='Assessment Details'!$Q$23</xm:f>
            <x14:dxf>
              <border>
                <left style="thin">
                  <color theme="0"/>
                </left>
                <right style="thin">
                  <color theme="0"/>
                </right>
                <top style="thin">
                  <color theme="0"/>
                </top>
                <bottom style="thin">
                  <color theme="0"/>
                </bottom>
                <vertical/>
                <horizontal/>
              </border>
            </x14:dxf>
          </x14:cfRule>
          <xm:sqref>Q171:R172</xm:sqref>
        </x14:conditionalFormatting>
        <x14:conditionalFormatting xmlns:xm="http://schemas.microsoft.com/office/excel/2006/main">
          <x14:cfRule type="expression" priority="2665" id="{F6BF0F31-291D-4A06-82A1-79D9EE908212}">
            <xm:f>$Z$8='Assessment Details'!$Q$23</xm:f>
            <x14:dxf>
              <font>
                <color theme="0"/>
              </font>
              <fill>
                <patternFill>
                  <bgColor theme="0"/>
                </patternFill>
              </fill>
            </x14:dxf>
          </x14:cfRule>
          <xm:sqref>X171:Y172</xm:sqref>
        </x14:conditionalFormatting>
        <x14:conditionalFormatting xmlns:xm="http://schemas.microsoft.com/office/excel/2006/main">
          <x14:cfRule type="expression" priority="2664" id="{A92F8E34-C6A8-4C61-8472-430C9B307BDD}">
            <xm:f>$Z$8='Assessment Details'!$Q$23</xm:f>
            <x14:dxf>
              <border>
                <left style="thin">
                  <color theme="0"/>
                </left>
                <right style="thin">
                  <color theme="0"/>
                </right>
                <top style="thin">
                  <color theme="0"/>
                </top>
                <bottom style="thin">
                  <color theme="0"/>
                </bottom>
                <vertical/>
                <horizontal/>
              </border>
            </x14:dxf>
          </x14:cfRule>
          <xm:sqref>X171:Y172</xm:sqref>
        </x14:conditionalFormatting>
        <x14:conditionalFormatting xmlns:xm="http://schemas.microsoft.com/office/excel/2006/main">
          <x14:cfRule type="expression" priority="2645" id="{03F5AC57-CEE1-4E27-BDCA-705C92F9C04A}">
            <xm:f>$S$8='Assessment Details'!$Q$23</xm:f>
            <x14:dxf>
              <font>
                <color theme="0"/>
              </font>
              <fill>
                <patternFill>
                  <bgColor theme="0"/>
                </patternFill>
              </fill>
              <border>
                <vertical/>
                <horizontal/>
              </border>
            </x14:dxf>
          </x14:cfRule>
          <xm:sqref>Q175:R175</xm:sqref>
        </x14:conditionalFormatting>
        <x14:conditionalFormatting xmlns:xm="http://schemas.microsoft.com/office/excel/2006/main">
          <x14:cfRule type="expression" priority="2644" id="{24796940-0E34-4F8C-B9C3-C0BD5B9D2DE9}">
            <xm:f>$S$8='Assessment Details'!$Q$23</xm:f>
            <x14:dxf>
              <border>
                <left style="thin">
                  <color theme="0"/>
                </left>
                <right style="thin">
                  <color theme="0"/>
                </right>
                <top style="thin">
                  <color theme="0"/>
                </top>
                <bottom style="thin">
                  <color theme="0"/>
                </bottom>
                <vertical/>
                <horizontal/>
              </border>
            </x14:dxf>
          </x14:cfRule>
          <xm:sqref>Q175:R175</xm:sqref>
        </x14:conditionalFormatting>
        <x14:conditionalFormatting xmlns:xm="http://schemas.microsoft.com/office/excel/2006/main">
          <x14:cfRule type="expression" priority="2643" id="{3ACC2B89-684A-484D-B203-D284673DE8A7}">
            <xm:f>$Z$8='Assessment Details'!$Q$23</xm:f>
            <x14:dxf>
              <font>
                <color theme="0"/>
              </font>
              <fill>
                <patternFill>
                  <bgColor theme="0"/>
                </patternFill>
              </fill>
            </x14:dxf>
          </x14:cfRule>
          <xm:sqref>X175:Y175</xm:sqref>
        </x14:conditionalFormatting>
        <x14:conditionalFormatting xmlns:xm="http://schemas.microsoft.com/office/excel/2006/main">
          <x14:cfRule type="expression" priority="2642" id="{D473DCAE-7B09-4CAA-B8DC-5EF1853C823C}">
            <xm:f>$Z$8='Assessment Details'!$Q$23</xm:f>
            <x14:dxf>
              <border>
                <left style="thin">
                  <color theme="0"/>
                </left>
                <right style="thin">
                  <color theme="0"/>
                </right>
                <top style="thin">
                  <color theme="0"/>
                </top>
                <bottom style="thin">
                  <color theme="0"/>
                </bottom>
                <vertical/>
                <horizontal/>
              </border>
            </x14:dxf>
          </x14:cfRule>
          <xm:sqref>X175:Y175</xm:sqref>
        </x14:conditionalFormatting>
        <x14:conditionalFormatting xmlns:xm="http://schemas.microsoft.com/office/excel/2006/main">
          <x14:cfRule type="expression" priority="2623" id="{BB47B5EE-B404-4459-A9DC-7A8F921C40F1}">
            <xm:f>$S$8='Assessment Details'!$Q$23</xm:f>
            <x14:dxf>
              <font>
                <color theme="0"/>
              </font>
              <fill>
                <patternFill>
                  <bgColor theme="0"/>
                </patternFill>
              </fill>
              <border>
                <vertical/>
                <horizontal/>
              </border>
            </x14:dxf>
          </x14:cfRule>
          <xm:sqref>Q179:R179</xm:sqref>
        </x14:conditionalFormatting>
        <x14:conditionalFormatting xmlns:xm="http://schemas.microsoft.com/office/excel/2006/main">
          <x14:cfRule type="expression" priority="2622" id="{1AE651B5-4783-41FA-8F61-2B060157B0C2}">
            <xm:f>$S$8='Assessment Details'!$Q$23</xm:f>
            <x14:dxf>
              <border>
                <left style="thin">
                  <color theme="0"/>
                </left>
                <right style="thin">
                  <color theme="0"/>
                </right>
                <top style="thin">
                  <color theme="0"/>
                </top>
                <bottom style="thin">
                  <color theme="0"/>
                </bottom>
                <vertical/>
                <horizontal/>
              </border>
            </x14:dxf>
          </x14:cfRule>
          <xm:sqref>Q179:R179</xm:sqref>
        </x14:conditionalFormatting>
        <x14:conditionalFormatting xmlns:xm="http://schemas.microsoft.com/office/excel/2006/main">
          <x14:cfRule type="expression" priority="2621" id="{DED99014-4D9C-439F-9304-06140F0CD019}">
            <xm:f>$Z$8='Assessment Details'!$Q$23</xm:f>
            <x14:dxf>
              <font>
                <color theme="0"/>
              </font>
              <fill>
                <patternFill>
                  <bgColor theme="0"/>
                </patternFill>
              </fill>
            </x14:dxf>
          </x14:cfRule>
          <xm:sqref>X179:Y179</xm:sqref>
        </x14:conditionalFormatting>
        <x14:conditionalFormatting xmlns:xm="http://schemas.microsoft.com/office/excel/2006/main">
          <x14:cfRule type="expression" priority="2620" id="{13C7E632-2E9A-469D-944E-F005BDAA0175}">
            <xm:f>$Z$8='Assessment Details'!$Q$23</xm:f>
            <x14:dxf>
              <border>
                <left style="thin">
                  <color theme="0"/>
                </left>
                <right style="thin">
                  <color theme="0"/>
                </right>
                <top style="thin">
                  <color theme="0"/>
                </top>
                <bottom style="thin">
                  <color theme="0"/>
                </bottom>
                <vertical/>
                <horizontal/>
              </border>
            </x14:dxf>
          </x14:cfRule>
          <xm:sqref>X179:Y179</xm:sqref>
        </x14:conditionalFormatting>
        <x14:conditionalFormatting xmlns:xm="http://schemas.microsoft.com/office/excel/2006/main">
          <x14:cfRule type="expression" priority="2601" id="{FF3D70A3-E2F0-4011-AF6E-88CB2A9F4AB2}">
            <xm:f>$S$8='Assessment Details'!$Q$23</xm:f>
            <x14:dxf>
              <font>
                <color theme="0"/>
              </font>
              <fill>
                <patternFill>
                  <bgColor theme="0"/>
                </patternFill>
              </fill>
              <border>
                <vertical/>
                <horizontal/>
              </border>
            </x14:dxf>
          </x14:cfRule>
          <xm:sqref>Q183:R183</xm:sqref>
        </x14:conditionalFormatting>
        <x14:conditionalFormatting xmlns:xm="http://schemas.microsoft.com/office/excel/2006/main">
          <x14:cfRule type="expression" priority="2600" id="{0AE6CF74-4BA9-4FC0-8C0E-F1B16B0742DE}">
            <xm:f>$S$8='Assessment Details'!$Q$23</xm:f>
            <x14:dxf>
              <border>
                <left style="thin">
                  <color theme="0"/>
                </left>
                <right style="thin">
                  <color theme="0"/>
                </right>
                <top style="thin">
                  <color theme="0"/>
                </top>
                <bottom style="thin">
                  <color theme="0"/>
                </bottom>
                <vertical/>
                <horizontal/>
              </border>
            </x14:dxf>
          </x14:cfRule>
          <xm:sqref>Q183:R183</xm:sqref>
        </x14:conditionalFormatting>
        <x14:conditionalFormatting xmlns:xm="http://schemas.microsoft.com/office/excel/2006/main">
          <x14:cfRule type="expression" priority="2599" id="{3D558B44-BBCE-494B-81ED-AB3925E6A5DA}">
            <xm:f>$Z$8='Assessment Details'!$Q$23</xm:f>
            <x14:dxf>
              <font>
                <color theme="0"/>
              </font>
              <fill>
                <patternFill>
                  <bgColor theme="0"/>
                </patternFill>
              </fill>
            </x14:dxf>
          </x14:cfRule>
          <xm:sqref>X183:Y183</xm:sqref>
        </x14:conditionalFormatting>
        <x14:conditionalFormatting xmlns:xm="http://schemas.microsoft.com/office/excel/2006/main">
          <x14:cfRule type="expression" priority="2598" id="{84D843F5-91B5-42FA-A026-5431C2C7E947}">
            <xm:f>$Z$8='Assessment Details'!$Q$23</xm:f>
            <x14:dxf>
              <border>
                <left style="thin">
                  <color theme="0"/>
                </left>
                <right style="thin">
                  <color theme="0"/>
                </right>
                <top style="thin">
                  <color theme="0"/>
                </top>
                <bottom style="thin">
                  <color theme="0"/>
                </bottom>
                <vertical/>
                <horizontal/>
              </border>
            </x14:dxf>
          </x14:cfRule>
          <xm:sqref>X183:Y183</xm:sqref>
        </x14:conditionalFormatting>
        <x14:conditionalFormatting xmlns:xm="http://schemas.microsoft.com/office/excel/2006/main">
          <x14:cfRule type="expression" priority="2579" id="{A5C32B32-ED52-48B4-9A25-BD04F4A1AB84}">
            <xm:f>$S$8='Assessment Details'!$Q$23</xm:f>
            <x14:dxf>
              <font>
                <color theme="0"/>
              </font>
              <fill>
                <patternFill>
                  <bgColor theme="0"/>
                </patternFill>
              </fill>
              <border>
                <vertical/>
                <horizontal/>
              </border>
            </x14:dxf>
          </x14:cfRule>
          <xm:sqref>Q185:R185</xm:sqref>
        </x14:conditionalFormatting>
        <x14:conditionalFormatting xmlns:xm="http://schemas.microsoft.com/office/excel/2006/main">
          <x14:cfRule type="expression" priority="2578" id="{D0ABD19C-8EA4-4E11-9305-339EFFA32B58}">
            <xm:f>$S$8='Assessment Details'!$Q$23</xm:f>
            <x14:dxf>
              <border>
                <left style="thin">
                  <color theme="0"/>
                </left>
                <right style="thin">
                  <color theme="0"/>
                </right>
                <top style="thin">
                  <color theme="0"/>
                </top>
                <bottom style="thin">
                  <color theme="0"/>
                </bottom>
                <vertical/>
                <horizontal/>
              </border>
            </x14:dxf>
          </x14:cfRule>
          <xm:sqref>Q185:R185</xm:sqref>
        </x14:conditionalFormatting>
        <x14:conditionalFormatting xmlns:xm="http://schemas.microsoft.com/office/excel/2006/main">
          <x14:cfRule type="expression" priority="2577" id="{BA58B041-1F21-4BB2-8FF2-1A88031ECC97}">
            <xm:f>$Z$8='Assessment Details'!$Q$23</xm:f>
            <x14:dxf>
              <font>
                <color theme="0"/>
              </font>
              <fill>
                <patternFill>
                  <bgColor theme="0"/>
                </patternFill>
              </fill>
            </x14:dxf>
          </x14:cfRule>
          <xm:sqref>X185:Y185</xm:sqref>
        </x14:conditionalFormatting>
        <x14:conditionalFormatting xmlns:xm="http://schemas.microsoft.com/office/excel/2006/main">
          <x14:cfRule type="expression" priority="2576" id="{FFD8CAF1-C0B2-45CA-86ED-DA08BCA48491}">
            <xm:f>$Z$8='Assessment Details'!$Q$23</xm:f>
            <x14:dxf>
              <border>
                <left style="thin">
                  <color theme="0"/>
                </left>
                <right style="thin">
                  <color theme="0"/>
                </right>
                <top style="thin">
                  <color theme="0"/>
                </top>
                <bottom style="thin">
                  <color theme="0"/>
                </bottom>
                <vertical/>
                <horizontal/>
              </border>
            </x14:dxf>
          </x14:cfRule>
          <xm:sqref>X185:Y185</xm:sqref>
        </x14:conditionalFormatting>
        <x14:conditionalFormatting xmlns:xm="http://schemas.microsoft.com/office/excel/2006/main">
          <x14:cfRule type="expression" priority="2557" id="{A5CBEBC7-91C4-4779-A03E-ED4532776B98}">
            <xm:f>$S$8='Assessment Details'!$Q$23</xm:f>
            <x14:dxf>
              <font>
                <color theme="0"/>
              </font>
              <fill>
                <patternFill>
                  <bgColor theme="0"/>
                </patternFill>
              </fill>
              <border>
                <vertical/>
                <horizontal/>
              </border>
            </x14:dxf>
          </x14:cfRule>
          <xm:sqref>Q188:R188</xm:sqref>
        </x14:conditionalFormatting>
        <x14:conditionalFormatting xmlns:xm="http://schemas.microsoft.com/office/excel/2006/main">
          <x14:cfRule type="expression" priority="2556" id="{7FC9FA78-CB01-4454-ACDB-92F5DA583170}">
            <xm:f>$S$8='Assessment Details'!$Q$23</xm:f>
            <x14:dxf>
              <border>
                <left style="thin">
                  <color theme="0"/>
                </left>
                <right style="thin">
                  <color theme="0"/>
                </right>
                <top style="thin">
                  <color theme="0"/>
                </top>
                <bottom style="thin">
                  <color theme="0"/>
                </bottom>
                <vertical/>
                <horizontal/>
              </border>
            </x14:dxf>
          </x14:cfRule>
          <xm:sqref>Q188:R188</xm:sqref>
        </x14:conditionalFormatting>
        <x14:conditionalFormatting xmlns:xm="http://schemas.microsoft.com/office/excel/2006/main">
          <x14:cfRule type="expression" priority="2555" id="{82F3A0CF-3445-445E-8A01-3FAB2A216AD4}">
            <xm:f>$Z$8='Assessment Details'!$Q$23</xm:f>
            <x14:dxf>
              <font>
                <color theme="0"/>
              </font>
              <fill>
                <patternFill>
                  <bgColor theme="0"/>
                </patternFill>
              </fill>
            </x14:dxf>
          </x14:cfRule>
          <xm:sqref>X188:Y188</xm:sqref>
        </x14:conditionalFormatting>
        <x14:conditionalFormatting xmlns:xm="http://schemas.microsoft.com/office/excel/2006/main">
          <x14:cfRule type="expression" priority="2554" id="{2D0F7A81-CB6F-46F2-8FF4-B9BE8086BF64}">
            <xm:f>$Z$8='Assessment Details'!$Q$23</xm:f>
            <x14:dxf>
              <border>
                <left style="thin">
                  <color theme="0"/>
                </left>
                <right style="thin">
                  <color theme="0"/>
                </right>
                <top style="thin">
                  <color theme="0"/>
                </top>
                <bottom style="thin">
                  <color theme="0"/>
                </bottom>
                <vertical/>
                <horizontal/>
              </border>
            </x14:dxf>
          </x14:cfRule>
          <xm:sqref>X188:Y188</xm:sqref>
        </x14:conditionalFormatting>
        <x14:conditionalFormatting xmlns:xm="http://schemas.microsoft.com/office/excel/2006/main">
          <x14:cfRule type="expression" priority="2535" id="{37A99355-9BE5-4679-964D-6ED8844998FD}">
            <xm:f>$S$8='Assessment Details'!$Q$23</xm:f>
            <x14:dxf>
              <font>
                <color theme="0"/>
              </font>
              <fill>
                <patternFill>
                  <bgColor theme="0"/>
                </patternFill>
              </fill>
              <border>
                <vertical/>
                <horizontal/>
              </border>
            </x14:dxf>
          </x14:cfRule>
          <xm:sqref>Q201:R201</xm:sqref>
        </x14:conditionalFormatting>
        <x14:conditionalFormatting xmlns:xm="http://schemas.microsoft.com/office/excel/2006/main">
          <x14:cfRule type="expression" priority="2534" id="{5B05A962-0B31-42C0-A29B-4FBC9AAFC702}">
            <xm:f>$S$8='Assessment Details'!$Q$23</xm:f>
            <x14:dxf>
              <border>
                <left style="thin">
                  <color theme="0"/>
                </left>
                <right style="thin">
                  <color theme="0"/>
                </right>
                <top style="thin">
                  <color theme="0"/>
                </top>
                <bottom style="thin">
                  <color theme="0"/>
                </bottom>
                <vertical/>
                <horizontal/>
              </border>
            </x14:dxf>
          </x14:cfRule>
          <xm:sqref>Q201:R201</xm:sqref>
        </x14:conditionalFormatting>
        <x14:conditionalFormatting xmlns:xm="http://schemas.microsoft.com/office/excel/2006/main">
          <x14:cfRule type="expression" priority="2533" id="{9FC6A7DA-9094-46D8-A8FC-A8B87FCE7D2B}">
            <xm:f>$Z$8='Assessment Details'!$Q$23</xm:f>
            <x14:dxf>
              <font>
                <color theme="0"/>
              </font>
              <fill>
                <patternFill>
                  <bgColor theme="0"/>
                </patternFill>
              </fill>
            </x14:dxf>
          </x14:cfRule>
          <xm:sqref>X201:Y201</xm:sqref>
        </x14:conditionalFormatting>
        <x14:conditionalFormatting xmlns:xm="http://schemas.microsoft.com/office/excel/2006/main">
          <x14:cfRule type="expression" priority="2532" id="{8C4FD2FA-C583-4CB4-80D9-8386039D5546}">
            <xm:f>$Z$8='Assessment Details'!$Q$23</xm:f>
            <x14:dxf>
              <border>
                <left style="thin">
                  <color theme="0"/>
                </left>
                <right style="thin">
                  <color theme="0"/>
                </right>
                <top style="thin">
                  <color theme="0"/>
                </top>
                <bottom style="thin">
                  <color theme="0"/>
                </bottom>
                <vertical/>
                <horizontal/>
              </border>
            </x14:dxf>
          </x14:cfRule>
          <xm:sqref>X201:Y201</xm:sqref>
        </x14:conditionalFormatting>
        <x14:conditionalFormatting xmlns:xm="http://schemas.microsoft.com/office/excel/2006/main">
          <x14:cfRule type="expression" priority="2513" id="{D7D360FE-8CC6-4803-A70B-CAE7A8DA2370}">
            <xm:f>$S$8='Assessment Details'!$Q$23</xm:f>
            <x14:dxf>
              <font>
                <color theme="0"/>
              </font>
              <fill>
                <patternFill>
                  <bgColor theme="0"/>
                </patternFill>
              </fill>
              <border>
                <vertical/>
                <horizontal/>
              </border>
            </x14:dxf>
          </x14:cfRule>
          <xm:sqref>Q204:R204</xm:sqref>
        </x14:conditionalFormatting>
        <x14:conditionalFormatting xmlns:xm="http://schemas.microsoft.com/office/excel/2006/main">
          <x14:cfRule type="expression" priority="2512" id="{361DB25F-D381-4DF6-8113-61F256A63FFD}">
            <xm:f>$S$8='Assessment Details'!$Q$23</xm:f>
            <x14:dxf>
              <border>
                <left style="thin">
                  <color theme="0"/>
                </left>
                <right style="thin">
                  <color theme="0"/>
                </right>
                <top style="thin">
                  <color theme="0"/>
                </top>
                <bottom style="thin">
                  <color theme="0"/>
                </bottom>
                <vertical/>
                <horizontal/>
              </border>
            </x14:dxf>
          </x14:cfRule>
          <xm:sqref>Q204:R204</xm:sqref>
        </x14:conditionalFormatting>
        <x14:conditionalFormatting xmlns:xm="http://schemas.microsoft.com/office/excel/2006/main">
          <x14:cfRule type="expression" priority="2511" id="{BF477FE1-0C94-45FA-9C9F-B7BEAF49FE48}">
            <xm:f>$Z$8='Assessment Details'!$Q$23</xm:f>
            <x14:dxf>
              <font>
                <color theme="0"/>
              </font>
              <fill>
                <patternFill>
                  <bgColor theme="0"/>
                </patternFill>
              </fill>
            </x14:dxf>
          </x14:cfRule>
          <xm:sqref>X204:Y204</xm:sqref>
        </x14:conditionalFormatting>
        <x14:conditionalFormatting xmlns:xm="http://schemas.microsoft.com/office/excel/2006/main">
          <x14:cfRule type="expression" priority="2510" id="{29455680-3399-4AC2-930B-5F61D074ABBA}">
            <xm:f>$Z$8='Assessment Details'!$Q$23</xm:f>
            <x14:dxf>
              <border>
                <left style="thin">
                  <color theme="0"/>
                </left>
                <right style="thin">
                  <color theme="0"/>
                </right>
                <top style="thin">
                  <color theme="0"/>
                </top>
                <bottom style="thin">
                  <color theme="0"/>
                </bottom>
                <vertical/>
                <horizontal/>
              </border>
            </x14:dxf>
          </x14:cfRule>
          <xm:sqref>X204:Y204</xm:sqref>
        </x14:conditionalFormatting>
        <x14:conditionalFormatting xmlns:xm="http://schemas.microsoft.com/office/excel/2006/main">
          <x14:cfRule type="expression" priority="2491" id="{9BE0B12E-ED3A-4BF6-BE58-06E577076887}">
            <xm:f>$S$8='Assessment Details'!$Q$23</xm:f>
            <x14:dxf>
              <font>
                <color theme="0"/>
              </font>
              <fill>
                <patternFill>
                  <bgColor theme="0"/>
                </patternFill>
              </fill>
              <border>
                <vertical/>
                <horizontal/>
              </border>
            </x14:dxf>
          </x14:cfRule>
          <xm:sqref>Q207:R207</xm:sqref>
        </x14:conditionalFormatting>
        <x14:conditionalFormatting xmlns:xm="http://schemas.microsoft.com/office/excel/2006/main">
          <x14:cfRule type="expression" priority="2490" id="{FB75C1DC-7F57-4929-B090-7120F515DFFC}">
            <xm:f>$S$8='Assessment Details'!$Q$23</xm:f>
            <x14:dxf>
              <border>
                <left style="thin">
                  <color theme="0"/>
                </left>
                <right style="thin">
                  <color theme="0"/>
                </right>
                <top style="thin">
                  <color theme="0"/>
                </top>
                <bottom style="thin">
                  <color theme="0"/>
                </bottom>
                <vertical/>
                <horizontal/>
              </border>
            </x14:dxf>
          </x14:cfRule>
          <xm:sqref>Q207:R207</xm:sqref>
        </x14:conditionalFormatting>
        <x14:conditionalFormatting xmlns:xm="http://schemas.microsoft.com/office/excel/2006/main">
          <x14:cfRule type="expression" priority="2489" id="{F50A463C-BCEE-4AF7-9D93-BC2C3D84423D}">
            <xm:f>$Z$8='Assessment Details'!$Q$23</xm:f>
            <x14:dxf>
              <font>
                <color theme="0"/>
              </font>
              <fill>
                <patternFill>
                  <bgColor theme="0"/>
                </patternFill>
              </fill>
            </x14:dxf>
          </x14:cfRule>
          <xm:sqref>X207:Y207</xm:sqref>
        </x14:conditionalFormatting>
        <x14:conditionalFormatting xmlns:xm="http://schemas.microsoft.com/office/excel/2006/main">
          <x14:cfRule type="expression" priority="2488" id="{E36E2DF7-E9FC-496C-BC29-3B08CB152ACD}">
            <xm:f>$Z$8='Assessment Details'!$Q$23</xm:f>
            <x14:dxf>
              <border>
                <left style="thin">
                  <color theme="0"/>
                </left>
                <right style="thin">
                  <color theme="0"/>
                </right>
                <top style="thin">
                  <color theme="0"/>
                </top>
                <bottom style="thin">
                  <color theme="0"/>
                </bottom>
                <vertical/>
                <horizontal/>
              </border>
            </x14:dxf>
          </x14:cfRule>
          <xm:sqref>X207:Y207</xm:sqref>
        </x14:conditionalFormatting>
        <x14:conditionalFormatting xmlns:xm="http://schemas.microsoft.com/office/excel/2006/main">
          <x14:cfRule type="expression" priority="2468" id="{F520F275-AA21-4989-B9CF-E28CD6D94467}">
            <xm:f>$S$8='Assessment Details'!$Q$23</xm:f>
            <x14:dxf>
              <font>
                <color theme="0"/>
              </font>
              <fill>
                <patternFill>
                  <bgColor theme="0"/>
                </patternFill>
              </fill>
              <border>
                <vertical/>
                <horizontal/>
              </border>
            </x14:dxf>
          </x14:cfRule>
          <xm:sqref>N41:N45</xm:sqref>
        </x14:conditionalFormatting>
        <x14:conditionalFormatting xmlns:xm="http://schemas.microsoft.com/office/excel/2006/main">
          <x14:cfRule type="expression" priority="2467" id="{65297D8B-AB0B-4557-8CDD-F71008214F0F}">
            <xm:f>$S$8='Assessment Details'!$Q$23</xm:f>
            <x14:dxf>
              <border>
                <left style="thin">
                  <color theme="0"/>
                </left>
                <right style="thin">
                  <color theme="0"/>
                </right>
                <top style="thin">
                  <color theme="0"/>
                </top>
                <bottom style="thin">
                  <color theme="0"/>
                </bottom>
                <vertical/>
                <horizontal/>
              </border>
            </x14:dxf>
          </x14:cfRule>
          <xm:sqref>N41:N45</xm:sqref>
        </x14:conditionalFormatting>
        <x14:conditionalFormatting xmlns:xm="http://schemas.microsoft.com/office/excel/2006/main">
          <x14:cfRule type="expression" priority="2466" id="{23ED5DD3-EE5A-4EC2-BF98-B7CAB7F0ACE1}">
            <xm:f>$Z$8='Assessment Details'!$Q$23</xm:f>
            <x14:dxf>
              <font>
                <color theme="0"/>
              </font>
              <fill>
                <patternFill>
                  <bgColor theme="0"/>
                </patternFill>
              </fill>
            </x14:dxf>
          </x14:cfRule>
          <xm:sqref>X41:Y45</xm:sqref>
        </x14:conditionalFormatting>
        <x14:conditionalFormatting xmlns:xm="http://schemas.microsoft.com/office/excel/2006/main">
          <x14:cfRule type="expression" priority="2465" id="{538EEEBC-840F-45AA-BA3C-4E4C560A6E08}">
            <xm:f>$Z$8='Assessment Details'!$Q$23</xm:f>
            <x14:dxf>
              <border>
                <left style="thin">
                  <color theme="0"/>
                </left>
                <right style="thin">
                  <color theme="0"/>
                </right>
                <top style="thin">
                  <color theme="0"/>
                </top>
                <bottom style="thin">
                  <color theme="0"/>
                </bottom>
                <vertical/>
                <horizontal/>
              </border>
            </x14:dxf>
          </x14:cfRule>
          <xm:sqref>X41:Y45</xm:sqref>
        </x14:conditionalFormatting>
        <x14:conditionalFormatting xmlns:xm="http://schemas.microsoft.com/office/excel/2006/main">
          <x14:cfRule type="expression" priority="2451" id="{DC06FD4E-10F2-4831-BD36-17564073A566}">
            <xm:f>$Z$8='Assessment Details'!$Q$23</xm:f>
            <x14:dxf>
              <font>
                <color theme="0"/>
              </font>
              <fill>
                <patternFill>
                  <bgColor theme="0"/>
                </patternFill>
              </fill>
            </x14:dxf>
          </x14:cfRule>
          <xm:sqref>U41:U45</xm:sqref>
        </x14:conditionalFormatting>
        <x14:conditionalFormatting xmlns:xm="http://schemas.microsoft.com/office/excel/2006/main">
          <x14:cfRule type="expression" priority="2450" id="{0C676674-2813-4A1B-8AC3-2129F2E97D76}">
            <xm:f>$Z$8='Assessment Details'!$Q$23</xm:f>
            <x14:dxf>
              <border>
                <left style="thin">
                  <color theme="0"/>
                </left>
                <right style="thin">
                  <color theme="0"/>
                </right>
                <top style="thin">
                  <color theme="0"/>
                </top>
                <bottom style="thin">
                  <color theme="0"/>
                </bottom>
                <vertical/>
                <horizontal/>
              </border>
            </x14:dxf>
          </x14:cfRule>
          <xm:sqref>U41:U45</xm:sqref>
        </x14:conditionalFormatting>
        <x14:conditionalFormatting xmlns:xm="http://schemas.microsoft.com/office/excel/2006/main">
          <x14:cfRule type="expression" priority="2439" id="{EBA401F8-FFB6-48F9-A694-9CEBDB9352D6}">
            <xm:f>$S$8='Assessment Details'!$Q$23</xm:f>
            <x14:dxf>
              <font>
                <color theme="0"/>
              </font>
              <fill>
                <patternFill>
                  <bgColor theme="0"/>
                </patternFill>
              </fill>
              <border>
                <vertical/>
                <horizontal/>
              </border>
            </x14:dxf>
          </x14:cfRule>
          <xm:sqref>N47:N50</xm:sqref>
        </x14:conditionalFormatting>
        <x14:conditionalFormatting xmlns:xm="http://schemas.microsoft.com/office/excel/2006/main">
          <x14:cfRule type="expression" priority="2438" id="{D00DE627-09B7-4C4E-AD68-6B294F08EA63}">
            <xm:f>$S$8='Assessment Details'!$Q$23</xm:f>
            <x14:dxf>
              <border>
                <left style="thin">
                  <color theme="0"/>
                </left>
                <right style="thin">
                  <color theme="0"/>
                </right>
                <top style="thin">
                  <color theme="0"/>
                </top>
                <bottom style="thin">
                  <color theme="0"/>
                </bottom>
                <vertical/>
                <horizontal/>
              </border>
            </x14:dxf>
          </x14:cfRule>
          <xm:sqref>N47:N50</xm:sqref>
        </x14:conditionalFormatting>
        <x14:conditionalFormatting xmlns:xm="http://schemas.microsoft.com/office/excel/2006/main">
          <x14:cfRule type="expression" priority="2437" id="{211A9518-D0E4-47F3-8F21-84EE0D3E60EA}">
            <xm:f>$Z$8='Assessment Details'!$Q$23</xm:f>
            <x14:dxf>
              <font>
                <color theme="0"/>
              </font>
              <fill>
                <patternFill>
                  <bgColor theme="0"/>
                </patternFill>
              </fill>
            </x14:dxf>
          </x14:cfRule>
          <xm:sqref>X47:Y50</xm:sqref>
        </x14:conditionalFormatting>
        <x14:conditionalFormatting xmlns:xm="http://schemas.microsoft.com/office/excel/2006/main">
          <x14:cfRule type="expression" priority="2436" id="{6918EB0A-3099-4DCC-93AA-21F4F3C3ABD7}">
            <xm:f>$Z$8='Assessment Details'!$Q$23</xm:f>
            <x14:dxf>
              <border>
                <left style="thin">
                  <color theme="0"/>
                </left>
                <right style="thin">
                  <color theme="0"/>
                </right>
                <top style="thin">
                  <color theme="0"/>
                </top>
                <bottom style="thin">
                  <color theme="0"/>
                </bottom>
                <vertical/>
                <horizontal/>
              </border>
            </x14:dxf>
          </x14:cfRule>
          <xm:sqref>X47:Y50</xm:sqref>
        </x14:conditionalFormatting>
        <x14:conditionalFormatting xmlns:xm="http://schemas.microsoft.com/office/excel/2006/main">
          <x14:cfRule type="expression" priority="2422" id="{B16CC0B9-0CF9-4BC4-B50C-20280CD71DB9}">
            <xm:f>$Z$8='Assessment Details'!$Q$23</xm:f>
            <x14:dxf>
              <font>
                <color theme="0"/>
              </font>
              <fill>
                <patternFill>
                  <bgColor theme="0"/>
                </patternFill>
              </fill>
            </x14:dxf>
          </x14:cfRule>
          <xm:sqref>U47:U50</xm:sqref>
        </x14:conditionalFormatting>
        <x14:conditionalFormatting xmlns:xm="http://schemas.microsoft.com/office/excel/2006/main">
          <x14:cfRule type="expression" priority="2421" id="{D6211A4D-1F18-47FB-8C6F-B6B4E8C7276F}">
            <xm:f>$Z$8='Assessment Details'!$Q$23</xm:f>
            <x14:dxf>
              <border>
                <left style="thin">
                  <color theme="0"/>
                </left>
                <right style="thin">
                  <color theme="0"/>
                </right>
                <top style="thin">
                  <color theme="0"/>
                </top>
                <bottom style="thin">
                  <color theme="0"/>
                </bottom>
                <vertical/>
                <horizontal/>
              </border>
            </x14:dxf>
          </x14:cfRule>
          <xm:sqref>U47:U50</xm:sqref>
        </x14:conditionalFormatting>
        <x14:conditionalFormatting xmlns:xm="http://schemas.microsoft.com/office/excel/2006/main">
          <x14:cfRule type="expression" priority="2410" id="{8B61BCE3-BA8E-44F9-974F-CBAF2F4E9CCF}">
            <xm:f>$S$8='Assessment Details'!$Q$23</xm:f>
            <x14:dxf>
              <font>
                <color theme="0"/>
              </font>
              <fill>
                <patternFill>
                  <bgColor theme="0"/>
                </patternFill>
              </fill>
              <border>
                <vertical/>
                <horizontal/>
              </border>
            </x14:dxf>
          </x14:cfRule>
          <xm:sqref>N52:N54</xm:sqref>
        </x14:conditionalFormatting>
        <x14:conditionalFormatting xmlns:xm="http://schemas.microsoft.com/office/excel/2006/main">
          <x14:cfRule type="expression" priority="2409" id="{0F5C6E7F-3AB1-4804-B5B8-59509DC61890}">
            <xm:f>$S$8='Assessment Details'!$Q$23</xm:f>
            <x14:dxf>
              <border>
                <left style="thin">
                  <color theme="0"/>
                </left>
                <right style="thin">
                  <color theme="0"/>
                </right>
                <top style="thin">
                  <color theme="0"/>
                </top>
                <bottom style="thin">
                  <color theme="0"/>
                </bottom>
                <vertical/>
                <horizontal/>
              </border>
            </x14:dxf>
          </x14:cfRule>
          <xm:sqref>N52:N54</xm:sqref>
        </x14:conditionalFormatting>
        <x14:conditionalFormatting xmlns:xm="http://schemas.microsoft.com/office/excel/2006/main">
          <x14:cfRule type="expression" priority="2408" id="{8B35C785-D46D-4C2B-ABFE-E56AAFA48521}">
            <xm:f>$Z$8='Assessment Details'!$Q$23</xm:f>
            <x14:dxf>
              <font>
                <color theme="0"/>
              </font>
              <fill>
                <patternFill>
                  <bgColor theme="0"/>
                </patternFill>
              </fill>
            </x14:dxf>
          </x14:cfRule>
          <xm:sqref>X52:Y54</xm:sqref>
        </x14:conditionalFormatting>
        <x14:conditionalFormatting xmlns:xm="http://schemas.microsoft.com/office/excel/2006/main">
          <x14:cfRule type="expression" priority="2407" id="{CC6DD474-82D8-4E9E-BC65-751A09A84E39}">
            <xm:f>$Z$8='Assessment Details'!$Q$23</xm:f>
            <x14:dxf>
              <border>
                <left style="thin">
                  <color theme="0"/>
                </left>
                <right style="thin">
                  <color theme="0"/>
                </right>
                <top style="thin">
                  <color theme="0"/>
                </top>
                <bottom style="thin">
                  <color theme="0"/>
                </bottom>
                <vertical/>
                <horizontal/>
              </border>
            </x14:dxf>
          </x14:cfRule>
          <xm:sqref>X52:Y54</xm:sqref>
        </x14:conditionalFormatting>
        <x14:conditionalFormatting xmlns:xm="http://schemas.microsoft.com/office/excel/2006/main">
          <x14:cfRule type="expression" priority="2393" id="{C13CF83B-3E24-403D-ACE9-CB88E7959896}">
            <xm:f>$Z$8='Assessment Details'!$Q$23</xm:f>
            <x14:dxf>
              <font>
                <color theme="0"/>
              </font>
              <fill>
                <patternFill>
                  <bgColor theme="0"/>
                </patternFill>
              </fill>
            </x14:dxf>
          </x14:cfRule>
          <xm:sqref>U52:U54</xm:sqref>
        </x14:conditionalFormatting>
        <x14:conditionalFormatting xmlns:xm="http://schemas.microsoft.com/office/excel/2006/main">
          <x14:cfRule type="expression" priority="2392" id="{70213745-7607-4C38-B131-7AF5FAF240C3}">
            <xm:f>$Z$8='Assessment Details'!$Q$23</xm:f>
            <x14:dxf>
              <border>
                <left style="thin">
                  <color theme="0"/>
                </left>
                <right style="thin">
                  <color theme="0"/>
                </right>
                <top style="thin">
                  <color theme="0"/>
                </top>
                <bottom style="thin">
                  <color theme="0"/>
                </bottom>
                <vertical/>
                <horizontal/>
              </border>
            </x14:dxf>
          </x14:cfRule>
          <xm:sqref>U52:U54</xm:sqref>
        </x14:conditionalFormatting>
        <x14:conditionalFormatting xmlns:xm="http://schemas.microsoft.com/office/excel/2006/main">
          <x14:cfRule type="expression" priority="2381" id="{B5DB6A08-0F2F-4CF9-89FC-B055882590B1}">
            <xm:f>$S$8='Assessment Details'!$Q$23</xm:f>
            <x14:dxf>
              <font>
                <color theme="0"/>
              </font>
              <fill>
                <patternFill>
                  <bgColor theme="0"/>
                </patternFill>
              </fill>
              <border>
                <vertical/>
                <horizontal/>
              </border>
            </x14:dxf>
          </x14:cfRule>
          <xm:sqref>N57</xm:sqref>
        </x14:conditionalFormatting>
        <x14:conditionalFormatting xmlns:xm="http://schemas.microsoft.com/office/excel/2006/main">
          <x14:cfRule type="expression" priority="2380" id="{9A28F136-F590-4DC8-946D-8960E86C886D}">
            <xm:f>$S$8='Assessment Details'!$Q$23</xm:f>
            <x14:dxf>
              <border>
                <left style="thin">
                  <color theme="0"/>
                </left>
                <right style="thin">
                  <color theme="0"/>
                </right>
                <top style="thin">
                  <color theme="0"/>
                </top>
                <bottom style="thin">
                  <color theme="0"/>
                </bottom>
                <vertical/>
                <horizontal/>
              </border>
            </x14:dxf>
          </x14:cfRule>
          <xm:sqref>N57</xm:sqref>
        </x14:conditionalFormatting>
        <x14:conditionalFormatting xmlns:xm="http://schemas.microsoft.com/office/excel/2006/main">
          <x14:cfRule type="expression" priority="2379" id="{64B44649-B175-40BD-9BD2-E1C718700405}">
            <xm:f>$Z$8='Assessment Details'!$Q$23</xm:f>
            <x14:dxf>
              <font>
                <color theme="0"/>
              </font>
              <fill>
                <patternFill>
                  <bgColor theme="0"/>
                </patternFill>
              </fill>
            </x14:dxf>
          </x14:cfRule>
          <xm:sqref>X56:Y57</xm:sqref>
        </x14:conditionalFormatting>
        <x14:conditionalFormatting xmlns:xm="http://schemas.microsoft.com/office/excel/2006/main">
          <x14:cfRule type="expression" priority="2378" id="{3F4FB2A4-51EB-438B-BAF6-1061DECAB44F}">
            <xm:f>$Z$8='Assessment Details'!$Q$23</xm:f>
            <x14:dxf>
              <border>
                <left style="thin">
                  <color theme="0"/>
                </left>
                <right style="thin">
                  <color theme="0"/>
                </right>
                <top style="thin">
                  <color theme="0"/>
                </top>
                <bottom style="thin">
                  <color theme="0"/>
                </bottom>
                <vertical/>
                <horizontal/>
              </border>
            </x14:dxf>
          </x14:cfRule>
          <xm:sqref>X56:Y57</xm:sqref>
        </x14:conditionalFormatting>
        <x14:conditionalFormatting xmlns:xm="http://schemas.microsoft.com/office/excel/2006/main">
          <x14:cfRule type="expression" priority="2364" id="{CDE578B3-2556-425C-90AA-81F2B73F6BB0}">
            <xm:f>$Z$8='Assessment Details'!$Q$23</xm:f>
            <x14:dxf>
              <font>
                <color theme="0"/>
              </font>
              <fill>
                <patternFill>
                  <bgColor theme="0"/>
                </patternFill>
              </fill>
            </x14:dxf>
          </x14:cfRule>
          <xm:sqref>U57</xm:sqref>
        </x14:conditionalFormatting>
        <x14:conditionalFormatting xmlns:xm="http://schemas.microsoft.com/office/excel/2006/main">
          <x14:cfRule type="expression" priority="2363" id="{B626148C-4F2A-46AA-AA58-0463FA1A9A60}">
            <xm:f>$Z$8='Assessment Details'!$Q$23</xm:f>
            <x14:dxf>
              <border>
                <left style="thin">
                  <color theme="0"/>
                </left>
                <right style="thin">
                  <color theme="0"/>
                </right>
                <top style="thin">
                  <color theme="0"/>
                </top>
                <bottom style="thin">
                  <color theme="0"/>
                </bottom>
                <vertical/>
                <horizontal/>
              </border>
            </x14:dxf>
          </x14:cfRule>
          <xm:sqref>U57</xm:sqref>
        </x14:conditionalFormatting>
        <x14:conditionalFormatting xmlns:xm="http://schemas.microsoft.com/office/excel/2006/main">
          <x14:cfRule type="expression" priority="2352" id="{226059A5-5C88-467E-897B-4EDFB8224159}">
            <xm:f>$S$8='Assessment Details'!$Q$23</xm:f>
            <x14:dxf>
              <font>
                <color theme="0"/>
              </font>
              <fill>
                <patternFill>
                  <bgColor theme="0"/>
                </patternFill>
              </fill>
              <border>
                <vertical/>
                <horizontal/>
              </border>
            </x14:dxf>
          </x14:cfRule>
          <xm:sqref>N59:N60</xm:sqref>
        </x14:conditionalFormatting>
        <x14:conditionalFormatting xmlns:xm="http://schemas.microsoft.com/office/excel/2006/main">
          <x14:cfRule type="expression" priority="2351" id="{5CA0F889-AA6E-413C-AD94-C7EC10EAFCE5}">
            <xm:f>$S$8='Assessment Details'!$Q$23</xm:f>
            <x14:dxf>
              <border>
                <left style="thin">
                  <color theme="0"/>
                </left>
                <right style="thin">
                  <color theme="0"/>
                </right>
                <top style="thin">
                  <color theme="0"/>
                </top>
                <bottom style="thin">
                  <color theme="0"/>
                </bottom>
                <vertical/>
                <horizontal/>
              </border>
            </x14:dxf>
          </x14:cfRule>
          <xm:sqref>N59:N60</xm:sqref>
        </x14:conditionalFormatting>
        <x14:conditionalFormatting xmlns:xm="http://schemas.microsoft.com/office/excel/2006/main">
          <x14:cfRule type="expression" priority="2350" id="{8B989734-F8DF-4E16-BF6A-8BEAEADE2E3E}">
            <xm:f>$Z$8='Assessment Details'!$Q$23</xm:f>
            <x14:dxf>
              <font>
                <color theme="0"/>
              </font>
              <fill>
                <patternFill>
                  <bgColor theme="0"/>
                </patternFill>
              </fill>
            </x14:dxf>
          </x14:cfRule>
          <xm:sqref>X59:Y60</xm:sqref>
        </x14:conditionalFormatting>
        <x14:conditionalFormatting xmlns:xm="http://schemas.microsoft.com/office/excel/2006/main">
          <x14:cfRule type="expression" priority="2349" id="{BB590148-8C46-498A-874D-9FBDABE72BBD}">
            <xm:f>$Z$8='Assessment Details'!$Q$23</xm:f>
            <x14:dxf>
              <border>
                <left style="thin">
                  <color theme="0"/>
                </left>
                <right style="thin">
                  <color theme="0"/>
                </right>
                <top style="thin">
                  <color theme="0"/>
                </top>
                <bottom style="thin">
                  <color theme="0"/>
                </bottom>
                <vertical/>
                <horizontal/>
              </border>
            </x14:dxf>
          </x14:cfRule>
          <xm:sqref>X59:Y60</xm:sqref>
        </x14:conditionalFormatting>
        <x14:conditionalFormatting xmlns:xm="http://schemas.microsoft.com/office/excel/2006/main">
          <x14:cfRule type="expression" priority="2335" id="{CB71A114-E15F-4B34-82A8-A06476665063}">
            <xm:f>$Z$8='Assessment Details'!$Q$23</xm:f>
            <x14:dxf>
              <font>
                <color theme="0"/>
              </font>
              <fill>
                <patternFill>
                  <bgColor theme="0"/>
                </patternFill>
              </fill>
            </x14:dxf>
          </x14:cfRule>
          <xm:sqref>U59:U60</xm:sqref>
        </x14:conditionalFormatting>
        <x14:conditionalFormatting xmlns:xm="http://schemas.microsoft.com/office/excel/2006/main">
          <x14:cfRule type="expression" priority="2334" id="{DB3093EC-74C7-40E1-9C37-44C4FFABBAD7}">
            <xm:f>$Z$8='Assessment Details'!$Q$23</xm:f>
            <x14:dxf>
              <border>
                <left style="thin">
                  <color theme="0"/>
                </left>
                <right style="thin">
                  <color theme="0"/>
                </right>
                <top style="thin">
                  <color theme="0"/>
                </top>
                <bottom style="thin">
                  <color theme="0"/>
                </bottom>
                <vertical/>
                <horizontal/>
              </border>
            </x14:dxf>
          </x14:cfRule>
          <xm:sqref>U59:U60</xm:sqref>
        </x14:conditionalFormatting>
        <x14:conditionalFormatting xmlns:xm="http://schemas.microsoft.com/office/excel/2006/main">
          <x14:cfRule type="expression" priority="2323" id="{594E7B80-4F01-4A25-B75D-ED47E2CFAAC8}">
            <xm:f>$S$8='Assessment Details'!$Q$23</xm:f>
            <x14:dxf>
              <font>
                <color theme="0"/>
              </font>
              <fill>
                <patternFill>
                  <bgColor theme="0"/>
                </patternFill>
              </fill>
              <border>
                <vertical/>
                <horizontal/>
              </border>
            </x14:dxf>
          </x14:cfRule>
          <xm:sqref>N62</xm:sqref>
        </x14:conditionalFormatting>
        <x14:conditionalFormatting xmlns:xm="http://schemas.microsoft.com/office/excel/2006/main">
          <x14:cfRule type="expression" priority="2322" id="{B5708B9A-F16A-4B40-A4F5-F56F183612CF}">
            <xm:f>$S$8='Assessment Details'!$Q$23</xm:f>
            <x14:dxf>
              <border>
                <left style="thin">
                  <color theme="0"/>
                </left>
                <right style="thin">
                  <color theme="0"/>
                </right>
                <top style="thin">
                  <color theme="0"/>
                </top>
                <bottom style="thin">
                  <color theme="0"/>
                </bottom>
                <vertical/>
                <horizontal/>
              </border>
            </x14:dxf>
          </x14:cfRule>
          <xm:sqref>N62</xm:sqref>
        </x14:conditionalFormatting>
        <x14:conditionalFormatting xmlns:xm="http://schemas.microsoft.com/office/excel/2006/main">
          <x14:cfRule type="expression" priority="2321" id="{A4F5DEDE-ED55-4EA4-9A3D-3AE3E3BE1DDC}">
            <xm:f>$Z$8='Assessment Details'!$Q$23</xm:f>
            <x14:dxf>
              <font>
                <color theme="0"/>
              </font>
              <fill>
                <patternFill>
                  <bgColor theme="0"/>
                </patternFill>
              </fill>
            </x14:dxf>
          </x14:cfRule>
          <xm:sqref>X62:Y62</xm:sqref>
        </x14:conditionalFormatting>
        <x14:conditionalFormatting xmlns:xm="http://schemas.microsoft.com/office/excel/2006/main">
          <x14:cfRule type="expression" priority="2320" id="{69C51F84-D983-48EE-A07C-54B29FCA9113}">
            <xm:f>$Z$8='Assessment Details'!$Q$23</xm:f>
            <x14:dxf>
              <border>
                <left style="thin">
                  <color theme="0"/>
                </left>
                <right style="thin">
                  <color theme="0"/>
                </right>
                <top style="thin">
                  <color theme="0"/>
                </top>
                <bottom style="thin">
                  <color theme="0"/>
                </bottom>
                <vertical/>
                <horizontal/>
              </border>
            </x14:dxf>
          </x14:cfRule>
          <xm:sqref>X62:Y62</xm:sqref>
        </x14:conditionalFormatting>
        <x14:conditionalFormatting xmlns:xm="http://schemas.microsoft.com/office/excel/2006/main">
          <x14:cfRule type="expression" priority="2306" id="{F1A8FF8C-FE8F-4A32-93EB-787994E1183B}">
            <xm:f>$Z$8='Assessment Details'!$Q$23</xm:f>
            <x14:dxf>
              <font>
                <color theme="0"/>
              </font>
              <fill>
                <patternFill>
                  <bgColor theme="0"/>
                </patternFill>
              </fill>
            </x14:dxf>
          </x14:cfRule>
          <xm:sqref>U62</xm:sqref>
        </x14:conditionalFormatting>
        <x14:conditionalFormatting xmlns:xm="http://schemas.microsoft.com/office/excel/2006/main">
          <x14:cfRule type="expression" priority="2305" id="{1889BFD1-A62C-423B-AF97-D06672E00C4D}">
            <xm:f>$Z$8='Assessment Details'!$Q$23</xm:f>
            <x14:dxf>
              <border>
                <left style="thin">
                  <color theme="0"/>
                </left>
                <right style="thin">
                  <color theme="0"/>
                </right>
                <top style="thin">
                  <color theme="0"/>
                </top>
                <bottom style="thin">
                  <color theme="0"/>
                </bottom>
                <vertical/>
                <horizontal/>
              </border>
            </x14:dxf>
          </x14:cfRule>
          <xm:sqref>U62</xm:sqref>
        </x14:conditionalFormatting>
        <x14:conditionalFormatting xmlns:xm="http://schemas.microsoft.com/office/excel/2006/main">
          <x14:cfRule type="expression" priority="2294" id="{4C57F81C-C296-4591-8038-E0A5D9376C47}">
            <xm:f>$S$8='Assessment Details'!$Q$23</xm:f>
            <x14:dxf>
              <font>
                <color theme="0"/>
              </font>
              <fill>
                <patternFill>
                  <bgColor theme="0"/>
                </patternFill>
              </fill>
              <border>
                <vertical/>
                <horizontal/>
              </border>
            </x14:dxf>
          </x14:cfRule>
          <xm:sqref>N67:N73</xm:sqref>
        </x14:conditionalFormatting>
        <x14:conditionalFormatting xmlns:xm="http://schemas.microsoft.com/office/excel/2006/main">
          <x14:cfRule type="expression" priority="2293" id="{D64BE3C6-7FDA-468C-8A28-C862508A24D6}">
            <xm:f>$S$8='Assessment Details'!$Q$23</xm:f>
            <x14:dxf>
              <border>
                <left style="thin">
                  <color theme="0"/>
                </left>
                <right style="thin">
                  <color theme="0"/>
                </right>
                <top style="thin">
                  <color theme="0"/>
                </top>
                <bottom style="thin">
                  <color theme="0"/>
                </bottom>
                <vertical/>
                <horizontal/>
              </border>
            </x14:dxf>
          </x14:cfRule>
          <xm:sqref>N67:N73</xm:sqref>
        </x14:conditionalFormatting>
        <x14:conditionalFormatting xmlns:xm="http://schemas.microsoft.com/office/excel/2006/main">
          <x14:cfRule type="expression" priority="2292" id="{D2990D95-B237-40C7-8B29-8E431D7CCD98}">
            <xm:f>$Z$8='Assessment Details'!$Q$23</xm:f>
            <x14:dxf>
              <font>
                <color theme="0"/>
              </font>
              <fill>
                <patternFill>
                  <bgColor theme="0"/>
                </patternFill>
              </fill>
            </x14:dxf>
          </x14:cfRule>
          <xm:sqref>X67:Y73</xm:sqref>
        </x14:conditionalFormatting>
        <x14:conditionalFormatting xmlns:xm="http://schemas.microsoft.com/office/excel/2006/main">
          <x14:cfRule type="expression" priority="2291" id="{5D6521A0-E04C-4DDD-9F6E-E7074BA9A1BA}">
            <xm:f>$Z$8='Assessment Details'!$Q$23</xm:f>
            <x14:dxf>
              <border>
                <left style="thin">
                  <color theme="0"/>
                </left>
                <right style="thin">
                  <color theme="0"/>
                </right>
                <top style="thin">
                  <color theme="0"/>
                </top>
                <bottom style="thin">
                  <color theme="0"/>
                </bottom>
                <vertical/>
                <horizontal/>
              </border>
            </x14:dxf>
          </x14:cfRule>
          <xm:sqref>X67:Y73</xm:sqref>
        </x14:conditionalFormatting>
        <x14:conditionalFormatting xmlns:xm="http://schemas.microsoft.com/office/excel/2006/main">
          <x14:cfRule type="expression" priority="2277" id="{4789BFF2-D6D4-4288-B53F-B8FE41E469F3}">
            <xm:f>$Z$8='Assessment Details'!$Q$23</xm:f>
            <x14:dxf>
              <font>
                <color theme="0"/>
              </font>
              <fill>
                <patternFill>
                  <bgColor theme="0"/>
                </patternFill>
              </fill>
            </x14:dxf>
          </x14:cfRule>
          <xm:sqref>U67:U69 U71 U73</xm:sqref>
        </x14:conditionalFormatting>
        <x14:conditionalFormatting xmlns:xm="http://schemas.microsoft.com/office/excel/2006/main">
          <x14:cfRule type="expression" priority="2276" id="{24B4E335-84BD-46CE-8043-1B118D9235AD}">
            <xm:f>$Z$8='Assessment Details'!$Q$23</xm:f>
            <x14:dxf>
              <border>
                <left style="thin">
                  <color theme="0"/>
                </left>
                <right style="thin">
                  <color theme="0"/>
                </right>
                <top style="thin">
                  <color theme="0"/>
                </top>
                <bottom style="thin">
                  <color theme="0"/>
                </bottom>
                <vertical/>
                <horizontal/>
              </border>
            </x14:dxf>
          </x14:cfRule>
          <xm:sqref>U67:U69 U71 U73</xm:sqref>
        </x14:conditionalFormatting>
        <x14:conditionalFormatting xmlns:xm="http://schemas.microsoft.com/office/excel/2006/main">
          <x14:cfRule type="expression" priority="2265" id="{624BDA07-2E5A-4BB8-AB05-9D1324B44598}">
            <xm:f>$S$8='Assessment Details'!$Q$23</xm:f>
            <x14:dxf>
              <font>
                <color theme="0"/>
              </font>
              <fill>
                <patternFill>
                  <bgColor theme="0"/>
                </patternFill>
              </fill>
              <border>
                <vertical/>
                <horizontal/>
              </border>
            </x14:dxf>
          </x14:cfRule>
          <xm:sqref>N75:N77</xm:sqref>
        </x14:conditionalFormatting>
        <x14:conditionalFormatting xmlns:xm="http://schemas.microsoft.com/office/excel/2006/main">
          <x14:cfRule type="expression" priority="2264" id="{C8D83D7C-7FCA-43B9-8A56-98275D98F953}">
            <xm:f>$S$8='Assessment Details'!$Q$23</xm:f>
            <x14:dxf>
              <border>
                <left style="thin">
                  <color theme="0"/>
                </left>
                <right style="thin">
                  <color theme="0"/>
                </right>
                <top style="thin">
                  <color theme="0"/>
                </top>
                <bottom style="thin">
                  <color theme="0"/>
                </bottom>
                <vertical/>
                <horizontal/>
              </border>
            </x14:dxf>
          </x14:cfRule>
          <xm:sqref>N75:N77</xm:sqref>
        </x14:conditionalFormatting>
        <x14:conditionalFormatting xmlns:xm="http://schemas.microsoft.com/office/excel/2006/main">
          <x14:cfRule type="expression" priority="2263" id="{28293B8E-DE74-4681-8B37-3D015FF67550}">
            <xm:f>$Z$8='Assessment Details'!$Q$23</xm:f>
            <x14:dxf>
              <font>
                <color theme="0"/>
              </font>
              <fill>
                <patternFill>
                  <bgColor theme="0"/>
                </patternFill>
              </fill>
            </x14:dxf>
          </x14:cfRule>
          <xm:sqref>X75:Y77</xm:sqref>
        </x14:conditionalFormatting>
        <x14:conditionalFormatting xmlns:xm="http://schemas.microsoft.com/office/excel/2006/main">
          <x14:cfRule type="expression" priority="2262" id="{FA4E4398-1960-47C2-9636-EE189871FC34}">
            <xm:f>$Z$8='Assessment Details'!$Q$23</xm:f>
            <x14:dxf>
              <border>
                <left style="thin">
                  <color theme="0"/>
                </left>
                <right style="thin">
                  <color theme="0"/>
                </right>
                <top style="thin">
                  <color theme="0"/>
                </top>
                <bottom style="thin">
                  <color theme="0"/>
                </bottom>
                <vertical/>
                <horizontal/>
              </border>
            </x14:dxf>
          </x14:cfRule>
          <xm:sqref>X75:Y77</xm:sqref>
        </x14:conditionalFormatting>
        <x14:conditionalFormatting xmlns:xm="http://schemas.microsoft.com/office/excel/2006/main">
          <x14:cfRule type="expression" priority="2248" id="{AB0458F2-B50D-48A9-A136-B8142DE40861}">
            <xm:f>$Z$8='Assessment Details'!$Q$23</xm:f>
            <x14:dxf>
              <font>
                <color theme="0"/>
              </font>
              <fill>
                <patternFill>
                  <bgColor theme="0"/>
                </patternFill>
              </fill>
            </x14:dxf>
          </x14:cfRule>
          <xm:sqref>U75:U77</xm:sqref>
        </x14:conditionalFormatting>
        <x14:conditionalFormatting xmlns:xm="http://schemas.microsoft.com/office/excel/2006/main">
          <x14:cfRule type="expression" priority="2247" id="{04A59890-99BC-4105-8456-C1E9F7D31E91}">
            <xm:f>$Z$8='Assessment Details'!$Q$23</xm:f>
            <x14:dxf>
              <border>
                <left style="thin">
                  <color theme="0"/>
                </left>
                <right style="thin">
                  <color theme="0"/>
                </right>
                <top style="thin">
                  <color theme="0"/>
                </top>
                <bottom style="thin">
                  <color theme="0"/>
                </bottom>
                <vertical/>
                <horizontal/>
              </border>
            </x14:dxf>
          </x14:cfRule>
          <xm:sqref>U75:U77</xm:sqref>
        </x14:conditionalFormatting>
        <x14:conditionalFormatting xmlns:xm="http://schemas.microsoft.com/office/excel/2006/main">
          <x14:cfRule type="expression" priority="2236" id="{3AB8F301-5249-4A01-8980-347F6CBB67AA}">
            <xm:f>$S$8='Assessment Details'!$Q$23</xm:f>
            <x14:dxf>
              <font>
                <color theme="0"/>
              </font>
              <fill>
                <patternFill>
                  <bgColor theme="0"/>
                </patternFill>
              </fill>
              <border>
                <vertical/>
                <horizontal/>
              </border>
            </x14:dxf>
          </x14:cfRule>
          <xm:sqref>N79:N80</xm:sqref>
        </x14:conditionalFormatting>
        <x14:conditionalFormatting xmlns:xm="http://schemas.microsoft.com/office/excel/2006/main">
          <x14:cfRule type="expression" priority="2235" id="{AAF2E691-E93D-4F1C-9C1D-49345DC5D20C}">
            <xm:f>$S$8='Assessment Details'!$Q$23</xm:f>
            <x14:dxf>
              <border>
                <left style="thin">
                  <color theme="0"/>
                </left>
                <right style="thin">
                  <color theme="0"/>
                </right>
                <top style="thin">
                  <color theme="0"/>
                </top>
                <bottom style="thin">
                  <color theme="0"/>
                </bottom>
                <vertical/>
                <horizontal/>
              </border>
            </x14:dxf>
          </x14:cfRule>
          <xm:sqref>N79:N80</xm:sqref>
        </x14:conditionalFormatting>
        <x14:conditionalFormatting xmlns:xm="http://schemas.microsoft.com/office/excel/2006/main">
          <x14:cfRule type="expression" priority="2234" id="{7C89C613-2684-41DE-AA39-DB5B0E056B79}">
            <xm:f>$Z$8='Assessment Details'!$Q$23</xm:f>
            <x14:dxf>
              <font>
                <color theme="0"/>
              </font>
              <fill>
                <patternFill>
                  <bgColor theme="0"/>
                </patternFill>
              </fill>
            </x14:dxf>
          </x14:cfRule>
          <xm:sqref>X79:Y80</xm:sqref>
        </x14:conditionalFormatting>
        <x14:conditionalFormatting xmlns:xm="http://schemas.microsoft.com/office/excel/2006/main">
          <x14:cfRule type="expression" priority="2233" id="{4E547AEC-83C5-443E-A538-8262F36AD380}">
            <xm:f>$Z$8='Assessment Details'!$Q$23</xm:f>
            <x14:dxf>
              <border>
                <left style="thin">
                  <color theme="0"/>
                </left>
                <right style="thin">
                  <color theme="0"/>
                </right>
                <top style="thin">
                  <color theme="0"/>
                </top>
                <bottom style="thin">
                  <color theme="0"/>
                </bottom>
                <vertical/>
                <horizontal/>
              </border>
            </x14:dxf>
          </x14:cfRule>
          <xm:sqref>X79:Y80</xm:sqref>
        </x14:conditionalFormatting>
        <x14:conditionalFormatting xmlns:xm="http://schemas.microsoft.com/office/excel/2006/main">
          <x14:cfRule type="expression" priority="2219" id="{2E7100A6-7B8F-4808-B6A2-D3BE9816341C}">
            <xm:f>$Z$8='Assessment Details'!$Q$23</xm:f>
            <x14:dxf>
              <font>
                <color theme="0"/>
              </font>
              <fill>
                <patternFill>
                  <bgColor theme="0"/>
                </patternFill>
              </fill>
            </x14:dxf>
          </x14:cfRule>
          <xm:sqref>U79:U80</xm:sqref>
        </x14:conditionalFormatting>
        <x14:conditionalFormatting xmlns:xm="http://schemas.microsoft.com/office/excel/2006/main">
          <x14:cfRule type="expression" priority="2218" id="{FC4023BD-68ED-4558-9A2B-3D04902BEE9B}">
            <xm:f>$Z$8='Assessment Details'!$Q$23</xm:f>
            <x14:dxf>
              <border>
                <left style="thin">
                  <color theme="0"/>
                </left>
                <right style="thin">
                  <color theme="0"/>
                </right>
                <top style="thin">
                  <color theme="0"/>
                </top>
                <bottom style="thin">
                  <color theme="0"/>
                </bottom>
                <vertical/>
                <horizontal/>
              </border>
            </x14:dxf>
          </x14:cfRule>
          <xm:sqref>U79:U80</xm:sqref>
        </x14:conditionalFormatting>
        <x14:conditionalFormatting xmlns:xm="http://schemas.microsoft.com/office/excel/2006/main">
          <x14:cfRule type="expression" priority="2207" id="{8639024F-F23F-4E81-8DB4-60196403B34E}">
            <xm:f>$S$8='Assessment Details'!$Q$23</xm:f>
            <x14:dxf>
              <font>
                <color theme="0"/>
              </font>
              <fill>
                <patternFill>
                  <bgColor theme="0"/>
                </patternFill>
              </fill>
              <border>
                <vertical/>
                <horizontal/>
              </border>
            </x14:dxf>
          </x14:cfRule>
          <xm:sqref>N82:N83</xm:sqref>
        </x14:conditionalFormatting>
        <x14:conditionalFormatting xmlns:xm="http://schemas.microsoft.com/office/excel/2006/main">
          <x14:cfRule type="expression" priority="2206" id="{DFA2286E-5E2D-490A-B777-279B25DA5D7A}">
            <xm:f>$S$8='Assessment Details'!$Q$23</xm:f>
            <x14:dxf>
              <border>
                <left style="thin">
                  <color theme="0"/>
                </left>
                <right style="thin">
                  <color theme="0"/>
                </right>
                <top style="thin">
                  <color theme="0"/>
                </top>
                <bottom style="thin">
                  <color theme="0"/>
                </bottom>
                <vertical/>
                <horizontal/>
              </border>
            </x14:dxf>
          </x14:cfRule>
          <xm:sqref>N82:N83</xm:sqref>
        </x14:conditionalFormatting>
        <x14:conditionalFormatting xmlns:xm="http://schemas.microsoft.com/office/excel/2006/main">
          <x14:cfRule type="expression" priority="2205" id="{A06AD768-0E12-4632-BF09-4EF20AD923AD}">
            <xm:f>$Z$8='Assessment Details'!$Q$23</xm:f>
            <x14:dxf>
              <font>
                <color theme="0"/>
              </font>
              <fill>
                <patternFill>
                  <bgColor theme="0"/>
                </patternFill>
              </fill>
            </x14:dxf>
          </x14:cfRule>
          <xm:sqref>X82:Y83</xm:sqref>
        </x14:conditionalFormatting>
        <x14:conditionalFormatting xmlns:xm="http://schemas.microsoft.com/office/excel/2006/main">
          <x14:cfRule type="expression" priority="2204" id="{E77AFA42-6B5D-4DC0-AC7F-5C75A794FC89}">
            <xm:f>$Z$8='Assessment Details'!$Q$23</xm:f>
            <x14:dxf>
              <border>
                <left style="thin">
                  <color theme="0"/>
                </left>
                <right style="thin">
                  <color theme="0"/>
                </right>
                <top style="thin">
                  <color theme="0"/>
                </top>
                <bottom style="thin">
                  <color theme="0"/>
                </bottom>
                <vertical/>
                <horizontal/>
              </border>
            </x14:dxf>
          </x14:cfRule>
          <xm:sqref>X82:Y83</xm:sqref>
        </x14:conditionalFormatting>
        <x14:conditionalFormatting xmlns:xm="http://schemas.microsoft.com/office/excel/2006/main">
          <x14:cfRule type="expression" priority="2190" id="{6BE170C4-1FB8-4BDF-942B-64FC45CD4B36}">
            <xm:f>$Z$8='Assessment Details'!$Q$23</xm:f>
            <x14:dxf>
              <font>
                <color theme="0"/>
              </font>
              <fill>
                <patternFill>
                  <bgColor theme="0"/>
                </patternFill>
              </fill>
            </x14:dxf>
          </x14:cfRule>
          <xm:sqref>U82:U83</xm:sqref>
        </x14:conditionalFormatting>
        <x14:conditionalFormatting xmlns:xm="http://schemas.microsoft.com/office/excel/2006/main">
          <x14:cfRule type="expression" priority="2189" id="{18AE2361-A98A-42D3-96CF-E77AEE8F46B2}">
            <xm:f>$Z$8='Assessment Details'!$Q$23</xm:f>
            <x14:dxf>
              <border>
                <left style="thin">
                  <color theme="0"/>
                </left>
                <right style="thin">
                  <color theme="0"/>
                </right>
                <top style="thin">
                  <color theme="0"/>
                </top>
                <bottom style="thin">
                  <color theme="0"/>
                </bottom>
                <vertical/>
                <horizontal/>
              </border>
            </x14:dxf>
          </x14:cfRule>
          <xm:sqref>U82:U83</xm:sqref>
        </x14:conditionalFormatting>
        <x14:conditionalFormatting xmlns:xm="http://schemas.microsoft.com/office/excel/2006/main">
          <x14:cfRule type="expression" priority="2178" id="{BA419F19-B666-4964-86BA-61594272A086}">
            <xm:f>$S$8='Assessment Details'!$Q$23</xm:f>
            <x14:dxf>
              <font>
                <color theme="0"/>
              </font>
              <fill>
                <patternFill>
                  <bgColor theme="0"/>
                </patternFill>
              </fill>
              <border>
                <vertical/>
                <horizontal/>
              </border>
            </x14:dxf>
          </x14:cfRule>
          <xm:sqref>N85</xm:sqref>
        </x14:conditionalFormatting>
        <x14:conditionalFormatting xmlns:xm="http://schemas.microsoft.com/office/excel/2006/main">
          <x14:cfRule type="expression" priority="2177" id="{7C2E7C01-9625-4B7D-BB98-A2EF414C1587}">
            <xm:f>$S$8='Assessment Details'!$Q$23</xm:f>
            <x14:dxf>
              <border>
                <left style="thin">
                  <color theme="0"/>
                </left>
                <right style="thin">
                  <color theme="0"/>
                </right>
                <top style="thin">
                  <color theme="0"/>
                </top>
                <bottom style="thin">
                  <color theme="0"/>
                </bottom>
                <vertical/>
                <horizontal/>
              </border>
            </x14:dxf>
          </x14:cfRule>
          <xm:sqref>N85</xm:sqref>
        </x14:conditionalFormatting>
        <x14:conditionalFormatting xmlns:xm="http://schemas.microsoft.com/office/excel/2006/main">
          <x14:cfRule type="expression" priority="2176" id="{2599D598-DAC1-4239-AF06-22F4CEEBF02A}">
            <xm:f>$Z$8='Assessment Details'!$Q$23</xm:f>
            <x14:dxf>
              <font>
                <color theme="0"/>
              </font>
              <fill>
                <patternFill>
                  <bgColor theme="0"/>
                </patternFill>
              </fill>
            </x14:dxf>
          </x14:cfRule>
          <xm:sqref>X85:Y85</xm:sqref>
        </x14:conditionalFormatting>
        <x14:conditionalFormatting xmlns:xm="http://schemas.microsoft.com/office/excel/2006/main">
          <x14:cfRule type="expression" priority="2175" id="{17F0D2D1-E694-47EC-BCCB-99EF84D2EBEC}">
            <xm:f>$Z$8='Assessment Details'!$Q$23</xm:f>
            <x14:dxf>
              <border>
                <left style="thin">
                  <color theme="0"/>
                </left>
                <right style="thin">
                  <color theme="0"/>
                </right>
                <top style="thin">
                  <color theme="0"/>
                </top>
                <bottom style="thin">
                  <color theme="0"/>
                </bottom>
                <vertical/>
                <horizontal/>
              </border>
            </x14:dxf>
          </x14:cfRule>
          <xm:sqref>X85:Y85</xm:sqref>
        </x14:conditionalFormatting>
        <x14:conditionalFormatting xmlns:xm="http://schemas.microsoft.com/office/excel/2006/main">
          <x14:cfRule type="expression" priority="2161" id="{D4CEBB18-5A16-48E8-8394-E284801659CC}">
            <xm:f>$Z$8='Assessment Details'!$Q$23</xm:f>
            <x14:dxf>
              <font>
                <color theme="0"/>
              </font>
              <fill>
                <patternFill>
                  <bgColor theme="0"/>
                </patternFill>
              </fill>
            </x14:dxf>
          </x14:cfRule>
          <xm:sqref>U85</xm:sqref>
        </x14:conditionalFormatting>
        <x14:conditionalFormatting xmlns:xm="http://schemas.microsoft.com/office/excel/2006/main">
          <x14:cfRule type="expression" priority="2160" id="{132AA12C-8570-482C-B517-97BC4D3044BA}">
            <xm:f>$Z$8='Assessment Details'!$Q$23</xm:f>
            <x14:dxf>
              <border>
                <left style="thin">
                  <color theme="0"/>
                </left>
                <right style="thin">
                  <color theme="0"/>
                </right>
                <top style="thin">
                  <color theme="0"/>
                </top>
                <bottom style="thin">
                  <color theme="0"/>
                </bottom>
                <vertical/>
                <horizontal/>
              </border>
            </x14:dxf>
          </x14:cfRule>
          <xm:sqref>U85</xm:sqref>
        </x14:conditionalFormatting>
        <x14:conditionalFormatting xmlns:xm="http://schemas.microsoft.com/office/excel/2006/main">
          <x14:cfRule type="expression" priority="2149" id="{8C27B10B-C236-44AF-9911-EDBB50120527}">
            <xm:f>$S$8='Assessment Details'!$Q$23</xm:f>
            <x14:dxf>
              <font>
                <color theme="0"/>
              </font>
              <fill>
                <patternFill>
                  <bgColor theme="0"/>
                </patternFill>
              </fill>
              <border>
                <vertical/>
                <horizontal/>
              </border>
            </x14:dxf>
          </x14:cfRule>
          <xm:sqref>N89:N90</xm:sqref>
        </x14:conditionalFormatting>
        <x14:conditionalFormatting xmlns:xm="http://schemas.microsoft.com/office/excel/2006/main">
          <x14:cfRule type="expression" priority="2148" id="{674A6998-AEE3-4066-906F-6FD4CBB1F6BC}">
            <xm:f>$S$8='Assessment Details'!$Q$23</xm:f>
            <x14:dxf>
              <border>
                <left style="thin">
                  <color theme="0"/>
                </left>
                <right style="thin">
                  <color theme="0"/>
                </right>
                <top style="thin">
                  <color theme="0"/>
                </top>
                <bottom style="thin">
                  <color theme="0"/>
                </bottom>
                <vertical/>
                <horizontal/>
              </border>
            </x14:dxf>
          </x14:cfRule>
          <xm:sqref>N89:N90</xm:sqref>
        </x14:conditionalFormatting>
        <x14:conditionalFormatting xmlns:xm="http://schemas.microsoft.com/office/excel/2006/main">
          <x14:cfRule type="expression" priority="2147" id="{8C07C4CB-E10E-4C06-A90B-18DCA1148E08}">
            <xm:f>$Z$8='Assessment Details'!$Q$23</xm:f>
            <x14:dxf>
              <font>
                <color theme="0"/>
              </font>
              <fill>
                <patternFill>
                  <bgColor theme="0"/>
                </patternFill>
              </fill>
            </x14:dxf>
          </x14:cfRule>
          <xm:sqref>X89:Y90</xm:sqref>
        </x14:conditionalFormatting>
        <x14:conditionalFormatting xmlns:xm="http://schemas.microsoft.com/office/excel/2006/main">
          <x14:cfRule type="expression" priority="2146" id="{20700757-9EE6-4693-825B-207F2301AEF6}">
            <xm:f>$Z$8='Assessment Details'!$Q$23</xm:f>
            <x14:dxf>
              <border>
                <left style="thin">
                  <color theme="0"/>
                </left>
                <right style="thin">
                  <color theme="0"/>
                </right>
                <top style="thin">
                  <color theme="0"/>
                </top>
                <bottom style="thin">
                  <color theme="0"/>
                </bottom>
                <vertical/>
                <horizontal/>
              </border>
            </x14:dxf>
          </x14:cfRule>
          <xm:sqref>X89:Y90</xm:sqref>
        </x14:conditionalFormatting>
        <x14:conditionalFormatting xmlns:xm="http://schemas.microsoft.com/office/excel/2006/main">
          <x14:cfRule type="expression" priority="2132" id="{350E3395-ADF6-4C24-88B5-226CCCB7E2C1}">
            <xm:f>$Z$8='Assessment Details'!$Q$23</xm:f>
            <x14:dxf>
              <font>
                <color theme="0"/>
              </font>
              <fill>
                <patternFill>
                  <bgColor theme="0"/>
                </patternFill>
              </fill>
            </x14:dxf>
          </x14:cfRule>
          <xm:sqref>U89:U90</xm:sqref>
        </x14:conditionalFormatting>
        <x14:conditionalFormatting xmlns:xm="http://schemas.microsoft.com/office/excel/2006/main">
          <x14:cfRule type="expression" priority="2131" id="{282C15CE-13FA-41D8-856D-B17BEF62880E}">
            <xm:f>$Z$8='Assessment Details'!$Q$23</xm:f>
            <x14:dxf>
              <border>
                <left style="thin">
                  <color theme="0"/>
                </left>
                <right style="thin">
                  <color theme="0"/>
                </right>
                <top style="thin">
                  <color theme="0"/>
                </top>
                <bottom style="thin">
                  <color theme="0"/>
                </bottom>
                <vertical/>
                <horizontal/>
              </border>
            </x14:dxf>
          </x14:cfRule>
          <xm:sqref>U89:U90</xm:sqref>
        </x14:conditionalFormatting>
        <x14:conditionalFormatting xmlns:xm="http://schemas.microsoft.com/office/excel/2006/main">
          <x14:cfRule type="expression" priority="2120" id="{F752570C-D2FC-4EFE-83D9-62BB7B2F3170}">
            <xm:f>$S$8='Assessment Details'!$Q$23</xm:f>
            <x14:dxf>
              <font>
                <color theme="0"/>
              </font>
              <fill>
                <patternFill>
                  <bgColor theme="0"/>
                </patternFill>
              </fill>
              <border>
                <vertical/>
                <horizontal/>
              </border>
            </x14:dxf>
          </x14:cfRule>
          <xm:sqref>N92</xm:sqref>
        </x14:conditionalFormatting>
        <x14:conditionalFormatting xmlns:xm="http://schemas.microsoft.com/office/excel/2006/main">
          <x14:cfRule type="expression" priority="2119" id="{AD315150-4F01-4163-BD4B-6271BC05F848}">
            <xm:f>$S$8='Assessment Details'!$Q$23</xm:f>
            <x14:dxf>
              <border>
                <left style="thin">
                  <color theme="0"/>
                </left>
                <right style="thin">
                  <color theme="0"/>
                </right>
                <top style="thin">
                  <color theme="0"/>
                </top>
                <bottom style="thin">
                  <color theme="0"/>
                </bottom>
                <vertical/>
                <horizontal/>
              </border>
            </x14:dxf>
          </x14:cfRule>
          <xm:sqref>N92</xm:sqref>
        </x14:conditionalFormatting>
        <x14:conditionalFormatting xmlns:xm="http://schemas.microsoft.com/office/excel/2006/main">
          <x14:cfRule type="expression" priority="2118" id="{5664C6BB-F929-4B99-B383-9CE7C18DE75F}">
            <xm:f>$Z$8='Assessment Details'!$Q$23</xm:f>
            <x14:dxf>
              <font>
                <color theme="0"/>
              </font>
              <fill>
                <patternFill>
                  <bgColor theme="0"/>
                </patternFill>
              </fill>
            </x14:dxf>
          </x14:cfRule>
          <xm:sqref>X92:Y92</xm:sqref>
        </x14:conditionalFormatting>
        <x14:conditionalFormatting xmlns:xm="http://schemas.microsoft.com/office/excel/2006/main">
          <x14:cfRule type="expression" priority="2117" id="{0BBFF4CF-301E-4067-8F7A-27696B035A2D}">
            <xm:f>$Z$8='Assessment Details'!$Q$23</xm:f>
            <x14:dxf>
              <border>
                <left style="thin">
                  <color theme="0"/>
                </left>
                <right style="thin">
                  <color theme="0"/>
                </right>
                <top style="thin">
                  <color theme="0"/>
                </top>
                <bottom style="thin">
                  <color theme="0"/>
                </bottom>
                <vertical/>
                <horizontal/>
              </border>
            </x14:dxf>
          </x14:cfRule>
          <xm:sqref>X92:Y92</xm:sqref>
        </x14:conditionalFormatting>
        <x14:conditionalFormatting xmlns:xm="http://schemas.microsoft.com/office/excel/2006/main">
          <x14:cfRule type="expression" priority="2103" id="{7723BC43-6FB0-46EE-9682-4EA6458B7550}">
            <xm:f>$Z$8='Assessment Details'!$Q$23</xm:f>
            <x14:dxf>
              <font>
                <color theme="0"/>
              </font>
              <fill>
                <patternFill>
                  <bgColor theme="0"/>
                </patternFill>
              </fill>
            </x14:dxf>
          </x14:cfRule>
          <xm:sqref>U92</xm:sqref>
        </x14:conditionalFormatting>
        <x14:conditionalFormatting xmlns:xm="http://schemas.microsoft.com/office/excel/2006/main">
          <x14:cfRule type="expression" priority="2102" id="{AA88D484-8C09-4A5A-B459-54F1A7625209}">
            <xm:f>$Z$8='Assessment Details'!$Q$23</xm:f>
            <x14:dxf>
              <border>
                <left style="thin">
                  <color theme="0"/>
                </left>
                <right style="thin">
                  <color theme="0"/>
                </right>
                <top style="thin">
                  <color theme="0"/>
                </top>
                <bottom style="thin">
                  <color theme="0"/>
                </bottom>
                <vertical/>
                <horizontal/>
              </border>
            </x14:dxf>
          </x14:cfRule>
          <xm:sqref>U92</xm:sqref>
        </x14:conditionalFormatting>
        <x14:conditionalFormatting xmlns:xm="http://schemas.microsoft.com/office/excel/2006/main">
          <x14:cfRule type="expression" priority="2091" id="{C07C2A46-91E7-4772-8CA9-25391F1186D4}">
            <xm:f>$S$8='Assessment Details'!$Q$23</xm:f>
            <x14:dxf>
              <font>
                <color theme="0"/>
              </font>
              <fill>
                <patternFill>
                  <bgColor theme="0"/>
                </patternFill>
              </fill>
              <border>
                <vertical/>
                <horizontal/>
              </border>
            </x14:dxf>
          </x14:cfRule>
          <xm:sqref>N97:N98</xm:sqref>
        </x14:conditionalFormatting>
        <x14:conditionalFormatting xmlns:xm="http://schemas.microsoft.com/office/excel/2006/main">
          <x14:cfRule type="expression" priority="2090" id="{577E7415-B426-4761-969E-525C3026E8FA}">
            <xm:f>$S$8='Assessment Details'!$Q$23</xm:f>
            <x14:dxf>
              <border>
                <left style="thin">
                  <color theme="0"/>
                </left>
                <right style="thin">
                  <color theme="0"/>
                </right>
                <top style="thin">
                  <color theme="0"/>
                </top>
                <bottom style="thin">
                  <color theme="0"/>
                </bottom>
                <vertical/>
                <horizontal/>
              </border>
            </x14:dxf>
          </x14:cfRule>
          <xm:sqref>N97:N98</xm:sqref>
        </x14:conditionalFormatting>
        <x14:conditionalFormatting xmlns:xm="http://schemas.microsoft.com/office/excel/2006/main">
          <x14:cfRule type="expression" priority="2089" id="{0F38F094-9045-4951-98A8-D95A67FBEFE2}">
            <xm:f>$Z$8='Assessment Details'!$Q$23</xm:f>
            <x14:dxf>
              <font>
                <color theme="0"/>
              </font>
              <fill>
                <patternFill>
                  <bgColor theme="0"/>
                </patternFill>
              </fill>
            </x14:dxf>
          </x14:cfRule>
          <xm:sqref>X97:Y98</xm:sqref>
        </x14:conditionalFormatting>
        <x14:conditionalFormatting xmlns:xm="http://schemas.microsoft.com/office/excel/2006/main">
          <x14:cfRule type="expression" priority="2088" id="{3FA31538-631E-45F9-85FD-CFBABEAACC6A}">
            <xm:f>$Z$8='Assessment Details'!$Q$23</xm:f>
            <x14:dxf>
              <border>
                <left style="thin">
                  <color theme="0"/>
                </left>
                <right style="thin">
                  <color theme="0"/>
                </right>
                <top style="thin">
                  <color theme="0"/>
                </top>
                <bottom style="thin">
                  <color theme="0"/>
                </bottom>
                <vertical/>
                <horizontal/>
              </border>
            </x14:dxf>
          </x14:cfRule>
          <xm:sqref>X97:Y98</xm:sqref>
        </x14:conditionalFormatting>
        <x14:conditionalFormatting xmlns:xm="http://schemas.microsoft.com/office/excel/2006/main">
          <x14:cfRule type="expression" priority="2074" id="{7AB54FE5-B9DA-4EA7-A9E5-953C8B3C0473}">
            <xm:f>$Z$8='Assessment Details'!$Q$23</xm:f>
            <x14:dxf>
              <font>
                <color theme="0"/>
              </font>
              <fill>
                <patternFill>
                  <bgColor theme="0"/>
                </patternFill>
              </fill>
            </x14:dxf>
          </x14:cfRule>
          <xm:sqref>U97:U98</xm:sqref>
        </x14:conditionalFormatting>
        <x14:conditionalFormatting xmlns:xm="http://schemas.microsoft.com/office/excel/2006/main">
          <x14:cfRule type="expression" priority="2073" id="{1A327D6A-84EE-4B73-BBC3-DA9F1F71661F}">
            <xm:f>$Z$8='Assessment Details'!$Q$23</xm:f>
            <x14:dxf>
              <border>
                <left style="thin">
                  <color theme="0"/>
                </left>
                <right style="thin">
                  <color theme="0"/>
                </right>
                <top style="thin">
                  <color theme="0"/>
                </top>
                <bottom style="thin">
                  <color theme="0"/>
                </bottom>
                <vertical/>
                <horizontal/>
              </border>
            </x14:dxf>
          </x14:cfRule>
          <xm:sqref>U97:U98</xm:sqref>
        </x14:conditionalFormatting>
        <x14:conditionalFormatting xmlns:xm="http://schemas.microsoft.com/office/excel/2006/main">
          <x14:cfRule type="expression" priority="2062" id="{C3940A50-D42F-4EE2-9290-3CFB7F8B7535}">
            <xm:f>$S$8='Assessment Details'!$Q$23</xm:f>
            <x14:dxf>
              <font>
                <color theme="0"/>
              </font>
              <fill>
                <patternFill>
                  <bgColor theme="0"/>
                </patternFill>
              </fill>
              <border>
                <vertical/>
                <horizontal/>
              </border>
            </x14:dxf>
          </x14:cfRule>
          <xm:sqref>N101</xm:sqref>
        </x14:conditionalFormatting>
        <x14:conditionalFormatting xmlns:xm="http://schemas.microsoft.com/office/excel/2006/main">
          <x14:cfRule type="expression" priority="2061" id="{043B8E32-32E3-4AF6-AF54-5D4F904BBCBE}">
            <xm:f>$S$8='Assessment Details'!$Q$23</xm:f>
            <x14:dxf>
              <border>
                <left style="thin">
                  <color theme="0"/>
                </left>
                <right style="thin">
                  <color theme="0"/>
                </right>
                <top style="thin">
                  <color theme="0"/>
                </top>
                <bottom style="thin">
                  <color theme="0"/>
                </bottom>
                <vertical/>
                <horizontal/>
              </border>
            </x14:dxf>
          </x14:cfRule>
          <xm:sqref>N101</xm:sqref>
        </x14:conditionalFormatting>
        <x14:conditionalFormatting xmlns:xm="http://schemas.microsoft.com/office/excel/2006/main">
          <x14:cfRule type="expression" priority="2060" id="{5E88E285-50C1-45B0-8809-FE6EE42280C1}">
            <xm:f>$Z$8='Assessment Details'!$Q$23</xm:f>
            <x14:dxf>
              <font>
                <color theme="0"/>
              </font>
              <fill>
                <patternFill>
                  <bgColor theme="0"/>
                </patternFill>
              </fill>
            </x14:dxf>
          </x14:cfRule>
          <xm:sqref>X101:Y101</xm:sqref>
        </x14:conditionalFormatting>
        <x14:conditionalFormatting xmlns:xm="http://schemas.microsoft.com/office/excel/2006/main">
          <x14:cfRule type="expression" priority="2059" id="{B2A6B52D-816E-4EA0-B131-D139B7B3810A}">
            <xm:f>$Z$8='Assessment Details'!$Q$23</xm:f>
            <x14:dxf>
              <border>
                <left style="thin">
                  <color theme="0"/>
                </left>
                <right style="thin">
                  <color theme="0"/>
                </right>
                <top style="thin">
                  <color theme="0"/>
                </top>
                <bottom style="thin">
                  <color theme="0"/>
                </bottom>
                <vertical/>
                <horizontal/>
              </border>
            </x14:dxf>
          </x14:cfRule>
          <xm:sqref>X101:Y101</xm:sqref>
        </x14:conditionalFormatting>
        <x14:conditionalFormatting xmlns:xm="http://schemas.microsoft.com/office/excel/2006/main">
          <x14:cfRule type="expression" priority="2045" id="{14EED676-A4E1-4BFD-83F8-AA561679BBD0}">
            <xm:f>$Z$8='Assessment Details'!$Q$23</xm:f>
            <x14:dxf>
              <font>
                <color theme="0"/>
              </font>
              <fill>
                <patternFill>
                  <bgColor theme="0"/>
                </patternFill>
              </fill>
            </x14:dxf>
          </x14:cfRule>
          <xm:sqref>U101</xm:sqref>
        </x14:conditionalFormatting>
        <x14:conditionalFormatting xmlns:xm="http://schemas.microsoft.com/office/excel/2006/main">
          <x14:cfRule type="expression" priority="2044" id="{6AAD1F98-0862-4CC9-897D-B8E6FDC1C8BC}">
            <xm:f>$Z$8='Assessment Details'!$Q$23</xm:f>
            <x14:dxf>
              <border>
                <left style="thin">
                  <color theme="0"/>
                </left>
                <right style="thin">
                  <color theme="0"/>
                </right>
                <top style="thin">
                  <color theme="0"/>
                </top>
                <bottom style="thin">
                  <color theme="0"/>
                </bottom>
                <vertical/>
                <horizontal/>
              </border>
            </x14:dxf>
          </x14:cfRule>
          <xm:sqref>U101</xm:sqref>
        </x14:conditionalFormatting>
        <x14:conditionalFormatting xmlns:xm="http://schemas.microsoft.com/office/excel/2006/main">
          <x14:cfRule type="expression" priority="2031" id="{441C8689-B4E2-429B-9CEA-778569C7C540}">
            <xm:f>$Z$8='Assessment Details'!$Q$23</xm:f>
            <x14:dxf>
              <font>
                <color theme="0"/>
              </font>
              <fill>
                <patternFill>
                  <bgColor theme="0"/>
                </patternFill>
              </fill>
            </x14:dxf>
          </x14:cfRule>
          <xm:sqref>X107:Y107</xm:sqref>
        </x14:conditionalFormatting>
        <x14:conditionalFormatting xmlns:xm="http://schemas.microsoft.com/office/excel/2006/main">
          <x14:cfRule type="expression" priority="2030" id="{EF608D6E-1539-43FF-B8D6-278AB35159A5}">
            <xm:f>$Z$8='Assessment Details'!$Q$23</xm:f>
            <x14:dxf>
              <border>
                <left style="thin">
                  <color theme="0"/>
                </left>
                <right style="thin">
                  <color theme="0"/>
                </right>
                <top style="thin">
                  <color theme="0"/>
                </top>
                <bottom style="thin">
                  <color theme="0"/>
                </bottom>
                <vertical/>
                <horizontal/>
              </border>
            </x14:dxf>
          </x14:cfRule>
          <xm:sqref>X107:Y107</xm:sqref>
        </x14:conditionalFormatting>
        <x14:conditionalFormatting xmlns:xm="http://schemas.microsoft.com/office/excel/2006/main">
          <x14:cfRule type="expression" priority="2004" id="{7B2A31D0-1B1D-40B1-A127-9805B0DD5AF0}">
            <xm:f>$S$8='Assessment Details'!$Q$23</xm:f>
            <x14:dxf>
              <font>
                <color theme="0"/>
              </font>
              <fill>
                <patternFill>
                  <bgColor theme="0"/>
                </patternFill>
              </fill>
              <border>
                <vertical/>
                <horizontal/>
              </border>
            </x14:dxf>
          </x14:cfRule>
          <xm:sqref>N109</xm:sqref>
        </x14:conditionalFormatting>
        <x14:conditionalFormatting xmlns:xm="http://schemas.microsoft.com/office/excel/2006/main">
          <x14:cfRule type="expression" priority="2003" id="{E6FA7601-77CD-4AE7-992B-729BB6BD7E1A}">
            <xm:f>$S$8='Assessment Details'!$Q$23</xm:f>
            <x14:dxf>
              <border>
                <left style="thin">
                  <color theme="0"/>
                </left>
                <right style="thin">
                  <color theme="0"/>
                </right>
                <top style="thin">
                  <color theme="0"/>
                </top>
                <bottom style="thin">
                  <color theme="0"/>
                </bottom>
                <vertical/>
                <horizontal/>
              </border>
            </x14:dxf>
          </x14:cfRule>
          <xm:sqref>N109</xm:sqref>
        </x14:conditionalFormatting>
        <x14:conditionalFormatting xmlns:xm="http://schemas.microsoft.com/office/excel/2006/main">
          <x14:cfRule type="expression" priority="2002" id="{424714F3-BE21-4E51-B5AE-058A206714D5}">
            <xm:f>$Z$8='Assessment Details'!$Q$23</xm:f>
            <x14:dxf>
              <font>
                <color theme="0"/>
              </font>
              <fill>
                <patternFill>
                  <bgColor theme="0"/>
                </patternFill>
              </fill>
            </x14:dxf>
          </x14:cfRule>
          <xm:sqref>X109:Y109</xm:sqref>
        </x14:conditionalFormatting>
        <x14:conditionalFormatting xmlns:xm="http://schemas.microsoft.com/office/excel/2006/main">
          <x14:cfRule type="expression" priority="2001" id="{F5867DB7-16F4-4BFC-BCBE-34DBD34DF362}">
            <xm:f>$Z$8='Assessment Details'!$Q$23</xm:f>
            <x14:dxf>
              <border>
                <left style="thin">
                  <color theme="0"/>
                </left>
                <right style="thin">
                  <color theme="0"/>
                </right>
                <top style="thin">
                  <color theme="0"/>
                </top>
                <bottom style="thin">
                  <color theme="0"/>
                </bottom>
                <vertical/>
                <horizontal/>
              </border>
            </x14:dxf>
          </x14:cfRule>
          <xm:sqref>X109:Y109</xm:sqref>
        </x14:conditionalFormatting>
        <x14:conditionalFormatting xmlns:xm="http://schemas.microsoft.com/office/excel/2006/main">
          <x14:cfRule type="expression" priority="1987" id="{4A476CF7-E041-4E3A-99FF-8438380D39EC}">
            <xm:f>$Z$8='Assessment Details'!$Q$23</xm:f>
            <x14:dxf>
              <font>
                <color theme="0"/>
              </font>
              <fill>
                <patternFill>
                  <bgColor theme="0"/>
                </patternFill>
              </fill>
            </x14:dxf>
          </x14:cfRule>
          <xm:sqref>U109</xm:sqref>
        </x14:conditionalFormatting>
        <x14:conditionalFormatting xmlns:xm="http://schemas.microsoft.com/office/excel/2006/main">
          <x14:cfRule type="expression" priority="1986" id="{F62E1726-0408-441A-A6AF-C3E7A5ECAD32}">
            <xm:f>$Z$8='Assessment Details'!$Q$23</xm:f>
            <x14:dxf>
              <border>
                <left style="thin">
                  <color theme="0"/>
                </left>
                <right style="thin">
                  <color theme="0"/>
                </right>
                <top style="thin">
                  <color theme="0"/>
                </top>
                <bottom style="thin">
                  <color theme="0"/>
                </bottom>
                <vertical/>
                <horizontal/>
              </border>
            </x14:dxf>
          </x14:cfRule>
          <xm:sqref>U109</xm:sqref>
        </x14:conditionalFormatting>
        <x14:conditionalFormatting xmlns:xm="http://schemas.microsoft.com/office/excel/2006/main">
          <x14:cfRule type="expression" priority="1975" id="{32892BEA-02D1-45A9-8A5E-FD88AD203770}">
            <xm:f>$S$8='Assessment Details'!$Q$23</xm:f>
            <x14:dxf>
              <font>
                <color theme="0"/>
              </font>
              <fill>
                <patternFill>
                  <bgColor theme="0"/>
                </patternFill>
              </fill>
              <border>
                <vertical/>
                <horizontal/>
              </border>
            </x14:dxf>
          </x14:cfRule>
          <xm:sqref>N111:N113</xm:sqref>
        </x14:conditionalFormatting>
        <x14:conditionalFormatting xmlns:xm="http://schemas.microsoft.com/office/excel/2006/main">
          <x14:cfRule type="expression" priority="1974" id="{0CC88DFC-5A80-49DF-8B48-B6A3B1455E8E}">
            <xm:f>$S$8='Assessment Details'!$Q$23</xm:f>
            <x14:dxf>
              <border>
                <left style="thin">
                  <color theme="0"/>
                </left>
                <right style="thin">
                  <color theme="0"/>
                </right>
                <top style="thin">
                  <color theme="0"/>
                </top>
                <bottom style="thin">
                  <color theme="0"/>
                </bottom>
                <vertical/>
                <horizontal/>
              </border>
            </x14:dxf>
          </x14:cfRule>
          <xm:sqref>N111:N113</xm:sqref>
        </x14:conditionalFormatting>
        <x14:conditionalFormatting xmlns:xm="http://schemas.microsoft.com/office/excel/2006/main">
          <x14:cfRule type="expression" priority="1973" id="{B3A5F764-8080-490B-A02D-C22DA6F0062A}">
            <xm:f>$Z$8='Assessment Details'!$Q$23</xm:f>
            <x14:dxf>
              <font>
                <color theme="0"/>
              </font>
              <fill>
                <patternFill>
                  <bgColor theme="0"/>
                </patternFill>
              </fill>
            </x14:dxf>
          </x14:cfRule>
          <xm:sqref>X111:Y113</xm:sqref>
        </x14:conditionalFormatting>
        <x14:conditionalFormatting xmlns:xm="http://schemas.microsoft.com/office/excel/2006/main">
          <x14:cfRule type="expression" priority="1972" id="{45E4DBE2-E841-4A11-8D13-23BBA2767A47}">
            <xm:f>$Z$8='Assessment Details'!$Q$23</xm:f>
            <x14:dxf>
              <border>
                <left style="thin">
                  <color theme="0"/>
                </left>
                <right style="thin">
                  <color theme="0"/>
                </right>
                <top style="thin">
                  <color theme="0"/>
                </top>
                <bottom style="thin">
                  <color theme="0"/>
                </bottom>
                <vertical/>
                <horizontal/>
              </border>
            </x14:dxf>
          </x14:cfRule>
          <xm:sqref>X111:Y113</xm:sqref>
        </x14:conditionalFormatting>
        <x14:conditionalFormatting xmlns:xm="http://schemas.microsoft.com/office/excel/2006/main">
          <x14:cfRule type="expression" priority="1958" id="{D72C36D9-F5B6-4AB0-8FB7-C5F40119A46A}">
            <xm:f>$Z$8='Assessment Details'!$Q$23</xm:f>
            <x14:dxf>
              <font>
                <color theme="0"/>
              </font>
              <fill>
                <patternFill>
                  <bgColor theme="0"/>
                </patternFill>
              </fill>
            </x14:dxf>
          </x14:cfRule>
          <xm:sqref>U111:U113</xm:sqref>
        </x14:conditionalFormatting>
        <x14:conditionalFormatting xmlns:xm="http://schemas.microsoft.com/office/excel/2006/main">
          <x14:cfRule type="expression" priority="1957" id="{1E986299-3ACC-45EB-86AF-48B4725B7348}">
            <xm:f>$Z$8='Assessment Details'!$Q$23</xm:f>
            <x14:dxf>
              <border>
                <left style="thin">
                  <color theme="0"/>
                </left>
                <right style="thin">
                  <color theme="0"/>
                </right>
                <top style="thin">
                  <color theme="0"/>
                </top>
                <bottom style="thin">
                  <color theme="0"/>
                </bottom>
                <vertical/>
                <horizontal/>
              </border>
            </x14:dxf>
          </x14:cfRule>
          <xm:sqref>U111:U113</xm:sqref>
        </x14:conditionalFormatting>
        <x14:conditionalFormatting xmlns:xm="http://schemas.microsoft.com/office/excel/2006/main">
          <x14:cfRule type="expression" priority="1946" id="{68C9DA0A-41E6-4F15-A030-01D389F3B82A}">
            <xm:f>$S$8='Assessment Details'!$Q$23</xm:f>
            <x14:dxf>
              <font>
                <color theme="0"/>
              </font>
              <fill>
                <patternFill>
                  <bgColor theme="0"/>
                </patternFill>
              </fill>
              <border>
                <vertical/>
                <horizontal/>
              </border>
            </x14:dxf>
          </x14:cfRule>
          <xm:sqref>N115</xm:sqref>
        </x14:conditionalFormatting>
        <x14:conditionalFormatting xmlns:xm="http://schemas.microsoft.com/office/excel/2006/main">
          <x14:cfRule type="expression" priority="1945" id="{465F5CC7-097C-46A4-B3E3-D5C4711C66D2}">
            <xm:f>$S$8='Assessment Details'!$Q$23</xm:f>
            <x14:dxf>
              <border>
                <left style="thin">
                  <color theme="0"/>
                </left>
                <right style="thin">
                  <color theme="0"/>
                </right>
                <top style="thin">
                  <color theme="0"/>
                </top>
                <bottom style="thin">
                  <color theme="0"/>
                </bottom>
                <vertical/>
                <horizontal/>
              </border>
            </x14:dxf>
          </x14:cfRule>
          <xm:sqref>N115</xm:sqref>
        </x14:conditionalFormatting>
        <x14:conditionalFormatting xmlns:xm="http://schemas.microsoft.com/office/excel/2006/main">
          <x14:cfRule type="expression" priority="1944" id="{B09F6E3B-E8D4-4827-A0F3-C8817143544E}">
            <xm:f>$Z$8='Assessment Details'!$Q$23</xm:f>
            <x14:dxf>
              <font>
                <color theme="0"/>
              </font>
              <fill>
                <patternFill>
                  <bgColor theme="0"/>
                </patternFill>
              </fill>
            </x14:dxf>
          </x14:cfRule>
          <xm:sqref>X115:Y115</xm:sqref>
        </x14:conditionalFormatting>
        <x14:conditionalFormatting xmlns:xm="http://schemas.microsoft.com/office/excel/2006/main">
          <x14:cfRule type="expression" priority="1943" id="{FA46903B-E196-4B2F-AA44-27F41C6DA8AE}">
            <xm:f>$Z$8='Assessment Details'!$Q$23</xm:f>
            <x14:dxf>
              <border>
                <left style="thin">
                  <color theme="0"/>
                </left>
                <right style="thin">
                  <color theme="0"/>
                </right>
                <top style="thin">
                  <color theme="0"/>
                </top>
                <bottom style="thin">
                  <color theme="0"/>
                </bottom>
                <vertical/>
                <horizontal/>
              </border>
            </x14:dxf>
          </x14:cfRule>
          <xm:sqref>X115:Y115</xm:sqref>
        </x14:conditionalFormatting>
        <x14:conditionalFormatting xmlns:xm="http://schemas.microsoft.com/office/excel/2006/main">
          <x14:cfRule type="expression" priority="1929" id="{9242C56E-CA89-438D-AEA3-F07652B9C657}">
            <xm:f>$Z$8='Assessment Details'!$Q$23</xm:f>
            <x14:dxf>
              <font>
                <color theme="0"/>
              </font>
              <fill>
                <patternFill>
                  <bgColor theme="0"/>
                </patternFill>
              </fill>
            </x14:dxf>
          </x14:cfRule>
          <xm:sqref>U115</xm:sqref>
        </x14:conditionalFormatting>
        <x14:conditionalFormatting xmlns:xm="http://schemas.microsoft.com/office/excel/2006/main">
          <x14:cfRule type="expression" priority="1928" id="{7730D062-E525-41F5-8B6A-F8A1FB99B752}">
            <xm:f>$Z$8='Assessment Details'!$Q$23</xm:f>
            <x14:dxf>
              <border>
                <left style="thin">
                  <color theme="0"/>
                </left>
                <right style="thin">
                  <color theme="0"/>
                </right>
                <top style="thin">
                  <color theme="0"/>
                </top>
                <bottom style="thin">
                  <color theme="0"/>
                </bottom>
                <vertical/>
                <horizontal/>
              </border>
            </x14:dxf>
          </x14:cfRule>
          <xm:sqref>U115</xm:sqref>
        </x14:conditionalFormatting>
        <x14:conditionalFormatting xmlns:xm="http://schemas.microsoft.com/office/excel/2006/main">
          <x14:cfRule type="expression" priority="1917" id="{2A9D427E-F068-408E-9A4C-FE1929F9F5E4}">
            <xm:f>$S$8='Assessment Details'!$Q$23</xm:f>
            <x14:dxf>
              <font>
                <color theme="0"/>
              </font>
              <fill>
                <patternFill>
                  <bgColor theme="0"/>
                </patternFill>
              </fill>
              <border>
                <vertical/>
                <horizontal/>
              </border>
            </x14:dxf>
          </x14:cfRule>
          <xm:sqref>N121</xm:sqref>
        </x14:conditionalFormatting>
        <x14:conditionalFormatting xmlns:xm="http://schemas.microsoft.com/office/excel/2006/main">
          <x14:cfRule type="expression" priority="1916" id="{F70B8EC2-3323-4B73-B934-DBAAEBE485B1}">
            <xm:f>$S$8='Assessment Details'!$Q$23</xm:f>
            <x14:dxf>
              <border>
                <left style="thin">
                  <color theme="0"/>
                </left>
                <right style="thin">
                  <color theme="0"/>
                </right>
                <top style="thin">
                  <color theme="0"/>
                </top>
                <bottom style="thin">
                  <color theme="0"/>
                </bottom>
                <vertical/>
                <horizontal/>
              </border>
            </x14:dxf>
          </x14:cfRule>
          <xm:sqref>N121</xm:sqref>
        </x14:conditionalFormatting>
        <x14:conditionalFormatting xmlns:xm="http://schemas.microsoft.com/office/excel/2006/main">
          <x14:cfRule type="expression" priority="1915" id="{D0EC2C93-38C2-4976-BC0B-22F92CEE26B0}">
            <xm:f>$Z$8='Assessment Details'!$Q$23</xm:f>
            <x14:dxf>
              <font>
                <color theme="0"/>
              </font>
              <fill>
                <patternFill>
                  <bgColor theme="0"/>
                </patternFill>
              </fill>
            </x14:dxf>
          </x14:cfRule>
          <xm:sqref>X120:Y121</xm:sqref>
        </x14:conditionalFormatting>
        <x14:conditionalFormatting xmlns:xm="http://schemas.microsoft.com/office/excel/2006/main">
          <x14:cfRule type="expression" priority="1914" id="{F128472A-ED34-44A1-932D-38AA3104F105}">
            <xm:f>$Z$8='Assessment Details'!$Q$23</xm:f>
            <x14:dxf>
              <border>
                <left style="thin">
                  <color theme="0"/>
                </left>
                <right style="thin">
                  <color theme="0"/>
                </right>
                <top style="thin">
                  <color theme="0"/>
                </top>
                <bottom style="thin">
                  <color theme="0"/>
                </bottom>
                <vertical/>
                <horizontal/>
              </border>
            </x14:dxf>
          </x14:cfRule>
          <xm:sqref>X120:Y121</xm:sqref>
        </x14:conditionalFormatting>
        <x14:conditionalFormatting xmlns:xm="http://schemas.microsoft.com/office/excel/2006/main">
          <x14:cfRule type="expression" priority="1900" id="{6CBC215F-BE7D-4245-AD38-D6540C807748}">
            <xm:f>$Z$8='Assessment Details'!$Q$23</xm:f>
            <x14:dxf>
              <font>
                <color theme="0"/>
              </font>
              <fill>
                <patternFill>
                  <bgColor theme="0"/>
                </patternFill>
              </fill>
            </x14:dxf>
          </x14:cfRule>
          <xm:sqref>U121</xm:sqref>
        </x14:conditionalFormatting>
        <x14:conditionalFormatting xmlns:xm="http://schemas.microsoft.com/office/excel/2006/main">
          <x14:cfRule type="expression" priority="1899" id="{0131B8D1-C936-431C-BCC9-E24458EECDC5}">
            <xm:f>$Z$8='Assessment Details'!$Q$23</xm:f>
            <x14:dxf>
              <border>
                <left style="thin">
                  <color theme="0"/>
                </left>
                <right style="thin">
                  <color theme="0"/>
                </right>
                <top style="thin">
                  <color theme="0"/>
                </top>
                <bottom style="thin">
                  <color theme="0"/>
                </bottom>
                <vertical/>
                <horizontal/>
              </border>
            </x14:dxf>
          </x14:cfRule>
          <xm:sqref>U121</xm:sqref>
        </x14:conditionalFormatting>
        <x14:conditionalFormatting xmlns:xm="http://schemas.microsoft.com/office/excel/2006/main">
          <x14:cfRule type="expression" priority="1888" id="{5EEE7B26-7396-44F8-ABF7-24978A46B1C3}">
            <xm:f>$S$8='Assessment Details'!$Q$23</xm:f>
            <x14:dxf>
              <font>
                <color theme="0"/>
              </font>
              <fill>
                <patternFill>
                  <bgColor theme="0"/>
                </patternFill>
              </fill>
              <border>
                <vertical/>
                <horizontal/>
              </border>
            </x14:dxf>
          </x14:cfRule>
          <xm:sqref>N122</xm:sqref>
        </x14:conditionalFormatting>
        <x14:conditionalFormatting xmlns:xm="http://schemas.microsoft.com/office/excel/2006/main">
          <x14:cfRule type="expression" priority="1887" id="{A8975BC4-D1ED-4A55-BFF5-4EF4B3D0E2D2}">
            <xm:f>$S$8='Assessment Details'!$Q$23</xm:f>
            <x14:dxf>
              <border>
                <left style="thin">
                  <color theme="0"/>
                </left>
                <right style="thin">
                  <color theme="0"/>
                </right>
                <top style="thin">
                  <color theme="0"/>
                </top>
                <bottom style="thin">
                  <color theme="0"/>
                </bottom>
                <vertical/>
                <horizontal/>
              </border>
            </x14:dxf>
          </x14:cfRule>
          <xm:sqref>N122</xm:sqref>
        </x14:conditionalFormatting>
        <x14:conditionalFormatting xmlns:xm="http://schemas.microsoft.com/office/excel/2006/main">
          <x14:cfRule type="expression" priority="1886" id="{23A9E5FA-49A4-4977-BD8C-4BFBBC074599}">
            <xm:f>$Z$8='Assessment Details'!$Q$23</xm:f>
            <x14:dxf>
              <font>
                <color theme="0"/>
              </font>
              <fill>
                <patternFill>
                  <bgColor theme="0"/>
                </patternFill>
              </fill>
            </x14:dxf>
          </x14:cfRule>
          <xm:sqref>X122:Y122</xm:sqref>
        </x14:conditionalFormatting>
        <x14:conditionalFormatting xmlns:xm="http://schemas.microsoft.com/office/excel/2006/main">
          <x14:cfRule type="expression" priority="1885" id="{5B988751-BAC6-4E77-BD88-FA97DAFB6FAC}">
            <xm:f>$Z$8='Assessment Details'!$Q$23</xm:f>
            <x14:dxf>
              <border>
                <left style="thin">
                  <color theme="0"/>
                </left>
                <right style="thin">
                  <color theme="0"/>
                </right>
                <top style="thin">
                  <color theme="0"/>
                </top>
                <bottom style="thin">
                  <color theme="0"/>
                </bottom>
                <vertical/>
                <horizontal/>
              </border>
            </x14:dxf>
          </x14:cfRule>
          <xm:sqref>X122:Y122</xm:sqref>
        </x14:conditionalFormatting>
        <x14:conditionalFormatting xmlns:xm="http://schemas.microsoft.com/office/excel/2006/main">
          <x14:cfRule type="expression" priority="1871" id="{25A8BB2B-FA58-4854-B931-12D08C4D10E1}">
            <xm:f>$Z$8='Assessment Details'!$Q$23</xm:f>
            <x14:dxf>
              <font>
                <color theme="0"/>
              </font>
              <fill>
                <patternFill>
                  <bgColor theme="0"/>
                </patternFill>
              </fill>
            </x14:dxf>
          </x14:cfRule>
          <xm:sqref>U122</xm:sqref>
        </x14:conditionalFormatting>
        <x14:conditionalFormatting xmlns:xm="http://schemas.microsoft.com/office/excel/2006/main">
          <x14:cfRule type="expression" priority="1870" id="{101DB69E-756E-4F0C-B9F7-8E8E0215D90A}">
            <xm:f>$Z$8='Assessment Details'!$Q$23</xm:f>
            <x14:dxf>
              <border>
                <left style="thin">
                  <color theme="0"/>
                </left>
                <right style="thin">
                  <color theme="0"/>
                </right>
                <top style="thin">
                  <color theme="0"/>
                </top>
                <bottom style="thin">
                  <color theme="0"/>
                </bottom>
                <vertical/>
                <horizontal/>
              </border>
            </x14:dxf>
          </x14:cfRule>
          <xm:sqref>U122</xm:sqref>
        </x14:conditionalFormatting>
        <x14:conditionalFormatting xmlns:xm="http://schemas.microsoft.com/office/excel/2006/main">
          <x14:cfRule type="expression" priority="1859" id="{4EF6E49C-BED4-406F-BE87-7B0360FDAB67}">
            <xm:f>$S$8='Assessment Details'!$Q$23</xm:f>
            <x14:dxf>
              <font>
                <color theme="0"/>
              </font>
              <fill>
                <patternFill>
                  <bgColor theme="0"/>
                </patternFill>
              </fill>
              <border>
                <vertical/>
                <horizontal/>
              </border>
            </x14:dxf>
          </x14:cfRule>
          <xm:sqref>N125:N126</xm:sqref>
        </x14:conditionalFormatting>
        <x14:conditionalFormatting xmlns:xm="http://schemas.microsoft.com/office/excel/2006/main">
          <x14:cfRule type="expression" priority="1858" id="{D3C34911-69F8-48A1-B6ED-DE82D42E819B}">
            <xm:f>$S$8='Assessment Details'!$Q$23</xm:f>
            <x14:dxf>
              <border>
                <left style="thin">
                  <color theme="0"/>
                </left>
                <right style="thin">
                  <color theme="0"/>
                </right>
                <top style="thin">
                  <color theme="0"/>
                </top>
                <bottom style="thin">
                  <color theme="0"/>
                </bottom>
                <vertical/>
                <horizontal/>
              </border>
            </x14:dxf>
          </x14:cfRule>
          <xm:sqref>N125:N126</xm:sqref>
        </x14:conditionalFormatting>
        <x14:conditionalFormatting xmlns:xm="http://schemas.microsoft.com/office/excel/2006/main">
          <x14:cfRule type="expression" priority="1857" id="{50060DB4-2C50-4831-A3DC-1D9336373361}">
            <xm:f>$Z$8='Assessment Details'!$Q$23</xm:f>
            <x14:dxf>
              <font>
                <color theme="0"/>
              </font>
              <fill>
                <patternFill>
                  <bgColor theme="0"/>
                </patternFill>
              </fill>
            </x14:dxf>
          </x14:cfRule>
          <xm:sqref>X124:Y126</xm:sqref>
        </x14:conditionalFormatting>
        <x14:conditionalFormatting xmlns:xm="http://schemas.microsoft.com/office/excel/2006/main">
          <x14:cfRule type="expression" priority="1856" id="{CF922480-7679-4BE3-8DC7-0D0FFD64470E}">
            <xm:f>$Z$8='Assessment Details'!$Q$23</xm:f>
            <x14:dxf>
              <border>
                <left style="thin">
                  <color theme="0"/>
                </left>
                <right style="thin">
                  <color theme="0"/>
                </right>
                <top style="thin">
                  <color theme="0"/>
                </top>
                <bottom style="thin">
                  <color theme="0"/>
                </bottom>
                <vertical/>
                <horizontal/>
              </border>
            </x14:dxf>
          </x14:cfRule>
          <xm:sqref>X124:Y126</xm:sqref>
        </x14:conditionalFormatting>
        <x14:conditionalFormatting xmlns:xm="http://schemas.microsoft.com/office/excel/2006/main">
          <x14:cfRule type="expression" priority="1842" id="{4A45FB35-FE9A-46BB-B9AD-F40678324215}">
            <xm:f>$Z$8='Assessment Details'!$Q$23</xm:f>
            <x14:dxf>
              <font>
                <color theme="0"/>
              </font>
              <fill>
                <patternFill>
                  <bgColor theme="0"/>
                </patternFill>
              </fill>
            </x14:dxf>
          </x14:cfRule>
          <xm:sqref>U125:U126</xm:sqref>
        </x14:conditionalFormatting>
        <x14:conditionalFormatting xmlns:xm="http://schemas.microsoft.com/office/excel/2006/main">
          <x14:cfRule type="expression" priority="1841" id="{F7821420-C628-4DF6-8DAC-B0AFE8E5A034}">
            <xm:f>$Z$8='Assessment Details'!$Q$23</xm:f>
            <x14:dxf>
              <border>
                <left style="thin">
                  <color theme="0"/>
                </left>
                <right style="thin">
                  <color theme="0"/>
                </right>
                <top style="thin">
                  <color theme="0"/>
                </top>
                <bottom style="thin">
                  <color theme="0"/>
                </bottom>
                <vertical/>
                <horizontal/>
              </border>
            </x14:dxf>
          </x14:cfRule>
          <xm:sqref>U125:U126</xm:sqref>
        </x14:conditionalFormatting>
        <x14:conditionalFormatting xmlns:xm="http://schemas.microsoft.com/office/excel/2006/main">
          <x14:cfRule type="expression" priority="1830" id="{B92208E3-902A-4A3B-A3BA-3CCAB64D775D}">
            <xm:f>$S$8='Assessment Details'!$Q$23</xm:f>
            <x14:dxf>
              <font>
                <color theme="0"/>
              </font>
              <fill>
                <patternFill>
                  <bgColor theme="0"/>
                </patternFill>
              </fill>
              <border>
                <vertical/>
                <horizontal/>
              </border>
            </x14:dxf>
          </x14:cfRule>
          <xm:sqref>N129:N130</xm:sqref>
        </x14:conditionalFormatting>
        <x14:conditionalFormatting xmlns:xm="http://schemas.microsoft.com/office/excel/2006/main">
          <x14:cfRule type="expression" priority="1829" id="{FC32DA5C-ADDF-4F88-BA91-610EC7A39372}">
            <xm:f>$S$8='Assessment Details'!$Q$23</xm:f>
            <x14:dxf>
              <border>
                <left style="thin">
                  <color theme="0"/>
                </left>
                <right style="thin">
                  <color theme="0"/>
                </right>
                <top style="thin">
                  <color theme="0"/>
                </top>
                <bottom style="thin">
                  <color theme="0"/>
                </bottom>
                <vertical/>
                <horizontal/>
              </border>
            </x14:dxf>
          </x14:cfRule>
          <xm:sqref>N129:N130</xm:sqref>
        </x14:conditionalFormatting>
        <x14:conditionalFormatting xmlns:xm="http://schemas.microsoft.com/office/excel/2006/main">
          <x14:cfRule type="expression" priority="1828" id="{D8C23F1C-454E-4E05-912D-430FD2303616}">
            <xm:f>$Z$8='Assessment Details'!$Q$23</xm:f>
            <x14:dxf>
              <font>
                <color theme="0"/>
              </font>
              <fill>
                <patternFill>
                  <bgColor theme="0"/>
                </patternFill>
              </fill>
            </x14:dxf>
          </x14:cfRule>
          <xm:sqref>X128:Y130</xm:sqref>
        </x14:conditionalFormatting>
        <x14:conditionalFormatting xmlns:xm="http://schemas.microsoft.com/office/excel/2006/main">
          <x14:cfRule type="expression" priority="1827" id="{53437D6B-49B0-41C9-89F4-EEC6C6271F13}">
            <xm:f>$Z$8='Assessment Details'!$Q$23</xm:f>
            <x14:dxf>
              <border>
                <left style="thin">
                  <color theme="0"/>
                </left>
                <right style="thin">
                  <color theme="0"/>
                </right>
                <top style="thin">
                  <color theme="0"/>
                </top>
                <bottom style="thin">
                  <color theme="0"/>
                </bottom>
                <vertical/>
                <horizontal/>
              </border>
            </x14:dxf>
          </x14:cfRule>
          <xm:sqref>X128:Y130</xm:sqref>
        </x14:conditionalFormatting>
        <x14:conditionalFormatting xmlns:xm="http://schemas.microsoft.com/office/excel/2006/main">
          <x14:cfRule type="expression" priority="1813" id="{53C57763-7EE5-400D-89B9-CA43CE3A32A4}">
            <xm:f>$Z$8='Assessment Details'!$Q$23</xm:f>
            <x14:dxf>
              <font>
                <color theme="0"/>
              </font>
              <fill>
                <patternFill>
                  <bgColor theme="0"/>
                </patternFill>
              </fill>
            </x14:dxf>
          </x14:cfRule>
          <xm:sqref>U129:U130</xm:sqref>
        </x14:conditionalFormatting>
        <x14:conditionalFormatting xmlns:xm="http://schemas.microsoft.com/office/excel/2006/main">
          <x14:cfRule type="expression" priority="1812" id="{8BCEF200-DDC5-4E75-94A7-174946B7B2C8}">
            <xm:f>$Z$8='Assessment Details'!$Q$23</xm:f>
            <x14:dxf>
              <border>
                <left style="thin">
                  <color theme="0"/>
                </left>
                <right style="thin">
                  <color theme="0"/>
                </right>
                <top style="thin">
                  <color theme="0"/>
                </top>
                <bottom style="thin">
                  <color theme="0"/>
                </bottom>
                <vertical/>
                <horizontal/>
              </border>
            </x14:dxf>
          </x14:cfRule>
          <xm:sqref>U129:U130</xm:sqref>
        </x14:conditionalFormatting>
        <x14:conditionalFormatting xmlns:xm="http://schemas.microsoft.com/office/excel/2006/main">
          <x14:cfRule type="expression" priority="1801" id="{E0A16678-FC5B-4F26-AF0E-E9AFC51AFB43}">
            <xm:f>$S$8='Assessment Details'!$Q$23</xm:f>
            <x14:dxf>
              <font>
                <color theme="0"/>
              </font>
              <fill>
                <patternFill>
                  <bgColor theme="0"/>
                </patternFill>
              </fill>
              <border>
                <vertical/>
                <horizontal/>
              </border>
            </x14:dxf>
          </x14:cfRule>
          <xm:sqref>N133:N135</xm:sqref>
        </x14:conditionalFormatting>
        <x14:conditionalFormatting xmlns:xm="http://schemas.microsoft.com/office/excel/2006/main">
          <x14:cfRule type="expression" priority="1800" id="{5E2010F1-4E53-4B39-AA66-3C4D0BAC458C}">
            <xm:f>$S$8='Assessment Details'!$Q$23</xm:f>
            <x14:dxf>
              <border>
                <left style="thin">
                  <color theme="0"/>
                </left>
                <right style="thin">
                  <color theme="0"/>
                </right>
                <top style="thin">
                  <color theme="0"/>
                </top>
                <bottom style="thin">
                  <color theme="0"/>
                </bottom>
                <vertical/>
                <horizontal/>
              </border>
            </x14:dxf>
          </x14:cfRule>
          <xm:sqref>N133:N135</xm:sqref>
        </x14:conditionalFormatting>
        <x14:conditionalFormatting xmlns:xm="http://schemas.microsoft.com/office/excel/2006/main">
          <x14:cfRule type="expression" priority="1799" id="{2C445FB8-32E5-4052-ADCA-D641C5E82EFE}">
            <xm:f>$Z$8='Assessment Details'!$Q$23</xm:f>
            <x14:dxf>
              <font>
                <color theme="0"/>
              </font>
              <fill>
                <patternFill>
                  <bgColor theme="0"/>
                </patternFill>
              </fill>
            </x14:dxf>
          </x14:cfRule>
          <xm:sqref>X132:Y135</xm:sqref>
        </x14:conditionalFormatting>
        <x14:conditionalFormatting xmlns:xm="http://schemas.microsoft.com/office/excel/2006/main">
          <x14:cfRule type="expression" priority="1798" id="{7BC0A505-FFBA-48EA-97EA-AB95FD4CDA3E}">
            <xm:f>$Z$8='Assessment Details'!$Q$23</xm:f>
            <x14:dxf>
              <border>
                <left style="thin">
                  <color theme="0"/>
                </left>
                <right style="thin">
                  <color theme="0"/>
                </right>
                <top style="thin">
                  <color theme="0"/>
                </top>
                <bottom style="thin">
                  <color theme="0"/>
                </bottom>
                <vertical/>
                <horizontal/>
              </border>
            </x14:dxf>
          </x14:cfRule>
          <xm:sqref>X132:Y135</xm:sqref>
        </x14:conditionalFormatting>
        <x14:conditionalFormatting xmlns:xm="http://schemas.microsoft.com/office/excel/2006/main">
          <x14:cfRule type="expression" priority="1784" id="{7479CEDE-CE48-46F5-B3CE-3EDBA5F25AB2}">
            <xm:f>$Z$8='Assessment Details'!$Q$23</xm:f>
            <x14:dxf>
              <font>
                <color theme="0"/>
              </font>
              <fill>
                <patternFill>
                  <bgColor theme="0"/>
                </patternFill>
              </fill>
            </x14:dxf>
          </x14:cfRule>
          <xm:sqref>U133:U135</xm:sqref>
        </x14:conditionalFormatting>
        <x14:conditionalFormatting xmlns:xm="http://schemas.microsoft.com/office/excel/2006/main">
          <x14:cfRule type="expression" priority="1783" id="{B059EEFB-8402-4A30-961B-BAAB98C9CA61}">
            <xm:f>$Z$8='Assessment Details'!$Q$23</xm:f>
            <x14:dxf>
              <border>
                <left style="thin">
                  <color theme="0"/>
                </left>
                <right style="thin">
                  <color theme="0"/>
                </right>
                <top style="thin">
                  <color theme="0"/>
                </top>
                <bottom style="thin">
                  <color theme="0"/>
                </bottom>
                <vertical/>
                <horizontal/>
              </border>
            </x14:dxf>
          </x14:cfRule>
          <xm:sqref>U133:U135</xm:sqref>
        </x14:conditionalFormatting>
        <x14:conditionalFormatting xmlns:xm="http://schemas.microsoft.com/office/excel/2006/main">
          <x14:cfRule type="expression" priority="1772" id="{7D2398AA-0000-47A2-9781-B5DDD89E5915}">
            <xm:f>$S$8='Assessment Details'!$Q$23</xm:f>
            <x14:dxf>
              <font>
                <color theme="0"/>
              </font>
              <fill>
                <patternFill>
                  <bgColor theme="0"/>
                </patternFill>
              </fill>
              <border>
                <vertical/>
                <horizontal/>
              </border>
            </x14:dxf>
          </x14:cfRule>
          <xm:sqref>N139:N141</xm:sqref>
        </x14:conditionalFormatting>
        <x14:conditionalFormatting xmlns:xm="http://schemas.microsoft.com/office/excel/2006/main">
          <x14:cfRule type="expression" priority="1771" id="{5C2D7F45-EF4C-4E07-804B-000117299471}">
            <xm:f>$S$8='Assessment Details'!$Q$23</xm:f>
            <x14:dxf>
              <border>
                <left style="thin">
                  <color theme="0"/>
                </left>
                <right style="thin">
                  <color theme="0"/>
                </right>
                <top style="thin">
                  <color theme="0"/>
                </top>
                <bottom style="thin">
                  <color theme="0"/>
                </bottom>
                <vertical/>
                <horizontal/>
              </border>
            </x14:dxf>
          </x14:cfRule>
          <xm:sqref>N139:N141</xm:sqref>
        </x14:conditionalFormatting>
        <x14:conditionalFormatting xmlns:xm="http://schemas.microsoft.com/office/excel/2006/main">
          <x14:cfRule type="expression" priority="1770" id="{1925A519-29FE-47D1-856B-6EBA4E436B5F}">
            <xm:f>$Z$8='Assessment Details'!$Q$23</xm:f>
            <x14:dxf>
              <font>
                <color theme="0"/>
              </font>
              <fill>
                <patternFill>
                  <bgColor theme="0"/>
                </patternFill>
              </fill>
            </x14:dxf>
          </x14:cfRule>
          <xm:sqref>X139:Y141</xm:sqref>
        </x14:conditionalFormatting>
        <x14:conditionalFormatting xmlns:xm="http://schemas.microsoft.com/office/excel/2006/main">
          <x14:cfRule type="expression" priority="1769" id="{45006A04-6D52-4DAB-B815-D4A1E7C191C6}">
            <xm:f>$Z$8='Assessment Details'!$Q$23</xm:f>
            <x14:dxf>
              <border>
                <left style="thin">
                  <color theme="0"/>
                </left>
                <right style="thin">
                  <color theme="0"/>
                </right>
                <top style="thin">
                  <color theme="0"/>
                </top>
                <bottom style="thin">
                  <color theme="0"/>
                </bottom>
                <vertical/>
                <horizontal/>
              </border>
            </x14:dxf>
          </x14:cfRule>
          <xm:sqref>X139:Y141</xm:sqref>
        </x14:conditionalFormatting>
        <x14:conditionalFormatting xmlns:xm="http://schemas.microsoft.com/office/excel/2006/main">
          <x14:cfRule type="expression" priority="1755" id="{4CF5F6A5-1E13-47D3-971E-F3306A90C6A5}">
            <xm:f>$Z$8='Assessment Details'!$Q$23</xm:f>
            <x14:dxf>
              <font>
                <color theme="0"/>
              </font>
              <fill>
                <patternFill>
                  <bgColor theme="0"/>
                </patternFill>
              </fill>
            </x14:dxf>
          </x14:cfRule>
          <xm:sqref>U139:U141</xm:sqref>
        </x14:conditionalFormatting>
        <x14:conditionalFormatting xmlns:xm="http://schemas.microsoft.com/office/excel/2006/main">
          <x14:cfRule type="expression" priority="1754" id="{BDB1FD9F-F546-4D48-8CC0-B2F32DA0D5B9}">
            <xm:f>$Z$8='Assessment Details'!$Q$23</xm:f>
            <x14:dxf>
              <border>
                <left style="thin">
                  <color theme="0"/>
                </left>
                <right style="thin">
                  <color theme="0"/>
                </right>
                <top style="thin">
                  <color theme="0"/>
                </top>
                <bottom style="thin">
                  <color theme="0"/>
                </bottom>
                <vertical/>
                <horizontal/>
              </border>
            </x14:dxf>
          </x14:cfRule>
          <xm:sqref>U139:U141</xm:sqref>
        </x14:conditionalFormatting>
        <x14:conditionalFormatting xmlns:xm="http://schemas.microsoft.com/office/excel/2006/main">
          <x14:cfRule type="expression" priority="1743" id="{67140F08-C9FC-46DD-A0AB-3302CF0056E4}">
            <xm:f>$S$8='Assessment Details'!$Q$23</xm:f>
            <x14:dxf>
              <font>
                <color theme="0"/>
              </font>
              <fill>
                <patternFill>
                  <bgColor theme="0"/>
                </patternFill>
              </fill>
              <border>
                <vertical/>
                <horizontal/>
              </border>
            </x14:dxf>
          </x14:cfRule>
          <xm:sqref>N143:N145</xm:sqref>
        </x14:conditionalFormatting>
        <x14:conditionalFormatting xmlns:xm="http://schemas.microsoft.com/office/excel/2006/main">
          <x14:cfRule type="expression" priority="1742" id="{A85ACC34-0D8B-4107-8A96-E3B853C679FE}">
            <xm:f>$S$8='Assessment Details'!$Q$23</xm:f>
            <x14:dxf>
              <border>
                <left style="thin">
                  <color theme="0"/>
                </left>
                <right style="thin">
                  <color theme="0"/>
                </right>
                <top style="thin">
                  <color theme="0"/>
                </top>
                <bottom style="thin">
                  <color theme="0"/>
                </bottom>
                <vertical/>
                <horizontal/>
              </border>
            </x14:dxf>
          </x14:cfRule>
          <xm:sqref>N143:N145</xm:sqref>
        </x14:conditionalFormatting>
        <x14:conditionalFormatting xmlns:xm="http://schemas.microsoft.com/office/excel/2006/main">
          <x14:cfRule type="expression" priority="1741" id="{032792DF-393A-49F6-90A1-EDD69B8A490F}">
            <xm:f>$Z$8='Assessment Details'!$Q$23</xm:f>
            <x14:dxf>
              <font>
                <color theme="0"/>
              </font>
              <fill>
                <patternFill>
                  <bgColor theme="0"/>
                </patternFill>
              </fill>
            </x14:dxf>
          </x14:cfRule>
          <xm:sqref>X143:Y145</xm:sqref>
        </x14:conditionalFormatting>
        <x14:conditionalFormatting xmlns:xm="http://schemas.microsoft.com/office/excel/2006/main">
          <x14:cfRule type="expression" priority="1740" id="{BC2CB9DA-69B3-45A6-9FCD-E6C9BA123E03}">
            <xm:f>$Z$8='Assessment Details'!$Q$23</xm:f>
            <x14:dxf>
              <border>
                <left style="thin">
                  <color theme="0"/>
                </left>
                <right style="thin">
                  <color theme="0"/>
                </right>
                <top style="thin">
                  <color theme="0"/>
                </top>
                <bottom style="thin">
                  <color theme="0"/>
                </bottom>
                <vertical/>
                <horizontal/>
              </border>
            </x14:dxf>
          </x14:cfRule>
          <xm:sqref>X143:Y145</xm:sqref>
        </x14:conditionalFormatting>
        <x14:conditionalFormatting xmlns:xm="http://schemas.microsoft.com/office/excel/2006/main">
          <x14:cfRule type="expression" priority="1726" id="{3EA07825-143D-4430-A697-A414DBE2A254}">
            <xm:f>$Z$8='Assessment Details'!$Q$23</xm:f>
            <x14:dxf>
              <font>
                <color theme="0"/>
              </font>
              <fill>
                <patternFill>
                  <bgColor theme="0"/>
                </patternFill>
              </fill>
            </x14:dxf>
          </x14:cfRule>
          <xm:sqref>U143:U145</xm:sqref>
        </x14:conditionalFormatting>
        <x14:conditionalFormatting xmlns:xm="http://schemas.microsoft.com/office/excel/2006/main">
          <x14:cfRule type="expression" priority="1725" id="{6F66AE9F-82CF-491A-A146-85F93A24A0EB}">
            <xm:f>$Z$8='Assessment Details'!$Q$23</xm:f>
            <x14:dxf>
              <border>
                <left style="thin">
                  <color theme="0"/>
                </left>
                <right style="thin">
                  <color theme="0"/>
                </right>
                <top style="thin">
                  <color theme="0"/>
                </top>
                <bottom style="thin">
                  <color theme="0"/>
                </bottom>
                <vertical/>
                <horizontal/>
              </border>
            </x14:dxf>
          </x14:cfRule>
          <xm:sqref>U143:U145</xm:sqref>
        </x14:conditionalFormatting>
        <x14:conditionalFormatting xmlns:xm="http://schemas.microsoft.com/office/excel/2006/main">
          <x14:cfRule type="expression" priority="1714" id="{44E17499-C2F6-46EF-B2AA-9A3AB76E0407}">
            <xm:f>$S$8='Assessment Details'!$Q$23</xm:f>
            <x14:dxf>
              <font>
                <color theme="0"/>
              </font>
              <fill>
                <patternFill>
                  <bgColor theme="0"/>
                </patternFill>
              </fill>
              <border>
                <vertical/>
                <horizontal/>
              </border>
            </x14:dxf>
          </x14:cfRule>
          <xm:sqref>N152:N153</xm:sqref>
        </x14:conditionalFormatting>
        <x14:conditionalFormatting xmlns:xm="http://schemas.microsoft.com/office/excel/2006/main">
          <x14:cfRule type="expression" priority="1713" id="{1502D2C8-A2B7-45DE-97E7-424E5399048E}">
            <xm:f>$S$8='Assessment Details'!$Q$23</xm:f>
            <x14:dxf>
              <border>
                <left style="thin">
                  <color theme="0"/>
                </left>
                <right style="thin">
                  <color theme="0"/>
                </right>
                <top style="thin">
                  <color theme="0"/>
                </top>
                <bottom style="thin">
                  <color theme="0"/>
                </bottom>
                <vertical/>
                <horizontal/>
              </border>
            </x14:dxf>
          </x14:cfRule>
          <xm:sqref>N152:N153</xm:sqref>
        </x14:conditionalFormatting>
        <x14:conditionalFormatting xmlns:xm="http://schemas.microsoft.com/office/excel/2006/main">
          <x14:cfRule type="expression" priority="1712" id="{39095236-53C3-4F3D-950B-C36B50CD6384}">
            <xm:f>$Z$8='Assessment Details'!$Q$23</xm:f>
            <x14:dxf>
              <font>
                <color theme="0"/>
              </font>
              <fill>
                <patternFill>
                  <bgColor theme="0"/>
                </patternFill>
              </fill>
            </x14:dxf>
          </x14:cfRule>
          <xm:sqref>X151:Y153</xm:sqref>
        </x14:conditionalFormatting>
        <x14:conditionalFormatting xmlns:xm="http://schemas.microsoft.com/office/excel/2006/main">
          <x14:cfRule type="expression" priority="1711" id="{8FF76635-9554-4CD4-B092-34C9BF80048C}">
            <xm:f>$Z$8='Assessment Details'!$Q$23</xm:f>
            <x14:dxf>
              <border>
                <left style="thin">
                  <color theme="0"/>
                </left>
                <right style="thin">
                  <color theme="0"/>
                </right>
                <top style="thin">
                  <color theme="0"/>
                </top>
                <bottom style="thin">
                  <color theme="0"/>
                </bottom>
                <vertical/>
                <horizontal/>
              </border>
            </x14:dxf>
          </x14:cfRule>
          <xm:sqref>X151:Y153</xm:sqref>
        </x14:conditionalFormatting>
        <x14:conditionalFormatting xmlns:xm="http://schemas.microsoft.com/office/excel/2006/main">
          <x14:cfRule type="expression" priority="1697" id="{D587C718-D0FA-4E96-9278-638905D4A4F8}">
            <xm:f>$Z$8='Assessment Details'!$Q$23</xm:f>
            <x14:dxf>
              <font>
                <color theme="0"/>
              </font>
              <fill>
                <patternFill>
                  <bgColor theme="0"/>
                </patternFill>
              </fill>
            </x14:dxf>
          </x14:cfRule>
          <xm:sqref>U152:U153</xm:sqref>
        </x14:conditionalFormatting>
        <x14:conditionalFormatting xmlns:xm="http://schemas.microsoft.com/office/excel/2006/main">
          <x14:cfRule type="expression" priority="1696" id="{4AD8FE10-2A04-439F-A3D7-D849B225CA6B}">
            <xm:f>$Z$8='Assessment Details'!$Q$23</xm:f>
            <x14:dxf>
              <border>
                <left style="thin">
                  <color theme="0"/>
                </left>
                <right style="thin">
                  <color theme="0"/>
                </right>
                <top style="thin">
                  <color theme="0"/>
                </top>
                <bottom style="thin">
                  <color theme="0"/>
                </bottom>
                <vertical/>
                <horizontal/>
              </border>
            </x14:dxf>
          </x14:cfRule>
          <xm:sqref>U152:U153</xm:sqref>
        </x14:conditionalFormatting>
        <x14:conditionalFormatting xmlns:xm="http://schemas.microsoft.com/office/excel/2006/main">
          <x14:cfRule type="expression" priority="1685" id="{8111D68C-ED4E-4E20-A6EF-766488248D03}">
            <xm:f>$S$8='Assessment Details'!$Q$23</xm:f>
            <x14:dxf>
              <font>
                <color theme="0"/>
              </font>
              <fill>
                <patternFill>
                  <bgColor theme="0"/>
                </patternFill>
              </fill>
              <border>
                <vertical/>
                <horizontal/>
              </border>
            </x14:dxf>
          </x14:cfRule>
          <xm:sqref>N156</xm:sqref>
        </x14:conditionalFormatting>
        <x14:conditionalFormatting xmlns:xm="http://schemas.microsoft.com/office/excel/2006/main">
          <x14:cfRule type="expression" priority="1684" id="{94DD3C6F-C113-46B5-9523-B3A9F444C760}">
            <xm:f>$S$8='Assessment Details'!$Q$23</xm:f>
            <x14:dxf>
              <border>
                <left style="thin">
                  <color theme="0"/>
                </left>
                <right style="thin">
                  <color theme="0"/>
                </right>
                <top style="thin">
                  <color theme="0"/>
                </top>
                <bottom style="thin">
                  <color theme="0"/>
                </bottom>
                <vertical/>
                <horizontal/>
              </border>
            </x14:dxf>
          </x14:cfRule>
          <xm:sqref>N156</xm:sqref>
        </x14:conditionalFormatting>
        <x14:conditionalFormatting xmlns:xm="http://schemas.microsoft.com/office/excel/2006/main">
          <x14:cfRule type="expression" priority="1683" id="{14EBF0E0-11D4-4858-AE0C-B018D8C3BE5D}">
            <xm:f>$Z$8='Assessment Details'!$Q$23</xm:f>
            <x14:dxf>
              <font>
                <color theme="0"/>
              </font>
              <fill>
                <patternFill>
                  <bgColor theme="0"/>
                </patternFill>
              </fill>
            </x14:dxf>
          </x14:cfRule>
          <xm:sqref>X156:Y156</xm:sqref>
        </x14:conditionalFormatting>
        <x14:conditionalFormatting xmlns:xm="http://schemas.microsoft.com/office/excel/2006/main">
          <x14:cfRule type="expression" priority="1682" id="{410E04A5-9E98-42E7-9FF9-FD96BDFC383F}">
            <xm:f>$Z$8='Assessment Details'!$Q$23</xm:f>
            <x14:dxf>
              <border>
                <left style="thin">
                  <color theme="0"/>
                </left>
                <right style="thin">
                  <color theme="0"/>
                </right>
                <top style="thin">
                  <color theme="0"/>
                </top>
                <bottom style="thin">
                  <color theme="0"/>
                </bottom>
                <vertical/>
                <horizontal/>
              </border>
            </x14:dxf>
          </x14:cfRule>
          <xm:sqref>X156:Y156</xm:sqref>
        </x14:conditionalFormatting>
        <x14:conditionalFormatting xmlns:xm="http://schemas.microsoft.com/office/excel/2006/main">
          <x14:cfRule type="expression" priority="1668" id="{EFD004EF-0AD9-4C0E-A482-FE351BFD77E4}">
            <xm:f>$Z$8='Assessment Details'!$Q$23</xm:f>
            <x14:dxf>
              <font>
                <color theme="0"/>
              </font>
              <fill>
                <patternFill>
                  <bgColor theme="0"/>
                </patternFill>
              </fill>
            </x14:dxf>
          </x14:cfRule>
          <xm:sqref>U156</xm:sqref>
        </x14:conditionalFormatting>
        <x14:conditionalFormatting xmlns:xm="http://schemas.microsoft.com/office/excel/2006/main">
          <x14:cfRule type="expression" priority="1667" id="{C9BE59CD-01E6-4E04-81D4-CC65C596A545}">
            <xm:f>$Z$8='Assessment Details'!$Q$23</xm:f>
            <x14:dxf>
              <border>
                <left style="thin">
                  <color theme="0"/>
                </left>
                <right style="thin">
                  <color theme="0"/>
                </right>
                <top style="thin">
                  <color theme="0"/>
                </top>
                <bottom style="thin">
                  <color theme="0"/>
                </bottom>
                <vertical/>
                <horizontal/>
              </border>
            </x14:dxf>
          </x14:cfRule>
          <xm:sqref>U156</xm:sqref>
        </x14:conditionalFormatting>
        <x14:conditionalFormatting xmlns:xm="http://schemas.microsoft.com/office/excel/2006/main">
          <x14:cfRule type="expression" priority="1656" id="{E93C857C-28FB-4390-B46A-FF8DF2C14CA9}">
            <xm:f>$S$8='Assessment Details'!$Q$23</xm:f>
            <x14:dxf>
              <font>
                <color theme="0"/>
              </font>
              <fill>
                <patternFill>
                  <bgColor theme="0"/>
                </patternFill>
              </fill>
              <border>
                <vertical/>
                <horizontal/>
              </border>
            </x14:dxf>
          </x14:cfRule>
          <xm:sqref>N158</xm:sqref>
        </x14:conditionalFormatting>
        <x14:conditionalFormatting xmlns:xm="http://schemas.microsoft.com/office/excel/2006/main">
          <x14:cfRule type="expression" priority="1655" id="{FB83C662-E61F-403A-B5C3-A775A006BD5A}">
            <xm:f>$S$8='Assessment Details'!$Q$23</xm:f>
            <x14:dxf>
              <border>
                <left style="thin">
                  <color theme="0"/>
                </left>
                <right style="thin">
                  <color theme="0"/>
                </right>
                <top style="thin">
                  <color theme="0"/>
                </top>
                <bottom style="thin">
                  <color theme="0"/>
                </bottom>
                <vertical/>
                <horizontal/>
              </border>
            </x14:dxf>
          </x14:cfRule>
          <xm:sqref>N158</xm:sqref>
        </x14:conditionalFormatting>
        <x14:conditionalFormatting xmlns:xm="http://schemas.microsoft.com/office/excel/2006/main">
          <x14:cfRule type="expression" priority="1654" id="{33A6284F-614F-4C7F-B72F-847D6D3039AD}">
            <xm:f>$Z$8='Assessment Details'!$Q$23</xm:f>
            <x14:dxf>
              <font>
                <color theme="0"/>
              </font>
              <fill>
                <patternFill>
                  <bgColor theme="0"/>
                </patternFill>
              </fill>
            </x14:dxf>
          </x14:cfRule>
          <xm:sqref>X158:Y158</xm:sqref>
        </x14:conditionalFormatting>
        <x14:conditionalFormatting xmlns:xm="http://schemas.microsoft.com/office/excel/2006/main">
          <x14:cfRule type="expression" priority="1653" id="{7029ABC3-A3B5-4C44-9CDE-266B9BDFB425}">
            <xm:f>$Z$8='Assessment Details'!$Q$23</xm:f>
            <x14:dxf>
              <border>
                <left style="thin">
                  <color theme="0"/>
                </left>
                <right style="thin">
                  <color theme="0"/>
                </right>
                <top style="thin">
                  <color theme="0"/>
                </top>
                <bottom style="thin">
                  <color theme="0"/>
                </bottom>
                <vertical/>
                <horizontal/>
              </border>
            </x14:dxf>
          </x14:cfRule>
          <xm:sqref>X158:Y158</xm:sqref>
        </x14:conditionalFormatting>
        <x14:conditionalFormatting xmlns:xm="http://schemas.microsoft.com/office/excel/2006/main">
          <x14:cfRule type="expression" priority="1639" id="{505F3318-0C46-4E24-842E-54A82A74FDB0}">
            <xm:f>$Z$8='Assessment Details'!$Q$23</xm:f>
            <x14:dxf>
              <font>
                <color theme="0"/>
              </font>
              <fill>
                <patternFill>
                  <bgColor theme="0"/>
                </patternFill>
              </fill>
            </x14:dxf>
          </x14:cfRule>
          <xm:sqref>U158</xm:sqref>
        </x14:conditionalFormatting>
        <x14:conditionalFormatting xmlns:xm="http://schemas.microsoft.com/office/excel/2006/main">
          <x14:cfRule type="expression" priority="1638" id="{A6A933DF-C393-4F14-9D8E-B37AEA7D3CB9}">
            <xm:f>$Z$8='Assessment Details'!$Q$23</xm:f>
            <x14:dxf>
              <border>
                <left style="thin">
                  <color theme="0"/>
                </left>
                <right style="thin">
                  <color theme="0"/>
                </right>
                <top style="thin">
                  <color theme="0"/>
                </top>
                <bottom style="thin">
                  <color theme="0"/>
                </bottom>
                <vertical/>
                <horizontal/>
              </border>
            </x14:dxf>
          </x14:cfRule>
          <xm:sqref>U158</xm:sqref>
        </x14:conditionalFormatting>
        <x14:conditionalFormatting xmlns:xm="http://schemas.microsoft.com/office/excel/2006/main">
          <x14:cfRule type="expression" priority="1627" id="{B5BAF25E-EFB2-4473-9E7D-9B148D482A30}">
            <xm:f>$S$8='Assessment Details'!$Q$23</xm:f>
            <x14:dxf>
              <font>
                <color theme="0"/>
              </font>
              <fill>
                <patternFill>
                  <bgColor theme="0"/>
                </patternFill>
              </fill>
              <border>
                <vertical/>
                <horizontal/>
              </border>
            </x14:dxf>
          </x14:cfRule>
          <xm:sqref>N160</xm:sqref>
        </x14:conditionalFormatting>
        <x14:conditionalFormatting xmlns:xm="http://schemas.microsoft.com/office/excel/2006/main">
          <x14:cfRule type="expression" priority="1626" id="{C3B1ECA9-75EA-4F8E-A27C-14108B7F0209}">
            <xm:f>$S$8='Assessment Details'!$Q$23</xm:f>
            <x14:dxf>
              <border>
                <left style="thin">
                  <color theme="0"/>
                </left>
                <right style="thin">
                  <color theme="0"/>
                </right>
                <top style="thin">
                  <color theme="0"/>
                </top>
                <bottom style="thin">
                  <color theme="0"/>
                </bottom>
                <vertical/>
                <horizontal/>
              </border>
            </x14:dxf>
          </x14:cfRule>
          <xm:sqref>N160</xm:sqref>
        </x14:conditionalFormatting>
        <x14:conditionalFormatting xmlns:xm="http://schemas.microsoft.com/office/excel/2006/main">
          <x14:cfRule type="expression" priority="1625" id="{FAD0F942-33DA-46B1-AC40-39F2D6CB26A2}">
            <xm:f>$Z$8='Assessment Details'!$Q$23</xm:f>
            <x14:dxf>
              <font>
                <color theme="0"/>
              </font>
              <fill>
                <patternFill>
                  <bgColor theme="0"/>
                </patternFill>
              </fill>
            </x14:dxf>
          </x14:cfRule>
          <xm:sqref>X160:Y160</xm:sqref>
        </x14:conditionalFormatting>
        <x14:conditionalFormatting xmlns:xm="http://schemas.microsoft.com/office/excel/2006/main">
          <x14:cfRule type="expression" priority="1624" id="{D95FB0B0-9E07-42C2-843E-F1D49A42E140}">
            <xm:f>$Z$8='Assessment Details'!$Q$23</xm:f>
            <x14:dxf>
              <border>
                <left style="thin">
                  <color theme="0"/>
                </left>
                <right style="thin">
                  <color theme="0"/>
                </right>
                <top style="thin">
                  <color theme="0"/>
                </top>
                <bottom style="thin">
                  <color theme="0"/>
                </bottom>
                <vertical/>
                <horizontal/>
              </border>
            </x14:dxf>
          </x14:cfRule>
          <xm:sqref>X160:Y160</xm:sqref>
        </x14:conditionalFormatting>
        <x14:conditionalFormatting xmlns:xm="http://schemas.microsoft.com/office/excel/2006/main">
          <x14:cfRule type="expression" priority="1610" id="{1706D565-566F-42D6-BAE3-C0C23E307B68}">
            <xm:f>$Z$8='Assessment Details'!$Q$23</xm:f>
            <x14:dxf>
              <font>
                <color theme="0"/>
              </font>
              <fill>
                <patternFill>
                  <bgColor theme="0"/>
                </patternFill>
              </fill>
            </x14:dxf>
          </x14:cfRule>
          <xm:sqref>U160</xm:sqref>
        </x14:conditionalFormatting>
        <x14:conditionalFormatting xmlns:xm="http://schemas.microsoft.com/office/excel/2006/main">
          <x14:cfRule type="expression" priority="1609" id="{21586835-502C-4CFF-AF49-D460AAC12459}">
            <xm:f>$Z$8='Assessment Details'!$Q$23</xm:f>
            <x14:dxf>
              <border>
                <left style="thin">
                  <color theme="0"/>
                </left>
                <right style="thin">
                  <color theme="0"/>
                </right>
                <top style="thin">
                  <color theme="0"/>
                </top>
                <bottom style="thin">
                  <color theme="0"/>
                </bottom>
                <vertical/>
                <horizontal/>
              </border>
            </x14:dxf>
          </x14:cfRule>
          <xm:sqref>U160</xm:sqref>
        </x14:conditionalFormatting>
        <x14:conditionalFormatting xmlns:xm="http://schemas.microsoft.com/office/excel/2006/main">
          <x14:cfRule type="expression" priority="1598" id="{FC4F7586-A157-4352-848C-21918EE781A5}">
            <xm:f>$S$8='Assessment Details'!$Q$23</xm:f>
            <x14:dxf>
              <font>
                <color theme="0"/>
              </font>
              <fill>
                <patternFill>
                  <bgColor theme="0"/>
                </patternFill>
              </fill>
              <border>
                <vertical/>
                <horizontal/>
              </border>
            </x14:dxf>
          </x14:cfRule>
          <xm:sqref>N165</xm:sqref>
        </x14:conditionalFormatting>
        <x14:conditionalFormatting xmlns:xm="http://schemas.microsoft.com/office/excel/2006/main">
          <x14:cfRule type="expression" priority="1597" id="{BE8FA228-D559-43BF-B3AC-678B93E9A11F}">
            <xm:f>$S$8='Assessment Details'!$Q$23</xm:f>
            <x14:dxf>
              <border>
                <left style="thin">
                  <color theme="0"/>
                </left>
                <right style="thin">
                  <color theme="0"/>
                </right>
                <top style="thin">
                  <color theme="0"/>
                </top>
                <bottom style="thin">
                  <color theme="0"/>
                </bottom>
                <vertical/>
                <horizontal/>
              </border>
            </x14:dxf>
          </x14:cfRule>
          <xm:sqref>N165</xm:sqref>
        </x14:conditionalFormatting>
        <x14:conditionalFormatting xmlns:xm="http://schemas.microsoft.com/office/excel/2006/main">
          <x14:cfRule type="expression" priority="1596" id="{EC14D7BD-E844-4979-B380-D8772CD6DCDB}">
            <xm:f>$Z$8='Assessment Details'!$Q$23</xm:f>
            <x14:dxf>
              <font>
                <color theme="0"/>
              </font>
              <fill>
                <patternFill>
                  <bgColor theme="0"/>
                </patternFill>
              </fill>
            </x14:dxf>
          </x14:cfRule>
          <xm:sqref>X165:Y165</xm:sqref>
        </x14:conditionalFormatting>
        <x14:conditionalFormatting xmlns:xm="http://schemas.microsoft.com/office/excel/2006/main">
          <x14:cfRule type="expression" priority="1595" id="{0235C1C1-06F0-430A-88CE-9E126B07233B}">
            <xm:f>$Z$8='Assessment Details'!$Q$23</xm:f>
            <x14:dxf>
              <border>
                <left style="thin">
                  <color theme="0"/>
                </left>
                <right style="thin">
                  <color theme="0"/>
                </right>
                <top style="thin">
                  <color theme="0"/>
                </top>
                <bottom style="thin">
                  <color theme="0"/>
                </bottom>
                <vertical/>
                <horizontal/>
              </border>
            </x14:dxf>
          </x14:cfRule>
          <xm:sqref>X165:Y165</xm:sqref>
        </x14:conditionalFormatting>
        <x14:conditionalFormatting xmlns:xm="http://schemas.microsoft.com/office/excel/2006/main">
          <x14:cfRule type="expression" priority="1581" id="{69741BF6-D994-441F-9F31-4EBB94ECF11F}">
            <xm:f>$Z$8='Assessment Details'!$Q$23</xm:f>
            <x14:dxf>
              <font>
                <color theme="0"/>
              </font>
              <fill>
                <patternFill>
                  <bgColor theme="0"/>
                </patternFill>
              </fill>
            </x14:dxf>
          </x14:cfRule>
          <xm:sqref>U165</xm:sqref>
        </x14:conditionalFormatting>
        <x14:conditionalFormatting xmlns:xm="http://schemas.microsoft.com/office/excel/2006/main">
          <x14:cfRule type="expression" priority="1580" id="{02E4BBE7-B240-4F9F-BBBB-942D574B4AA0}">
            <xm:f>$Z$8='Assessment Details'!$Q$23</xm:f>
            <x14:dxf>
              <border>
                <left style="thin">
                  <color theme="0"/>
                </left>
                <right style="thin">
                  <color theme="0"/>
                </right>
                <top style="thin">
                  <color theme="0"/>
                </top>
                <bottom style="thin">
                  <color theme="0"/>
                </bottom>
                <vertical/>
                <horizontal/>
              </border>
            </x14:dxf>
          </x14:cfRule>
          <xm:sqref>U165</xm:sqref>
        </x14:conditionalFormatting>
        <x14:conditionalFormatting xmlns:xm="http://schemas.microsoft.com/office/excel/2006/main">
          <x14:cfRule type="expression" priority="1569" id="{EDF6CD3E-34CB-41A5-AB94-6E33CD81E4C7}">
            <xm:f>$S$8='Assessment Details'!$Q$23</xm:f>
            <x14:dxf>
              <font>
                <color theme="0"/>
              </font>
              <fill>
                <patternFill>
                  <bgColor theme="0"/>
                </patternFill>
              </fill>
              <border>
                <vertical/>
                <horizontal/>
              </border>
            </x14:dxf>
          </x14:cfRule>
          <xm:sqref>N169:N170</xm:sqref>
        </x14:conditionalFormatting>
        <x14:conditionalFormatting xmlns:xm="http://schemas.microsoft.com/office/excel/2006/main">
          <x14:cfRule type="expression" priority="1568" id="{4165ED7D-D562-4D22-A6D6-5BBBB0C0E736}">
            <xm:f>$S$8='Assessment Details'!$Q$23</xm:f>
            <x14:dxf>
              <border>
                <left style="thin">
                  <color theme="0"/>
                </left>
                <right style="thin">
                  <color theme="0"/>
                </right>
                <top style="thin">
                  <color theme="0"/>
                </top>
                <bottom style="thin">
                  <color theme="0"/>
                </bottom>
                <vertical/>
                <horizontal/>
              </border>
            </x14:dxf>
          </x14:cfRule>
          <xm:sqref>N169:N170</xm:sqref>
        </x14:conditionalFormatting>
        <x14:conditionalFormatting xmlns:xm="http://schemas.microsoft.com/office/excel/2006/main">
          <x14:cfRule type="expression" priority="1567" id="{F83DBC8E-67E7-43CC-80AB-0026E89AC9CE}">
            <xm:f>$Z$8='Assessment Details'!$Q$23</xm:f>
            <x14:dxf>
              <font>
                <color theme="0"/>
              </font>
              <fill>
                <patternFill>
                  <bgColor theme="0"/>
                </patternFill>
              </fill>
            </x14:dxf>
          </x14:cfRule>
          <xm:sqref>X168:Y170</xm:sqref>
        </x14:conditionalFormatting>
        <x14:conditionalFormatting xmlns:xm="http://schemas.microsoft.com/office/excel/2006/main">
          <x14:cfRule type="expression" priority="1566" id="{C8492064-65F4-49FD-9B25-FC1139F0E4C2}">
            <xm:f>$Z$8='Assessment Details'!$Q$23</xm:f>
            <x14:dxf>
              <border>
                <left style="thin">
                  <color theme="0"/>
                </left>
                <right style="thin">
                  <color theme="0"/>
                </right>
                <top style="thin">
                  <color theme="0"/>
                </top>
                <bottom style="thin">
                  <color theme="0"/>
                </bottom>
                <vertical/>
                <horizontal/>
              </border>
            </x14:dxf>
          </x14:cfRule>
          <xm:sqref>X168:Y170</xm:sqref>
        </x14:conditionalFormatting>
        <x14:conditionalFormatting xmlns:xm="http://schemas.microsoft.com/office/excel/2006/main">
          <x14:cfRule type="expression" priority="1552" id="{025FCD9C-6EC2-4741-BAEA-95D9F8820B1F}">
            <xm:f>$Z$8='Assessment Details'!$Q$23</xm:f>
            <x14:dxf>
              <font>
                <color theme="0"/>
              </font>
              <fill>
                <patternFill>
                  <bgColor theme="0"/>
                </patternFill>
              </fill>
            </x14:dxf>
          </x14:cfRule>
          <xm:sqref>U169:U170</xm:sqref>
        </x14:conditionalFormatting>
        <x14:conditionalFormatting xmlns:xm="http://schemas.microsoft.com/office/excel/2006/main">
          <x14:cfRule type="expression" priority="1551" id="{02EDE805-E77B-4339-9098-9C92ADDA184E}">
            <xm:f>$Z$8='Assessment Details'!$Q$23</xm:f>
            <x14:dxf>
              <border>
                <left style="thin">
                  <color theme="0"/>
                </left>
                <right style="thin">
                  <color theme="0"/>
                </right>
                <top style="thin">
                  <color theme="0"/>
                </top>
                <bottom style="thin">
                  <color theme="0"/>
                </bottom>
                <vertical/>
                <horizontal/>
              </border>
            </x14:dxf>
          </x14:cfRule>
          <xm:sqref>U169:U170</xm:sqref>
        </x14:conditionalFormatting>
        <x14:conditionalFormatting xmlns:xm="http://schemas.microsoft.com/office/excel/2006/main">
          <x14:cfRule type="expression" priority="1540" id="{3D1E988D-03DD-499C-BF68-CF1240BEC228}">
            <xm:f>$S$8='Assessment Details'!$Q$23</xm:f>
            <x14:dxf>
              <font>
                <color theme="0"/>
              </font>
              <fill>
                <patternFill>
                  <bgColor theme="0"/>
                </patternFill>
              </fill>
              <border>
                <vertical/>
                <horizontal/>
              </border>
            </x14:dxf>
          </x14:cfRule>
          <xm:sqref>N173:N174</xm:sqref>
        </x14:conditionalFormatting>
        <x14:conditionalFormatting xmlns:xm="http://schemas.microsoft.com/office/excel/2006/main">
          <x14:cfRule type="expression" priority="1539" id="{FEA7069D-5280-4A3C-A382-371BE113ED55}">
            <xm:f>$S$8='Assessment Details'!$Q$23</xm:f>
            <x14:dxf>
              <border>
                <left style="thin">
                  <color theme="0"/>
                </left>
                <right style="thin">
                  <color theme="0"/>
                </right>
                <top style="thin">
                  <color theme="0"/>
                </top>
                <bottom style="thin">
                  <color theme="0"/>
                </bottom>
                <vertical/>
                <horizontal/>
              </border>
            </x14:dxf>
          </x14:cfRule>
          <xm:sqref>N173:N174</xm:sqref>
        </x14:conditionalFormatting>
        <x14:conditionalFormatting xmlns:xm="http://schemas.microsoft.com/office/excel/2006/main">
          <x14:cfRule type="expression" priority="1523" id="{84F84A84-D28C-4541-BF15-E652C7765B65}">
            <xm:f>$Z$8='Assessment Details'!$Q$23</xm:f>
            <x14:dxf>
              <font>
                <color theme="0"/>
              </font>
              <fill>
                <patternFill>
                  <bgColor theme="0"/>
                </patternFill>
              </fill>
            </x14:dxf>
          </x14:cfRule>
          <xm:sqref>U173:U174</xm:sqref>
        </x14:conditionalFormatting>
        <x14:conditionalFormatting xmlns:xm="http://schemas.microsoft.com/office/excel/2006/main">
          <x14:cfRule type="expression" priority="1522" id="{7B46AC8A-3833-42E8-83A3-338992A82C94}">
            <xm:f>$Z$8='Assessment Details'!$Q$23</xm:f>
            <x14:dxf>
              <border>
                <left style="thin">
                  <color theme="0"/>
                </left>
                <right style="thin">
                  <color theme="0"/>
                </right>
                <top style="thin">
                  <color theme="0"/>
                </top>
                <bottom style="thin">
                  <color theme="0"/>
                </bottom>
                <vertical/>
                <horizontal/>
              </border>
            </x14:dxf>
          </x14:cfRule>
          <xm:sqref>U173:U174</xm:sqref>
        </x14:conditionalFormatting>
        <x14:conditionalFormatting xmlns:xm="http://schemas.microsoft.com/office/excel/2006/main">
          <x14:cfRule type="expression" priority="1511" id="{BCBDE68D-5C79-4E40-A8E9-299017800141}">
            <xm:f>$S$8='Assessment Details'!$Q$23</xm:f>
            <x14:dxf>
              <font>
                <color theme="0"/>
              </font>
              <fill>
                <patternFill>
                  <bgColor theme="0"/>
                </patternFill>
              </fill>
              <border>
                <vertical/>
                <horizontal/>
              </border>
            </x14:dxf>
          </x14:cfRule>
          <xm:sqref>N177:N178</xm:sqref>
        </x14:conditionalFormatting>
        <x14:conditionalFormatting xmlns:xm="http://schemas.microsoft.com/office/excel/2006/main">
          <x14:cfRule type="expression" priority="1510" id="{F639A87B-C88A-4C53-9078-FA0725954127}">
            <xm:f>$S$8='Assessment Details'!$Q$23</xm:f>
            <x14:dxf>
              <border>
                <left style="thin">
                  <color theme="0"/>
                </left>
                <right style="thin">
                  <color theme="0"/>
                </right>
                <top style="thin">
                  <color theme="0"/>
                </top>
                <bottom style="thin">
                  <color theme="0"/>
                </bottom>
                <vertical/>
                <horizontal/>
              </border>
            </x14:dxf>
          </x14:cfRule>
          <xm:sqref>N177:N178</xm:sqref>
        </x14:conditionalFormatting>
        <x14:conditionalFormatting xmlns:xm="http://schemas.microsoft.com/office/excel/2006/main">
          <x14:cfRule type="expression" priority="1509" id="{A521E0BB-96A0-44B1-9940-4AFB6590279F}">
            <xm:f>$Z$8='Assessment Details'!$Q$23</xm:f>
            <x14:dxf>
              <font>
                <color theme="0"/>
              </font>
              <fill>
                <patternFill>
                  <bgColor theme="0"/>
                </patternFill>
              </fill>
            </x14:dxf>
          </x14:cfRule>
          <xm:sqref>X176:Y178</xm:sqref>
        </x14:conditionalFormatting>
        <x14:conditionalFormatting xmlns:xm="http://schemas.microsoft.com/office/excel/2006/main">
          <x14:cfRule type="expression" priority="1508" id="{B4363687-7932-4F7E-886B-EF390D51CCD1}">
            <xm:f>$Z$8='Assessment Details'!$Q$23</xm:f>
            <x14:dxf>
              <border>
                <left style="thin">
                  <color theme="0"/>
                </left>
                <right style="thin">
                  <color theme="0"/>
                </right>
                <top style="thin">
                  <color theme="0"/>
                </top>
                <bottom style="thin">
                  <color theme="0"/>
                </bottom>
                <vertical/>
                <horizontal/>
              </border>
            </x14:dxf>
          </x14:cfRule>
          <xm:sqref>X176:Y178</xm:sqref>
        </x14:conditionalFormatting>
        <x14:conditionalFormatting xmlns:xm="http://schemas.microsoft.com/office/excel/2006/main">
          <x14:cfRule type="expression" priority="1494" id="{8A2EF026-7281-4B89-ACE1-B4C4019A2A77}">
            <xm:f>$Z$8='Assessment Details'!$Q$23</xm:f>
            <x14:dxf>
              <font>
                <color theme="0"/>
              </font>
              <fill>
                <patternFill>
                  <bgColor theme="0"/>
                </patternFill>
              </fill>
            </x14:dxf>
          </x14:cfRule>
          <xm:sqref>U177:U178</xm:sqref>
        </x14:conditionalFormatting>
        <x14:conditionalFormatting xmlns:xm="http://schemas.microsoft.com/office/excel/2006/main">
          <x14:cfRule type="expression" priority="1493" id="{A8B954CC-158D-484A-816B-BD9CF8639B81}">
            <xm:f>$Z$8='Assessment Details'!$Q$23</xm:f>
            <x14:dxf>
              <border>
                <left style="thin">
                  <color theme="0"/>
                </left>
                <right style="thin">
                  <color theme="0"/>
                </right>
                <top style="thin">
                  <color theme="0"/>
                </top>
                <bottom style="thin">
                  <color theme="0"/>
                </bottom>
                <vertical/>
                <horizontal/>
              </border>
            </x14:dxf>
          </x14:cfRule>
          <xm:sqref>U177:U178</xm:sqref>
        </x14:conditionalFormatting>
        <x14:conditionalFormatting xmlns:xm="http://schemas.microsoft.com/office/excel/2006/main">
          <x14:cfRule type="expression" priority="1482" id="{0841C3A7-48E6-4EF1-8BD3-2A7D424CCA2D}">
            <xm:f>$S$8='Assessment Details'!$Q$23</xm:f>
            <x14:dxf>
              <font>
                <color theme="0"/>
              </font>
              <fill>
                <patternFill>
                  <bgColor theme="0"/>
                </patternFill>
              </fill>
              <border>
                <vertical/>
                <horizontal/>
              </border>
            </x14:dxf>
          </x14:cfRule>
          <xm:sqref>N181:N182</xm:sqref>
        </x14:conditionalFormatting>
        <x14:conditionalFormatting xmlns:xm="http://schemas.microsoft.com/office/excel/2006/main">
          <x14:cfRule type="expression" priority="1481" id="{47373EDA-C443-45B9-8151-C85D11428738}">
            <xm:f>$S$8='Assessment Details'!$Q$23</xm:f>
            <x14:dxf>
              <border>
                <left style="thin">
                  <color theme="0"/>
                </left>
                <right style="thin">
                  <color theme="0"/>
                </right>
                <top style="thin">
                  <color theme="0"/>
                </top>
                <bottom style="thin">
                  <color theme="0"/>
                </bottom>
                <vertical/>
                <horizontal/>
              </border>
            </x14:dxf>
          </x14:cfRule>
          <xm:sqref>N181:N182</xm:sqref>
        </x14:conditionalFormatting>
        <x14:conditionalFormatting xmlns:xm="http://schemas.microsoft.com/office/excel/2006/main">
          <x14:cfRule type="expression" priority="1480" id="{89B486E7-ED01-4277-90ED-A95F4EC43ABD}">
            <xm:f>$Z$8='Assessment Details'!$Q$23</xm:f>
            <x14:dxf>
              <font>
                <color theme="0"/>
              </font>
              <fill>
                <patternFill>
                  <bgColor theme="0"/>
                </patternFill>
              </fill>
            </x14:dxf>
          </x14:cfRule>
          <xm:sqref>X180:Y182</xm:sqref>
        </x14:conditionalFormatting>
        <x14:conditionalFormatting xmlns:xm="http://schemas.microsoft.com/office/excel/2006/main">
          <x14:cfRule type="expression" priority="1479" id="{36E04BD1-C39C-4724-8F27-3B7345215037}">
            <xm:f>$Z$8='Assessment Details'!$Q$23</xm:f>
            <x14:dxf>
              <border>
                <left style="thin">
                  <color theme="0"/>
                </left>
                <right style="thin">
                  <color theme="0"/>
                </right>
                <top style="thin">
                  <color theme="0"/>
                </top>
                <bottom style="thin">
                  <color theme="0"/>
                </bottom>
                <vertical/>
                <horizontal/>
              </border>
            </x14:dxf>
          </x14:cfRule>
          <xm:sqref>X180:Y182</xm:sqref>
        </x14:conditionalFormatting>
        <x14:conditionalFormatting xmlns:xm="http://schemas.microsoft.com/office/excel/2006/main">
          <x14:cfRule type="expression" priority="1465" id="{F70FDA20-731E-4AF8-AFE8-7C3957D6DB58}">
            <xm:f>$Z$8='Assessment Details'!$Q$23</xm:f>
            <x14:dxf>
              <font>
                <color theme="0"/>
              </font>
              <fill>
                <patternFill>
                  <bgColor theme="0"/>
                </patternFill>
              </fill>
            </x14:dxf>
          </x14:cfRule>
          <xm:sqref>U181:U182</xm:sqref>
        </x14:conditionalFormatting>
        <x14:conditionalFormatting xmlns:xm="http://schemas.microsoft.com/office/excel/2006/main">
          <x14:cfRule type="expression" priority="1464" id="{90EF81F3-F7FF-48CC-BDA8-A145075B8D70}">
            <xm:f>$Z$8='Assessment Details'!$Q$23</xm:f>
            <x14:dxf>
              <border>
                <left style="thin">
                  <color theme="0"/>
                </left>
                <right style="thin">
                  <color theme="0"/>
                </right>
                <top style="thin">
                  <color theme="0"/>
                </top>
                <bottom style="thin">
                  <color theme="0"/>
                </bottom>
                <vertical/>
                <horizontal/>
              </border>
            </x14:dxf>
          </x14:cfRule>
          <xm:sqref>U181:U182</xm:sqref>
        </x14:conditionalFormatting>
        <x14:conditionalFormatting xmlns:xm="http://schemas.microsoft.com/office/excel/2006/main">
          <x14:cfRule type="expression" priority="1453" id="{E871B02C-4848-4F5F-92CF-340A21D6C286}">
            <xm:f>$S$8='Assessment Details'!$Q$23</xm:f>
            <x14:dxf>
              <font>
                <color theme="0"/>
              </font>
              <fill>
                <patternFill>
                  <bgColor theme="0"/>
                </patternFill>
              </fill>
              <border>
                <vertical/>
                <horizontal/>
              </border>
            </x14:dxf>
          </x14:cfRule>
          <xm:sqref>N184</xm:sqref>
        </x14:conditionalFormatting>
        <x14:conditionalFormatting xmlns:xm="http://schemas.microsoft.com/office/excel/2006/main">
          <x14:cfRule type="expression" priority="1452" id="{5B227801-2A9F-4CD2-92E4-A213D0C938B8}">
            <xm:f>$S$8='Assessment Details'!$Q$23</xm:f>
            <x14:dxf>
              <border>
                <left style="thin">
                  <color theme="0"/>
                </left>
                <right style="thin">
                  <color theme="0"/>
                </right>
                <top style="thin">
                  <color theme="0"/>
                </top>
                <bottom style="thin">
                  <color theme="0"/>
                </bottom>
                <vertical/>
                <horizontal/>
              </border>
            </x14:dxf>
          </x14:cfRule>
          <xm:sqref>N184</xm:sqref>
        </x14:conditionalFormatting>
        <x14:conditionalFormatting xmlns:xm="http://schemas.microsoft.com/office/excel/2006/main">
          <x14:cfRule type="expression" priority="1451" id="{E25EE285-D422-4F6A-B1DC-FD770294A9B3}">
            <xm:f>$Z$8='Assessment Details'!$Q$23</xm:f>
            <x14:dxf>
              <font>
                <color theme="0"/>
              </font>
              <fill>
                <patternFill>
                  <bgColor theme="0"/>
                </patternFill>
              </fill>
            </x14:dxf>
          </x14:cfRule>
          <xm:sqref>X184:Y184</xm:sqref>
        </x14:conditionalFormatting>
        <x14:conditionalFormatting xmlns:xm="http://schemas.microsoft.com/office/excel/2006/main">
          <x14:cfRule type="expression" priority="1450" id="{F016B8F4-5F99-46F2-82A2-602D0188A024}">
            <xm:f>$Z$8='Assessment Details'!$Q$23</xm:f>
            <x14:dxf>
              <border>
                <left style="thin">
                  <color theme="0"/>
                </left>
                <right style="thin">
                  <color theme="0"/>
                </right>
                <top style="thin">
                  <color theme="0"/>
                </top>
                <bottom style="thin">
                  <color theme="0"/>
                </bottom>
                <vertical/>
                <horizontal/>
              </border>
            </x14:dxf>
          </x14:cfRule>
          <xm:sqref>X184:Y184</xm:sqref>
        </x14:conditionalFormatting>
        <x14:conditionalFormatting xmlns:xm="http://schemas.microsoft.com/office/excel/2006/main">
          <x14:cfRule type="expression" priority="1436" id="{EC96F803-68EB-422C-85D3-F19E95C35C07}">
            <xm:f>$Z$8='Assessment Details'!$Q$23</xm:f>
            <x14:dxf>
              <font>
                <color theme="0"/>
              </font>
              <fill>
                <patternFill>
                  <bgColor theme="0"/>
                </patternFill>
              </fill>
            </x14:dxf>
          </x14:cfRule>
          <xm:sqref>U184</xm:sqref>
        </x14:conditionalFormatting>
        <x14:conditionalFormatting xmlns:xm="http://schemas.microsoft.com/office/excel/2006/main">
          <x14:cfRule type="expression" priority="1435" id="{5CFF3259-D6B5-403F-B1C7-61A200BA1D99}">
            <xm:f>$Z$8='Assessment Details'!$Q$23</xm:f>
            <x14:dxf>
              <border>
                <left style="thin">
                  <color theme="0"/>
                </left>
                <right style="thin">
                  <color theme="0"/>
                </right>
                <top style="thin">
                  <color theme="0"/>
                </top>
                <bottom style="thin">
                  <color theme="0"/>
                </bottom>
                <vertical/>
                <horizontal/>
              </border>
            </x14:dxf>
          </x14:cfRule>
          <xm:sqref>U184</xm:sqref>
        </x14:conditionalFormatting>
        <x14:conditionalFormatting xmlns:xm="http://schemas.microsoft.com/office/excel/2006/main">
          <x14:cfRule type="expression" priority="1424" id="{ADD3DFAA-D862-422F-9749-96EA4A90B76A}">
            <xm:f>$S$8='Assessment Details'!$Q$23</xm:f>
            <x14:dxf>
              <font>
                <color theme="0"/>
              </font>
              <fill>
                <patternFill>
                  <bgColor theme="0"/>
                </patternFill>
              </fill>
              <border>
                <vertical/>
                <horizontal/>
              </border>
            </x14:dxf>
          </x14:cfRule>
          <xm:sqref>N187</xm:sqref>
        </x14:conditionalFormatting>
        <x14:conditionalFormatting xmlns:xm="http://schemas.microsoft.com/office/excel/2006/main">
          <x14:cfRule type="expression" priority="1423" id="{B6AEE161-B105-452E-96A6-8641765D499B}">
            <xm:f>$S$8='Assessment Details'!$Q$23</xm:f>
            <x14:dxf>
              <border>
                <left style="thin">
                  <color theme="0"/>
                </left>
                <right style="thin">
                  <color theme="0"/>
                </right>
                <top style="thin">
                  <color theme="0"/>
                </top>
                <bottom style="thin">
                  <color theme="0"/>
                </bottom>
                <vertical/>
                <horizontal/>
              </border>
            </x14:dxf>
          </x14:cfRule>
          <xm:sqref>N187</xm:sqref>
        </x14:conditionalFormatting>
        <x14:conditionalFormatting xmlns:xm="http://schemas.microsoft.com/office/excel/2006/main">
          <x14:cfRule type="expression" priority="1422" id="{9AF9090A-A1EA-44E8-819A-714C5BE9399D}">
            <xm:f>$Z$8='Assessment Details'!$Q$23</xm:f>
            <x14:dxf>
              <font>
                <color theme="0"/>
              </font>
              <fill>
                <patternFill>
                  <bgColor theme="0"/>
                </patternFill>
              </fill>
            </x14:dxf>
          </x14:cfRule>
          <xm:sqref>X186:Y187</xm:sqref>
        </x14:conditionalFormatting>
        <x14:conditionalFormatting xmlns:xm="http://schemas.microsoft.com/office/excel/2006/main">
          <x14:cfRule type="expression" priority="1421" id="{4B4AE711-7F1F-459C-9292-6A6A78C33432}">
            <xm:f>$Z$8='Assessment Details'!$Q$23</xm:f>
            <x14:dxf>
              <border>
                <left style="thin">
                  <color theme="0"/>
                </left>
                <right style="thin">
                  <color theme="0"/>
                </right>
                <top style="thin">
                  <color theme="0"/>
                </top>
                <bottom style="thin">
                  <color theme="0"/>
                </bottom>
                <vertical/>
                <horizontal/>
              </border>
            </x14:dxf>
          </x14:cfRule>
          <xm:sqref>X186:Y187</xm:sqref>
        </x14:conditionalFormatting>
        <x14:conditionalFormatting xmlns:xm="http://schemas.microsoft.com/office/excel/2006/main">
          <x14:cfRule type="expression" priority="1407" id="{70F5CD5D-7755-4A45-89FE-FC8A883E6DC2}">
            <xm:f>$Z$8='Assessment Details'!$Q$23</xm:f>
            <x14:dxf>
              <font>
                <color theme="0"/>
              </font>
              <fill>
                <patternFill>
                  <bgColor theme="0"/>
                </patternFill>
              </fill>
            </x14:dxf>
          </x14:cfRule>
          <xm:sqref>U187</xm:sqref>
        </x14:conditionalFormatting>
        <x14:conditionalFormatting xmlns:xm="http://schemas.microsoft.com/office/excel/2006/main">
          <x14:cfRule type="expression" priority="1406" id="{51F44447-A560-4C68-AFA9-48659A9FC49A}">
            <xm:f>$Z$8='Assessment Details'!$Q$23</xm:f>
            <x14:dxf>
              <border>
                <left style="thin">
                  <color theme="0"/>
                </left>
                <right style="thin">
                  <color theme="0"/>
                </right>
                <top style="thin">
                  <color theme="0"/>
                </top>
                <bottom style="thin">
                  <color theme="0"/>
                </bottom>
                <vertical/>
                <horizontal/>
              </border>
            </x14:dxf>
          </x14:cfRule>
          <xm:sqref>U187</xm:sqref>
        </x14:conditionalFormatting>
        <x14:conditionalFormatting xmlns:xm="http://schemas.microsoft.com/office/excel/2006/main">
          <x14:cfRule type="expression" priority="1395" id="{3AFD6779-953D-424A-9968-4E7E05952675}">
            <xm:f>$S$8='Assessment Details'!$Q$23</xm:f>
            <x14:dxf>
              <font>
                <color theme="0"/>
              </font>
              <fill>
                <patternFill>
                  <bgColor theme="0"/>
                </patternFill>
              </fill>
              <border>
                <vertical/>
                <horizontal/>
              </border>
            </x14:dxf>
          </x14:cfRule>
          <xm:sqref>N190:N192</xm:sqref>
        </x14:conditionalFormatting>
        <x14:conditionalFormatting xmlns:xm="http://schemas.microsoft.com/office/excel/2006/main">
          <x14:cfRule type="expression" priority="1394" id="{0FB74762-1D3E-4B2F-BA18-E2EDB089150D}">
            <xm:f>$S$8='Assessment Details'!$Q$23</xm:f>
            <x14:dxf>
              <border>
                <left style="thin">
                  <color theme="0"/>
                </left>
                <right style="thin">
                  <color theme="0"/>
                </right>
                <top style="thin">
                  <color theme="0"/>
                </top>
                <bottom style="thin">
                  <color theme="0"/>
                </bottom>
                <vertical/>
                <horizontal/>
              </border>
            </x14:dxf>
          </x14:cfRule>
          <xm:sqref>N190:N192</xm:sqref>
        </x14:conditionalFormatting>
        <x14:conditionalFormatting xmlns:xm="http://schemas.microsoft.com/office/excel/2006/main">
          <x14:cfRule type="expression" priority="1393" id="{12FE712B-FA74-4B7D-9AE3-59C41D8B7D36}">
            <xm:f>$Z$8='Assessment Details'!$Q$23</xm:f>
            <x14:dxf>
              <font>
                <color theme="0"/>
              </font>
              <fill>
                <patternFill>
                  <bgColor theme="0"/>
                </patternFill>
              </fill>
            </x14:dxf>
          </x14:cfRule>
          <xm:sqref>X189:Y192</xm:sqref>
        </x14:conditionalFormatting>
        <x14:conditionalFormatting xmlns:xm="http://schemas.microsoft.com/office/excel/2006/main">
          <x14:cfRule type="expression" priority="1392" id="{E8B9DDCA-44DF-4858-BD32-C2B56BD428AC}">
            <xm:f>$Z$8='Assessment Details'!$Q$23</xm:f>
            <x14:dxf>
              <border>
                <left style="thin">
                  <color theme="0"/>
                </left>
                <right style="thin">
                  <color theme="0"/>
                </right>
                <top style="thin">
                  <color theme="0"/>
                </top>
                <bottom style="thin">
                  <color theme="0"/>
                </bottom>
                <vertical/>
                <horizontal/>
              </border>
            </x14:dxf>
          </x14:cfRule>
          <xm:sqref>X189:Y192</xm:sqref>
        </x14:conditionalFormatting>
        <x14:conditionalFormatting xmlns:xm="http://schemas.microsoft.com/office/excel/2006/main">
          <x14:cfRule type="expression" priority="1378" id="{9252695C-FA9D-4E90-99FE-9DC43D65F3D3}">
            <xm:f>$Z$8='Assessment Details'!$Q$23</xm:f>
            <x14:dxf>
              <font>
                <color theme="0"/>
              </font>
              <fill>
                <patternFill>
                  <bgColor theme="0"/>
                </patternFill>
              </fill>
            </x14:dxf>
          </x14:cfRule>
          <xm:sqref>U190:U192</xm:sqref>
        </x14:conditionalFormatting>
        <x14:conditionalFormatting xmlns:xm="http://schemas.microsoft.com/office/excel/2006/main">
          <x14:cfRule type="expression" priority="1377" id="{9CAC2D9D-4057-4AD9-A2F4-198BB19A971B}">
            <xm:f>$Z$8='Assessment Details'!$Q$23</xm:f>
            <x14:dxf>
              <border>
                <left style="thin">
                  <color theme="0"/>
                </left>
                <right style="thin">
                  <color theme="0"/>
                </right>
                <top style="thin">
                  <color theme="0"/>
                </top>
                <bottom style="thin">
                  <color theme="0"/>
                </bottom>
                <vertical/>
                <horizontal/>
              </border>
            </x14:dxf>
          </x14:cfRule>
          <xm:sqref>U190:U192</xm:sqref>
        </x14:conditionalFormatting>
        <x14:conditionalFormatting xmlns:xm="http://schemas.microsoft.com/office/excel/2006/main">
          <x14:cfRule type="expression" priority="1366" id="{B208A544-0E3C-4663-BA8B-0FD277FB4633}">
            <xm:f>$S$8='Assessment Details'!$Q$23</xm:f>
            <x14:dxf>
              <font>
                <color theme="0"/>
              </font>
              <fill>
                <patternFill>
                  <bgColor theme="0"/>
                </patternFill>
              </fill>
              <border>
                <vertical/>
                <horizontal/>
              </border>
            </x14:dxf>
          </x14:cfRule>
          <xm:sqref>N197</xm:sqref>
        </x14:conditionalFormatting>
        <x14:conditionalFormatting xmlns:xm="http://schemas.microsoft.com/office/excel/2006/main">
          <x14:cfRule type="expression" priority="1365" id="{54770062-B715-4AE7-AD74-84D67EC38AF3}">
            <xm:f>$S$8='Assessment Details'!$Q$23</xm:f>
            <x14:dxf>
              <border>
                <left style="thin">
                  <color theme="0"/>
                </left>
                <right style="thin">
                  <color theme="0"/>
                </right>
                <top style="thin">
                  <color theme="0"/>
                </top>
                <bottom style="thin">
                  <color theme="0"/>
                </bottom>
                <vertical/>
                <horizontal/>
              </border>
            </x14:dxf>
          </x14:cfRule>
          <xm:sqref>N197</xm:sqref>
        </x14:conditionalFormatting>
        <x14:conditionalFormatting xmlns:xm="http://schemas.microsoft.com/office/excel/2006/main">
          <x14:cfRule type="expression" priority="1364" id="{0ECEAA33-0EF7-4CA2-98BD-FC7068A6CCC7}">
            <xm:f>$Z$8='Assessment Details'!$Q$23</xm:f>
            <x14:dxf>
              <font>
                <color theme="0"/>
              </font>
              <fill>
                <patternFill>
                  <bgColor theme="0"/>
                </patternFill>
              </fill>
            </x14:dxf>
          </x14:cfRule>
          <xm:sqref>X197:Y197</xm:sqref>
        </x14:conditionalFormatting>
        <x14:conditionalFormatting xmlns:xm="http://schemas.microsoft.com/office/excel/2006/main">
          <x14:cfRule type="expression" priority="1363" id="{6348EF24-9E8A-43B3-83B4-BF7DAEF8577C}">
            <xm:f>$Z$8='Assessment Details'!$Q$23</xm:f>
            <x14:dxf>
              <border>
                <left style="thin">
                  <color theme="0"/>
                </left>
                <right style="thin">
                  <color theme="0"/>
                </right>
                <top style="thin">
                  <color theme="0"/>
                </top>
                <bottom style="thin">
                  <color theme="0"/>
                </bottom>
                <vertical/>
                <horizontal/>
              </border>
            </x14:dxf>
          </x14:cfRule>
          <xm:sqref>X197:Y197</xm:sqref>
        </x14:conditionalFormatting>
        <x14:conditionalFormatting xmlns:xm="http://schemas.microsoft.com/office/excel/2006/main">
          <x14:cfRule type="expression" priority="1349" id="{84D6D612-6AF0-4402-BF39-DFE97A33E5E8}">
            <xm:f>$Z$8='Assessment Details'!$Q$23</xm:f>
            <x14:dxf>
              <font>
                <color theme="0"/>
              </font>
              <fill>
                <patternFill>
                  <bgColor theme="0"/>
                </patternFill>
              </fill>
            </x14:dxf>
          </x14:cfRule>
          <xm:sqref>U197</xm:sqref>
        </x14:conditionalFormatting>
        <x14:conditionalFormatting xmlns:xm="http://schemas.microsoft.com/office/excel/2006/main">
          <x14:cfRule type="expression" priority="1348" id="{6AF589B5-841E-4955-967B-DDB6455B0222}">
            <xm:f>$Z$8='Assessment Details'!$Q$23</xm:f>
            <x14:dxf>
              <border>
                <left style="thin">
                  <color theme="0"/>
                </left>
                <right style="thin">
                  <color theme="0"/>
                </right>
                <top style="thin">
                  <color theme="0"/>
                </top>
                <bottom style="thin">
                  <color theme="0"/>
                </bottom>
                <vertical/>
                <horizontal/>
              </border>
            </x14:dxf>
          </x14:cfRule>
          <xm:sqref>U197</xm:sqref>
        </x14:conditionalFormatting>
        <x14:conditionalFormatting xmlns:xm="http://schemas.microsoft.com/office/excel/2006/main">
          <x14:cfRule type="expression" priority="1337" id="{680C9B30-37B3-4797-A8FC-161D3F09DDD1}">
            <xm:f>$S$8='Assessment Details'!$Q$23</xm:f>
            <x14:dxf>
              <font>
                <color theme="0"/>
              </font>
              <fill>
                <patternFill>
                  <bgColor theme="0"/>
                </patternFill>
              </fill>
              <border>
                <vertical/>
                <horizontal/>
              </border>
            </x14:dxf>
          </x14:cfRule>
          <xm:sqref>N202:N203</xm:sqref>
        </x14:conditionalFormatting>
        <x14:conditionalFormatting xmlns:xm="http://schemas.microsoft.com/office/excel/2006/main">
          <x14:cfRule type="expression" priority="1336" id="{AE7630F1-E9A4-4A8E-8513-61D2B0D218BD}">
            <xm:f>$S$8='Assessment Details'!$Q$23</xm:f>
            <x14:dxf>
              <border>
                <left style="thin">
                  <color theme="0"/>
                </left>
                <right style="thin">
                  <color theme="0"/>
                </right>
                <top style="thin">
                  <color theme="0"/>
                </top>
                <bottom style="thin">
                  <color theme="0"/>
                </bottom>
                <vertical/>
                <horizontal/>
              </border>
            </x14:dxf>
          </x14:cfRule>
          <xm:sqref>N202:N203</xm:sqref>
        </x14:conditionalFormatting>
        <x14:conditionalFormatting xmlns:xm="http://schemas.microsoft.com/office/excel/2006/main">
          <x14:cfRule type="expression" priority="1335" id="{3957C064-5083-431A-AC50-6D6297886495}">
            <xm:f>$Z$8='Assessment Details'!$Q$23</xm:f>
            <x14:dxf>
              <font>
                <color theme="0"/>
              </font>
              <fill>
                <patternFill>
                  <bgColor theme="0"/>
                </patternFill>
              </fill>
            </x14:dxf>
          </x14:cfRule>
          <xm:sqref>X202:Y203</xm:sqref>
        </x14:conditionalFormatting>
        <x14:conditionalFormatting xmlns:xm="http://schemas.microsoft.com/office/excel/2006/main">
          <x14:cfRule type="expression" priority="1334" id="{FE2904CF-7A9A-4A28-8B4E-E103FAFFB6AE}">
            <xm:f>$Z$8='Assessment Details'!$Q$23</xm:f>
            <x14:dxf>
              <border>
                <left style="thin">
                  <color theme="0"/>
                </left>
                <right style="thin">
                  <color theme="0"/>
                </right>
                <top style="thin">
                  <color theme="0"/>
                </top>
                <bottom style="thin">
                  <color theme="0"/>
                </bottom>
                <vertical/>
                <horizontal/>
              </border>
            </x14:dxf>
          </x14:cfRule>
          <xm:sqref>X202:Y203</xm:sqref>
        </x14:conditionalFormatting>
        <x14:conditionalFormatting xmlns:xm="http://schemas.microsoft.com/office/excel/2006/main">
          <x14:cfRule type="expression" priority="1320" id="{99BF82AF-6DDE-4C97-9EDE-55F2D2148B47}">
            <xm:f>$Z$8='Assessment Details'!$Q$23</xm:f>
            <x14:dxf>
              <font>
                <color theme="0"/>
              </font>
              <fill>
                <patternFill>
                  <bgColor theme="0"/>
                </patternFill>
              </fill>
            </x14:dxf>
          </x14:cfRule>
          <xm:sqref>U202:U203</xm:sqref>
        </x14:conditionalFormatting>
        <x14:conditionalFormatting xmlns:xm="http://schemas.microsoft.com/office/excel/2006/main">
          <x14:cfRule type="expression" priority="1319" id="{786C99D9-805D-4EC4-AAA5-946042835C3F}">
            <xm:f>$Z$8='Assessment Details'!$Q$23</xm:f>
            <x14:dxf>
              <border>
                <left style="thin">
                  <color theme="0"/>
                </left>
                <right style="thin">
                  <color theme="0"/>
                </right>
                <top style="thin">
                  <color theme="0"/>
                </top>
                <bottom style="thin">
                  <color theme="0"/>
                </bottom>
                <vertical/>
                <horizontal/>
              </border>
            </x14:dxf>
          </x14:cfRule>
          <xm:sqref>U202:U203</xm:sqref>
        </x14:conditionalFormatting>
        <x14:conditionalFormatting xmlns:xm="http://schemas.microsoft.com/office/excel/2006/main">
          <x14:cfRule type="expression" priority="1308" id="{EA46645F-FDB6-46DD-AF04-1ACC11A62A19}">
            <xm:f>$S$8='Assessment Details'!$Q$23</xm:f>
            <x14:dxf>
              <font>
                <color theme="0"/>
              </font>
              <fill>
                <patternFill>
                  <bgColor theme="0"/>
                </patternFill>
              </fill>
              <border>
                <vertical/>
                <horizontal/>
              </border>
            </x14:dxf>
          </x14:cfRule>
          <xm:sqref>N205:N206</xm:sqref>
        </x14:conditionalFormatting>
        <x14:conditionalFormatting xmlns:xm="http://schemas.microsoft.com/office/excel/2006/main">
          <x14:cfRule type="expression" priority="1307" id="{D8E5C5B9-67F1-4EFA-AAF7-A49BD24BB822}">
            <xm:f>$S$8='Assessment Details'!$Q$23</xm:f>
            <x14:dxf>
              <border>
                <left style="thin">
                  <color theme="0"/>
                </left>
                <right style="thin">
                  <color theme="0"/>
                </right>
                <top style="thin">
                  <color theme="0"/>
                </top>
                <bottom style="thin">
                  <color theme="0"/>
                </bottom>
                <vertical/>
                <horizontal/>
              </border>
            </x14:dxf>
          </x14:cfRule>
          <xm:sqref>N205:N206</xm:sqref>
        </x14:conditionalFormatting>
        <x14:conditionalFormatting xmlns:xm="http://schemas.microsoft.com/office/excel/2006/main">
          <x14:cfRule type="expression" priority="1306" id="{07B8799B-6971-4378-B289-9A4994B8B5F7}">
            <xm:f>$Z$8='Assessment Details'!$Q$23</xm:f>
            <x14:dxf>
              <font>
                <color theme="0"/>
              </font>
              <fill>
                <patternFill>
                  <bgColor theme="0"/>
                </patternFill>
              </fill>
            </x14:dxf>
          </x14:cfRule>
          <xm:sqref>X205:Y206</xm:sqref>
        </x14:conditionalFormatting>
        <x14:conditionalFormatting xmlns:xm="http://schemas.microsoft.com/office/excel/2006/main">
          <x14:cfRule type="expression" priority="1305" id="{F6392F3B-C379-4DBE-BEC1-F94861634129}">
            <xm:f>$Z$8='Assessment Details'!$Q$23</xm:f>
            <x14:dxf>
              <border>
                <left style="thin">
                  <color theme="0"/>
                </left>
                <right style="thin">
                  <color theme="0"/>
                </right>
                <top style="thin">
                  <color theme="0"/>
                </top>
                <bottom style="thin">
                  <color theme="0"/>
                </bottom>
                <vertical/>
                <horizontal/>
              </border>
            </x14:dxf>
          </x14:cfRule>
          <xm:sqref>X205:Y206</xm:sqref>
        </x14:conditionalFormatting>
        <x14:conditionalFormatting xmlns:xm="http://schemas.microsoft.com/office/excel/2006/main">
          <x14:cfRule type="expression" priority="1291" id="{227D99A2-8A89-4449-B850-632A63640735}">
            <xm:f>$Z$8='Assessment Details'!$Q$23</xm:f>
            <x14:dxf>
              <font>
                <color theme="0"/>
              </font>
              <fill>
                <patternFill>
                  <bgColor theme="0"/>
                </patternFill>
              </fill>
            </x14:dxf>
          </x14:cfRule>
          <xm:sqref>U205:U206</xm:sqref>
        </x14:conditionalFormatting>
        <x14:conditionalFormatting xmlns:xm="http://schemas.microsoft.com/office/excel/2006/main">
          <x14:cfRule type="expression" priority="1290" id="{ED8048D2-72D6-46EC-B068-FC4231F93B04}">
            <xm:f>$Z$8='Assessment Details'!$Q$23</xm:f>
            <x14:dxf>
              <border>
                <left style="thin">
                  <color theme="0"/>
                </left>
                <right style="thin">
                  <color theme="0"/>
                </right>
                <top style="thin">
                  <color theme="0"/>
                </top>
                <bottom style="thin">
                  <color theme="0"/>
                </bottom>
                <vertical/>
                <horizontal/>
              </border>
            </x14:dxf>
          </x14:cfRule>
          <xm:sqref>U205:U206</xm:sqref>
        </x14:conditionalFormatting>
        <x14:conditionalFormatting xmlns:xm="http://schemas.microsoft.com/office/excel/2006/main">
          <x14:cfRule type="expression" priority="1279" id="{3B117DA8-9379-4B2E-8949-4302D2DFF4CA}">
            <xm:f>$S$8='Assessment Details'!$Q$23</xm:f>
            <x14:dxf>
              <font>
                <color theme="0"/>
              </font>
              <fill>
                <patternFill>
                  <bgColor theme="0"/>
                </patternFill>
              </fill>
              <border>
                <vertical/>
                <horizontal/>
              </border>
            </x14:dxf>
          </x14:cfRule>
          <xm:sqref>N208:N209</xm:sqref>
        </x14:conditionalFormatting>
        <x14:conditionalFormatting xmlns:xm="http://schemas.microsoft.com/office/excel/2006/main">
          <x14:cfRule type="expression" priority="1278" id="{59458F57-A529-4C23-A8EF-65BECC09D98B}">
            <xm:f>$S$8='Assessment Details'!$Q$23</xm:f>
            <x14:dxf>
              <border>
                <left style="thin">
                  <color theme="0"/>
                </left>
                <right style="thin">
                  <color theme="0"/>
                </right>
                <top style="thin">
                  <color theme="0"/>
                </top>
                <bottom style="thin">
                  <color theme="0"/>
                </bottom>
                <vertical/>
                <horizontal/>
              </border>
            </x14:dxf>
          </x14:cfRule>
          <xm:sqref>N208:N209</xm:sqref>
        </x14:conditionalFormatting>
        <x14:conditionalFormatting xmlns:xm="http://schemas.microsoft.com/office/excel/2006/main">
          <x14:cfRule type="expression" priority="1277" id="{14512774-9395-4789-B891-50B6BA153938}">
            <xm:f>$Z$8='Assessment Details'!$Q$23</xm:f>
            <x14:dxf>
              <font>
                <color theme="0"/>
              </font>
              <fill>
                <patternFill>
                  <bgColor theme="0"/>
                </patternFill>
              </fill>
            </x14:dxf>
          </x14:cfRule>
          <xm:sqref>X208:Y209</xm:sqref>
        </x14:conditionalFormatting>
        <x14:conditionalFormatting xmlns:xm="http://schemas.microsoft.com/office/excel/2006/main">
          <x14:cfRule type="expression" priority="1276" id="{50CB0CD0-203C-47B4-BFB4-C39E6228CBE2}">
            <xm:f>$Z$8='Assessment Details'!$Q$23</xm:f>
            <x14:dxf>
              <border>
                <left style="thin">
                  <color theme="0"/>
                </left>
                <right style="thin">
                  <color theme="0"/>
                </right>
                <top style="thin">
                  <color theme="0"/>
                </top>
                <bottom style="thin">
                  <color theme="0"/>
                </bottom>
                <vertical/>
                <horizontal/>
              </border>
            </x14:dxf>
          </x14:cfRule>
          <xm:sqref>X208:Y209</xm:sqref>
        </x14:conditionalFormatting>
        <x14:conditionalFormatting xmlns:xm="http://schemas.microsoft.com/office/excel/2006/main">
          <x14:cfRule type="expression" priority="1262" id="{6DDE72B5-2604-4E19-B4C4-BDDED8942872}">
            <xm:f>$Z$8='Assessment Details'!$Q$23</xm:f>
            <x14:dxf>
              <font>
                <color theme="0"/>
              </font>
              <fill>
                <patternFill>
                  <bgColor theme="0"/>
                </patternFill>
              </fill>
            </x14:dxf>
          </x14:cfRule>
          <xm:sqref>U208:U209</xm:sqref>
        </x14:conditionalFormatting>
        <x14:conditionalFormatting xmlns:xm="http://schemas.microsoft.com/office/excel/2006/main">
          <x14:cfRule type="expression" priority="1220" id="{13F0E4D5-5D84-457B-833F-A9C88335247C}">
            <xm:f>$S$8='Assessment Details'!$Q$23</xm:f>
            <x14:dxf>
              <font>
                <color theme="0"/>
              </font>
              <fill>
                <patternFill>
                  <bgColor theme="0"/>
                </patternFill>
              </fill>
              <border>
                <vertical/>
                <horizontal/>
              </border>
            </x14:dxf>
          </x14:cfRule>
          <xm:sqref>N226</xm:sqref>
        </x14:conditionalFormatting>
        <x14:conditionalFormatting xmlns:xm="http://schemas.microsoft.com/office/excel/2006/main">
          <x14:cfRule type="expression" priority="1219" id="{2015831A-B28A-425A-ABEB-1D83A788414C}">
            <xm:f>$S$8='Assessment Details'!$Q$23</xm:f>
            <x14:dxf>
              <border>
                <left style="thin">
                  <color theme="0"/>
                </left>
                <right style="thin">
                  <color theme="0"/>
                </right>
                <top style="thin">
                  <color theme="0"/>
                </top>
                <bottom style="thin">
                  <color theme="0"/>
                </bottom>
                <vertical/>
                <horizontal/>
              </border>
            </x14:dxf>
          </x14:cfRule>
          <xm:sqref>N226</xm:sqref>
        </x14:conditionalFormatting>
        <x14:conditionalFormatting xmlns:xm="http://schemas.microsoft.com/office/excel/2006/main">
          <x14:cfRule type="expression" priority="1218" id="{D1978515-543D-41B4-9725-0FF87B793AA6}">
            <xm:f>$Z$8='Assessment Details'!$Q$23</xm:f>
            <x14:dxf>
              <font>
                <color theme="0"/>
              </font>
              <fill>
                <patternFill>
                  <bgColor theme="0"/>
                </patternFill>
              </fill>
            </x14:dxf>
          </x14:cfRule>
          <xm:sqref>U226</xm:sqref>
        </x14:conditionalFormatting>
        <x14:conditionalFormatting xmlns:xm="http://schemas.microsoft.com/office/excel/2006/main">
          <x14:cfRule type="expression" priority="1217" id="{B1BDAA96-7415-4AA8-83B0-83554A871CE4}">
            <xm:f>$Z$8='Assessment Details'!$Q$23</xm:f>
            <x14:dxf>
              <border>
                <left style="thin">
                  <color theme="0"/>
                </left>
                <right style="thin">
                  <color theme="0"/>
                </right>
                <top style="thin">
                  <color theme="0"/>
                </top>
                <bottom style="thin">
                  <color theme="0"/>
                </bottom>
                <vertical/>
                <horizontal/>
              </border>
            </x14:dxf>
          </x14:cfRule>
          <xm:sqref>U226</xm:sqref>
        </x14:conditionalFormatting>
        <x14:conditionalFormatting xmlns:xm="http://schemas.microsoft.com/office/excel/2006/main">
          <x14:cfRule type="expression" priority="1190" id="{E9C8BC85-79C2-48ED-83F9-A828663B02BC}">
            <xm:f>$Z$8='Assessment Details'!$Q$23</xm:f>
            <x14:dxf>
              <font>
                <color theme="0"/>
              </font>
              <fill>
                <patternFill>
                  <bgColor theme="0"/>
                </patternFill>
              </fill>
            </x14:dxf>
          </x14:cfRule>
          <xm:sqref>X198:Y198</xm:sqref>
        </x14:conditionalFormatting>
        <x14:conditionalFormatting xmlns:xm="http://schemas.microsoft.com/office/excel/2006/main">
          <x14:cfRule type="expression" priority="1189" id="{05FF17F0-138A-4115-8735-7DF4487C773A}">
            <xm:f>$Z$8='Assessment Details'!$Q$23</xm:f>
            <x14:dxf>
              <border>
                <left style="thin">
                  <color theme="0"/>
                </left>
                <right style="thin">
                  <color theme="0"/>
                </right>
                <top style="thin">
                  <color theme="0"/>
                </top>
                <bottom style="thin">
                  <color theme="0"/>
                </bottom>
                <vertical/>
                <horizontal/>
              </border>
            </x14:dxf>
          </x14:cfRule>
          <xm:sqref>X198:Y198</xm:sqref>
        </x14:conditionalFormatting>
        <x14:conditionalFormatting xmlns:xm="http://schemas.microsoft.com/office/excel/2006/main">
          <x14:cfRule type="expression" priority="1168" id="{0BBD319E-E165-41D8-A776-0E75303B2C6A}">
            <xm:f>$S$8='Assessment Details'!$Q$23</xm:f>
            <x14:dxf>
              <font>
                <color theme="0"/>
              </font>
              <fill>
                <patternFill>
                  <bgColor theme="0"/>
                </patternFill>
              </fill>
              <border>
                <vertical/>
                <horizontal/>
              </border>
            </x14:dxf>
          </x14:cfRule>
          <xm:sqref>N200</xm:sqref>
        </x14:conditionalFormatting>
        <x14:conditionalFormatting xmlns:xm="http://schemas.microsoft.com/office/excel/2006/main">
          <x14:cfRule type="expression" priority="1167" id="{64A52EC4-7784-42FF-9840-B95E6C5032D4}">
            <xm:f>$S$8='Assessment Details'!$Q$23</xm:f>
            <x14:dxf>
              <border>
                <left style="thin">
                  <color theme="0"/>
                </left>
                <right style="thin">
                  <color theme="0"/>
                </right>
                <top style="thin">
                  <color theme="0"/>
                </top>
                <bottom style="thin">
                  <color theme="0"/>
                </bottom>
                <vertical/>
                <horizontal/>
              </border>
            </x14:dxf>
          </x14:cfRule>
          <xm:sqref>N200</xm:sqref>
        </x14:conditionalFormatting>
        <x14:conditionalFormatting xmlns:xm="http://schemas.microsoft.com/office/excel/2006/main">
          <x14:cfRule type="expression" priority="1166" id="{50EA2D5F-4925-4DE9-8175-24D7B0FAC38D}">
            <xm:f>$Z$8='Assessment Details'!$Q$23</xm:f>
            <x14:dxf>
              <font>
                <color theme="0"/>
              </font>
              <fill>
                <patternFill>
                  <bgColor theme="0"/>
                </patternFill>
              </fill>
            </x14:dxf>
          </x14:cfRule>
          <xm:sqref>X200:Y200</xm:sqref>
        </x14:conditionalFormatting>
        <x14:conditionalFormatting xmlns:xm="http://schemas.microsoft.com/office/excel/2006/main">
          <x14:cfRule type="expression" priority="1165" id="{CDBF1BBA-0622-4E20-A9ED-BB386E735DE0}">
            <xm:f>$Z$8='Assessment Details'!$Q$23</xm:f>
            <x14:dxf>
              <border>
                <left style="thin">
                  <color theme="0"/>
                </left>
                <right style="thin">
                  <color theme="0"/>
                </right>
                <top style="thin">
                  <color theme="0"/>
                </top>
                <bottom style="thin">
                  <color theme="0"/>
                </bottom>
                <vertical/>
                <horizontal/>
              </border>
            </x14:dxf>
          </x14:cfRule>
          <xm:sqref>X200:Y200</xm:sqref>
        </x14:conditionalFormatting>
        <x14:conditionalFormatting xmlns:xm="http://schemas.microsoft.com/office/excel/2006/main">
          <x14:cfRule type="expression" priority="1164" id="{BA600EB2-D894-4A32-9E7F-A23795F6FD85}">
            <xm:f>$Z$8='Assessment Details'!$Q$23</xm:f>
            <x14:dxf>
              <font>
                <color theme="0"/>
              </font>
              <fill>
                <patternFill>
                  <bgColor theme="0"/>
                </patternFill>
              </fill>
            </x14:dxf>
          </x14:cfRule>
          <xm:sqref>U200</xm:sqref>
        </x14:conditionalFormatting>
        <x14:conditionalFormatting xmlns:xm="http://schemas.microsoft.com/office/excel/2006/main">
          <x14:cfRule type="expression" priority="1163" id="{10BA7BE5-3E03-47AB-9674-4127F705184C}">
            <xm:f>$Z$8='Assessment Details'!$Q$23</xm:f>
            <x14:dxf>
              <border>
                <left style="thin">
                  <color theme="0"/>
                </left>
                <right style="thin">
                  <color theme="0"/>
                </right>
                <top style="thin">
                  <color theme="0"/>
                </top>
                <bottom style="thin">
                  <color theme="0"/>
                </bottom>
                <vertical/>
                <horizontal/>
              </border>
            </x14:dxf>
          </x14:cfRule>
          <xm:sqref>U200</xm:sqref>
        </x14:conditionalFormatting>
        <x14:conditionalFormatting xmlns:xm="http://schemas.microsoft.com/office/excel/2006/main">
          <x14:cfRule type="expression" priority="1151" id="{71D00486-2067-46DC-BDC1-5EE4D7A8ED6D}">
            <xm:f>$S$8='Assessment Details'!$Q$23</xm:f>
            <x14:dxf>
              <font>
                <color theme="0"/>
              </font>
              <fill>
                <patternFill>
                  <bgColor theme="0"/>
                </patternFill>
              </fill>
              <border>
                <vertical/>
                <horizontal/>
              </border>
            </x14:dxf>
          </x14:cfRule>
          <xm:sqref>Q63:R63</xm:sqref>
        </x14:conditionalFormatting>
        <x14:conditionalFormatting xmlns:xm="http://schemas.microsoft.com/office/excel/2006/main">
          <x14:cfRule type="expression" priority="1150" id="{28E4A3D0-1638-4345-A978-E56A4FF5AE84}">
            <xm:f>$S$8='Assessment Details'!$Q$23</xm:f>
            <x14:dxf>
              <border>
                <left style="thin">
                  <color theme="0"/>
                </left>
                <right style="thin">
                  <color theme="0"/>
                </right>
                <top style="thin">
                  <color theme="0"/>
                </top>
                <bottom style="thin">
                  <color theme="0"/>
                </bottom>
                <vertical/>
                <horizontal/>
              </border>
            </x14:dxf>
          </x14:cfRule>
          <xm:sqref>Q63:R63</xm:sqref>
        </x14:conditionalFormatting>
        <x14:conditionalFormatting xmlns:xm="http://schemas.microsoft.com/office/excel/2006/main">
          <x14:cfRule type="expression" priority="1149" id="{ABC178BE-55CD-4AD6-9B80-E1ADE74D0F65}">
            <xm:f>$Z$8='Assessment Details'!$Q$23</xm:f>
            <x14:dxf>
              <font>
                <color theme="0"/>
              </font>
              <fill>
                <patternFill>
                  <bgColor theme="0"/>
                </patternFill>
              </fill>
            </x14:dxf>
          </x14:cfRule>
          <xm:sqref>U63</xm:sqref>
        </x14:conditionalFormatting>
        <x14:conditionalFormatting xmlns:xm="http://schemas.microsoft.com/office/excel/2006/main">
          <x14:cfRule type="expression" priority="1148" id="{B34A33E1-F52C-4841-AEB3-E470F60604C5}">
            <xm:f>$Z$8='Assessment Details'!$Q$23</xm:f>
            <x14:dxf>
              <border>
                <left style="thin">
                  <color theme="0"/>
                </left>
                <right style="thin">
                  <color theme="0"/>
                </right>
                <top style="thin">
                  <color theme="0"/>
                </top>
                <bottom style="thin">
                  <color theme="0"/>
                </bottom>
                <vertical/>
                <horizontal/>
              </border>
            </x14:dxf>
          </x14:cfRule>
          <xm:sqref>U63</xm:sqref>
        </x14:conditionalFormatting>
        <x14:conditionalFormatting xmlns:xm="http://schemas.microsoft.com/office/excel/2006/main">
          <x14:cfRule type="expression" priority="1139" id="{2E906952-F76B-4002-AEF2-19C384210E97}">
            <xm:f>$S$8='Assessment Details'!$Q$23</xm:f>
            <x14:dxf>
              <font>
                <color theme="0"/>
              </font>
              <fill>
                <patternFill>
                  <bgColor theme="0"/>
                </patternFill>
              </fill>
              <border>
                <vertical/>
                <horizontal/>
              </border>
            </x14:dxf>
          </x14:cfRule>
          <xm:sqref>Q93:R93</xm:sqref>
        </x14:conditionalFormatting>
        <x14:conditionalFormatting xmlns:xm="http://schemas.microsoft.com/office/excel/2006/main">
          <x14:cfRule type="expression" priority="1138" id="{016CED2A-DEE6-4A52-BCCD-A88530D2F7A7}">
            <xm:f>$S$8='Assessment Details'!$Q$23</xm:f>
            <x14:dxf>
              <border>
                <left style="thin">
                  <color theme="0"/>
                </left>
                <right style="thin">
                  <color theme="0"/>
                </right>
                <top style="thin">
                  <color theme="0"/>
                </top>
                <bottom style="thin">
                  <color theme="0"/>
                </bottom>
                <vertical/>
                <horizontal/>
              </border>
            </x14:dxf>
          </x14:cfRule>
          <xm:sqref>Q93:R93</xm:sqref>
        </x14:conditionalFormatting>
        <x14:conditionalFormatting xmlns:xm="http://schemas.microsoft.com/office/excel/2006/main">
          <x14:cfRule type="expression" priority="1137" id="{AA2B09B7-D032-4EDC-9E2C-B2613AF925BA}">
            <xm:f>$Z$8='Assessment Details'!$Q$23</xm:f>
            <x14:dxf>
              <font>
                <color theme="0"/>
              </font>
              <fill>
                <patternFill>
                  <bgColor theme="0"/>
                </patternFill>
              </fill>
            </x14:dxf>
          </x14:cfRule>
          <xm:sqref>U93</xm:sqref>
        </x14:conditionalFormatting>
        <x14:conditionalFormatting xmlns:xm="http://schemas.microsoft.com/office/excel/2006/main">
          <x14:cfRule type="expression" priority="1136" id="{2E11EAEC-490D-47E0-AC73-6DF2825CAB7B}">
            <xm:f>$Z$8='Assessment Details'!$Q$23</xm:f>
            <x14:dxf>
              <border>
                <left style="thin">
                  <color theme="0"/>
                </left>
                <right style="thin">
                  <color theme="0"/>
                </right>
                <top style="thin">
                  <color theme="0"/>
                </top>
                <bottom style="thin">
                  <color theme="0"/>
                </bottom>
                <vertical/>
                <horizontal/>
              </border>
            </x14:dxf>
          </x14:cfRule>
          <xm:sqref>U93</xm:sqref>
        </x14:conditionalFormatting>
        <x14:conditionalFormatting xmlns:xm="http://schemas.microsoft.com/office/excel/2006/main">
          <x14:cfRule type="expression" priority="1127" id="{EA046676-BAF8-44C4-868F-A279D4782715}">
            <xm:f>$S$8='Assessment Details'!$Q$23</xm:f>
            <x14:dxf>
              <font>
                <color theme="0"/>
              </font>
              <fill>
                <patternFill>
                  <bgColor theme="0"/>
                </patternFill>
              </fill>
              <border>
                <vertical/>
                <horizontal/>
              </border>
            </x14:dxf>
          </x14:cfRule>
          <xm:sqref>Q102:R102</xm:sqref>
        </x14:conditionalFormatting>
        <x14:conditionalFormatting xmlns:xm="http://schemas.microsoft.com/office/excel/2006/main">
          <x14:cfRule type="expression" priority="1126" id="{78F98CD6-B22A-40B7-BA85-927D4EDA73A5}">
            <xm:f>$S$8='Assessment Details'!$Q$23</xm:f>
            <x14:dxf>
              <border>
                <left style="thin">
                  <color theme="0"/>
                </left>
                <right style="thin">
                  <color theme="0"/>
                </right>
                <top style="thin">
                  <color theme="0"/>
                </top>
                <bottom style="thin">
                  <color theme="0"/>
                </bottom>
                <vertical/>
                <horizontal/>
              </border>
            </x14:dxf>
          </x14:cfRule>
          <xm:sqref>Q102:R102</xm:sqref>
        </x14:conditionalFormatting>
        <x14:conditionalFormatting xmlns:xm="http://schemas.microsoft.com/office/excel/2006/main">
          <x14:cfRule type="expression" priority="1125" id="{D00CC6D4-5E6B-4F94-B0D6-BCA5015A55FC}">
            <xm:f>$Z$8='Assessment Details'!$Q$23</xm:f>
            <x14:dxf>
              <font>
                <color theme="0"/>
              </font>
              <fill>
                <patternFill>
                  <bgColor theme="0"/>
                </patternFill>
              </fill>
            </x14:dxf>
          </x14:cfRule>
          <xm:sqref>U102</xm:sqref>
        </x14:conditionalFormatting>
        <x14:conditionalFormatting xmlns:xm="http://schemas.microsoft.com/office/excel/2006/main">
          <x14:cfRule type="expression" priority="1124" id="{DA754FE4-0819-4A01-9771-C8FB065924D0}">
            <xm:f>$Z$8='Assessment Details'!$Q$23</xm:f>
            <x14:dxf>
              <border>
                <left style="thin">
                  <color theme="0"/>
                </left>
                <right style="thin">
                  <color theme="0"/>
                </right>
                <top style="thin">
                  <color theme="0"/>
                </top>
                <bottom style="thin">
                  <color theme="0"/>
                </bottom>
                <vertical/>
                <horizontal/>
              </border>
            </x14:dxf>
          </x14:cfRule>
          <xm:sqref>U102</xm:sqref>
        </x14:conditionalFormatting>
        <x14:conditionalFormatting xmlns:xm="http://schemas.microsoft.com/office/excel/2006/main">
          <x14:cfRule type="expression" priority="1115" id="{72E050F9-DC77-4BE7-B77A-34D110C0BE12}">
            <xm:f>$S$8='Assessment Details'!$Q$23</xm:f>
            <x14:dxf>
              <font>
                <color theme="0"/>
              </font>
              <fill>
                <patternFill>
                  <bgColor theme="0"/>
                </patternFill>
              </fill>
              <border>
                <vertical/>
                <horizontal/>
              </border>
            </x14:dxf>
          </x14:cfRule>
          <xm:sqref>Q116:R116</xm:sqref>
        </x14:conditionalFormatting>
        <x14:conditionalFormatting xmlns:xm="http://schemas.microsoft.com/office/excel/2006/main">
          <x14:cfRule type="expression" priority="1114" id="{48CF0650-BF7E-44AC-9F17-75C452C88A1E}">
            <xm:f>$S$8='Assessment Details'!$Q$23</xm:f>
            <x14:dxf>
              <border>
                <left style="thin">
                  <color theme="0"/>
                </left>
                <right style="thin">
                  <color theme="0"/>
                </right>
                <top style="thin">
                  <color theme="0"/>
                </top>
                <bottom style="thin">
                  <color theme="0"/>
                </bottom>
                <vertical/>
                <horizontal/>
              </border>
            </x14:dxf>
          </x14:cfRule>
          <xm:sqref>Q116:R116</xm:sqref>
        </x14:conditionalFormatting>
        <x14:conditionalFormatting xmlns:xm="http://schemas.microsoft.com/office/excel/2006/main">
          <x14:cfRule type="expression" priority="1113" id="{7D5772DD-D924-4429-89D0-A0B89E56E56E}">
            <xm:f>$Z$8='Assessment Details'!$Q$23</xm:f>
            <x14:dxf>
              <font>
                <color theme="0"/>
              </font>
              <fill>
                <patternFill>
                  <bgColor theme="0"/>
                </patternFill>
              </fill>
            </x14:dxf>
          </x14:cfRule>
          <xm:sqref>U116</xm:sqref>
        </x14:conditionalFormatting>
        <x14:conditionalFormatting xmlns:xm="http://schemas.microsoft.com/office/excel/2006/main">
          <x14:cfRule type="expression" priority="1112" id="{76622B2F-5B20-4947-A273-3BD00F9314A7}">
            <xm:f>$Z$8='Assessment Details'!$Q$23</xm:f>
            <x14:dxf>
              <border>
                <left style="thin">
                  <color theme="0"/>
                </left>
                <right style="thin">
                  <color theme="0"/>
                </right>
                <top style="thin">
                  <color theme="0"/>
                </top>
                <bottom style="thin">
                  <color theme="0"/>
                </bottom>
                <vertical/>
                <horizontal/>
              </border>
            </x14:dxf>
          </x14:cfRule>
          <xm:sqref>U116</xm:sqref>
        </x14:conditionalFormatting>
        <x14:conditionalFormatting xmlns:xm="http://schemas.microsoft.com/office/excel/2006/main">
          <x14:cfRule type="expression" priority="1103" id="{1FFE2CDF-5A3B-464B-B27F-AEE5C806C559}">
            <xm:f>$S$8='Assessment Details'!$Q$23</xm:f>
            <x14:dxf>
              <font>
                <color theme="0"/>
              </font>
              <fill>
                <patternFill>
                  <bgColor theme="0"/>
                </patternFill>
              </fill>
              <border>
                <vertical/>
                <horizontal/>
              </border>
            </x14:dxf>
          </x14:cfRule>
          <xm:sqref>Q146:R146</xm:sqref>
        </x14:conditionalFormatting>
        <x14:conditionalFormatting xmlns:xm="http://schemas.microsoft.com/office/excel/2006/main">
          <x14:cfRule type="expression" priority="1102" id="{8E3B65D4-BF8F-41BB-8BC1-47A89858900A}">
            <xm:f>$S$8='Assessment Details'!$Q$23</xm:f>
            <x14:dxf>
              <border>
                <left style="thin">
                  <color theme="0"/>
                </left>
                <right style="thin">
                  <color theme="0"/>
                </right>
                <top style="thin">
                  <color theme="0"/>
                </top>
                <bottom style="thin">
                  <color theme="0"/>
                </bottom>
                <vertical/>
                <horizontal/>
              </border>
            </x14:dxf>
          </x14:cfRule>
          <xm:sqref>Q146:R146</xm:sqref>
        </x14:conditionalFormatting>
        <x14:conditionalFormatting xmlns:xm="http://schemas.microsoft.com/office/excel/2006/main">
          <x14:cfRule type="expression" priority="1101" id="{4D02F44B-AD7E-441E-80DD-0A60777C100A}">
            <xm:f>$Z$8='Assessment Details'!$Q$23</xm:f>
            <x14:dxf>
              <font>
                <color theme="0"/>
              </font>
              <fill>
                <patternFill>
                  <bgColor theme="0"/>
                </patternFill>
              </fill>
            </x14:dxf>
          </x14:cfRule>
          <xm:sqref>U146</xm:sqref>
        </x14:conditionalFormatting>
        <x14:conditionalFormatting xmlns:xm="http://schemas.microsoft.com/office/excel/2006/main">
          <x14:cfRule type="expression" priority="1100" id="{C7F05634-C1C7-4679-A9F9-F9612083CF9F}">
            <xm:f>$Z$8='Assessment Details'!$Q$23</xm:f>
            <x14:dxf>
              <border>
                <left style="thin">
                  <color theme="0"/>
                </left>
                <right style="thin">
                  <color theme="0"/>
                </right>
                <top style="thin">
                  <color theme="0"/>
                </top>
                <bottom style="thin">
                  <color theme="0"/>
                </bottom>
                <vertical/>
                <horizontal/>
              </border>
            </x14:dxf>
          </x14:cfRule>
          <xm:sqref>U146</xm:sqref>
        </x14:conditionalFormatting>
        <x14:conditionalFormatting xmlns:xm="http://schemas.microsoft.com/office/excel/2006/main">
          <x14:cfRule type="expression" priority="1091" id="{0056FDA5-F740-4214-8184-D291462FB1E4}">
            <xm:f>$S$8='Assessment Details'!$Q$23</xm:f>
            <x14:dxf>
              <font>
                <color theme="0"/>
              </font>
              <fill>
                <patternFill>
                  <bgColor theme="0"/>
                </patternFill>
              </fill>
              <border>
                <vertical/>
                <horizontal/>
              </border>
            </x14:dxf>
          </x14:cfRule>
          <xm:sqref>Q161:R161</xm:sqref>
        </x14:conditionalFormatting>
        <x14:conditionalFormatting xmlns:xm="http://schemas.microsoft.com/office/excel/2006/main">
          <x14:cfRule type="expression" priority="1090" id="{1BCD2277-3EAB-4A22-93BB-E26D28CC0C3A}">
            <xm:f>$S$8='Assessment Details'!$Q$23</xm:f>
            <x14:dxf>
              <border>
                <left style="thin">
                  <color theme="0"/>
                </left>
                <right style="thin">
                  <color theme="0"/>
                </right>
                <top style="thin">
                  <color theme="0"/>
                </top>
                <bottom style="thin">
                  <color theme="0"/>
                </bottom>
                <vertical/>
                <horizontal/>
              </border>
            </x14:dxf>
          </x14:cfRule>
          <xm:sqref>Q161:R161</xm:sqref>
        </x14:conditionalFormatting>
        <x14:conditionalFormatting xmlns:xm="http://schemas.microsoft.com/office/excel/2006/main">
          <x14:cfRule type="expression" priority="1089" id="{BA1EBAC0-8656-4B2A-BDB0-FC726DB0747D}">
            <xm:f>$Z$8='Assessment Details'!$Q$23</xm:f>
            <x14:dxf>
              <font>
                <color theme="0"/>
              </font>
              <fill>
                <patternFill>
                  <bgColor theme="0"/>
                </patternFill>
              </fill>
            </x14:dxf>
          </x14:cfRule>
          <xm:sqref>U161</xm:sqref>
        </x14:conditionalFormatting>
        <x14:conditionalFormatting xmlns:xm="http://schemas.microsoft.com/office/excel/2006/main">
          <x14:cfRule type="expression" priority="1088" id="{D40BFFAE-632F-4041-81F0-92A93FE14725}">
            <xm:f>$Z$8='Assessment Details'!$Q$23</xm:f>
            <x14:dxf>
              <border>
                <left style="thin">
                  <color theme="0"/>
                </left>
                <right style="thin">
                  <color theme="0"/>
                </right>
                <top style="thin">
                  <color theme="0"/>
                </top>
                <bottom style="thin">
                  <color theme="0"/>
                </bottom>
                <vertical/>
                <horizontal/>
              </border>
            </x14:dxf>
          </x14:cfRule>
          <xm:sqref>U161</xm:sqref>
        </x14:conditionalFormatting>
        <x14:conditionalFormatting xmlns:xm="http://schemas.microsoft.com/office/excel/2006/main">
          <x14:cfRule type="expression" priority="1079" id="{01659BDE-7E5B-4728-97BD-B3D5A26A65DA}">
            <xm:f>$S$8='Assessment Details'!$Q$23</xm:f>
            <x14:dxf>
              <font>
                <color theme="0"/>
              </font>
              <fill>
                <patternFill>
                  <bgColor theme="0"/>
                </patternFill>
              </fill>
              <border>
                <vertical/>
                <horizontal/>
              </border>
            </x14:dxf>
          </x14:cfRule>
          <xm:sqref>Q193:R193</xm:sqref>
        </x14:conditionalFormatting>
        <x14:conditionalFormatting xmlns:xm="http://schemas.microsoft.com/office/excel/2006/main">
          <x14:cfRule type="expression" priority="1078" id="{B2F0B264-AE4A-4FC5-ACBB-80DB6BD7C930}">
            <xm:f>$S$8='Assessment Details'!$Q$23</xm:f>
            <x14:dxf>
              <border>
                <left style="thin">
                  <color theme="0"/>
                </left>
                <right style="thin">
                  <color theme="0"/>
                </right>
                <top style="thin">
                  <color theme="0"/>
                </top>
                <bottom style="thin">
                  <color theme="0"/>
                </bottom>
                <vertical/>
                <horizontal/>
              </border>
            </x14:dxf>
          </x14:cfRule>
          <xm:sqref>Q193:R193</xm:sqref>
        </x14:conditionalFormatting>
        <x14:conditionalFormatting xmlns:xm="http://schemas.microsoft.com/office/excel/2006/main">
          <x14:cfRule type="expression" priority="1077" id="{A8CFDC61-3803-40AA-88E2-289AA29EC575}">
            <xm:f>$Z$8='Assessment Details'!$Q$23</xm:f>
            <x14:dxf>
              <font>
                <color theme="0"/>
              </font>
              <fill>
                <patternFill>
                  <bgColor theme="0"/>
                </patternFill>
              </fill>
            </x14:dxf>
          </x14:cfRule>
          <xm:sqref>U193</xm:sqref>
        </x14:conditionalFormatting>
        <x14:conditionalFormatting xmlns:xm="http://schemas.microsoft.com/office/excel/2006/main">
          <x14:cfRule type="expression" priority="1076" id="{A1ECE2F7-5534-47E3-AA5F-59EA4217462D}">
            <xm:f>$Z$8='Assessment Details'!$Q$23</xm:f>
            <x14:dxf>
              <border>
                <left style="thin">
                  <color theme="0"/>
                </left>
                <right style="thin">
                  <color theme="0"/>
                </right>
                <top style="thin">
                  <color theme="0"/>
                </top>
                <bottom style="thin">
                  <color theme="0"/>
                </bottom>
                <vertical/>
                <horizontal/>
              </border>
            </x14:dxf>
          </x14:cfRule>
          <xm:sqref>U193</xm:sqref>
        </x14:conditionalFormatting>
        <x14:conditionalFormatting xmlns:xm="http://schemas.microsoft.com/office/excel/2006/main">
          <x14:cfRule type="expression" priority="1067" id="{89C49241-A961-4AFA-940F-7360A325BAED}">
            <xm:f>$S$8='Assessment Details'!$Q$23</xm:f>
            <x14:dxf>
              <font>
                <color theme="0"/>
              </font>
              <fill>
                <patternFill>
                  <bgColor theme="0"/>
                </patternFill>
              </fill>
              <border>
                <vertical/>
                <horizontal/>
              </border>
            </x14:dxf>
          </x14:cfRule>
          <xm:sqref>Q210:R210</xm:sqref>
        </x14:conditionalFormatting>
        <x14:conditionalFormatting xmlns:xm="http://schemas.microsoft.com/office/excel/2006/main">
          <x14:cfRule type="expression" priority="1066" id="{BF658C0A-7B19-406B-A0E6-C17085941988}">
            <xm:f>$S$8='Assessment Details'!$Q$23</xm:f>
            <x14:dxf>
              <border>
                <left style="thin">
                  <color theme="0"/>
                </left>
                <right style="thin">
                  <color theme="0"/>
                </right>
                <top style="thin">
                  <color theme="0"/>
                </top>
                <bottom style="thin">
                  <color theme="0"/>
                </bottom>
                <vertical/>
                <horizontal/>
              </border>
            </x14:dxf>
          </x14:cfRule>
          <xm:sqref>Q210:R210</xm:sqref>
        </x14:conditionalFormatting>
        <x14:conditionalFormatting xmlns:xm="http://schemas.microsoft.com/office/excel/2006/main">
          <x14:cfRule type="expression" priority="1065" id="{43E8197F-C15F-4E6A-9D11-219C57008C5C}">
            <xm:f>$Z$8='Assessment Details'!$Q$23</xm:f>
            <x14:dxf>
              <font>
                <color theme="0"/>
              </font>
              <fill>
                <patternFill>
                  <bgColor theme="0"/>
                </patternFill>
              </fill>
            </x14:dxf>
          </x14:cfRule>
          <xm:sqref>U210</xm:sqref>
        </x14:conditionalFormatting>
        <x14:conditionalFormatting xmlns:xm="http://schemas.microsoft.com/office/excel/2006/main">
          <x14:cfRule type="expression" priority="1064" id="{F45E98F7-5F58-46EB-8121-5241DBEB9E82}">
            <xm:f>$Z$8='Assessment Details'!$Q$23</xm:f>
            <x14:dxf>
              <border>
                <left style="thin">
                  <color theme="0"/>
                </left>
                <right style="thin">
                  <color theme="0"/>
                </right>
                <top style="thin">
                  <color theme="0"/>
                </top>
                <bottom style="thin">
                  <color theme="0"/>
                </bottom>
                <vertical/>
                <horizontal/>
              </border>
            </x14:dxf>
          </x14:cfRule>
          <xm:sqref>U210</xm:sqref>
        </x14:conditionalFormatting>
        <x14:conditionalFormatting xmlns:xm="http://schemas.microsoft.com/office/excel/2006/main">
          <x14:cfRule type="expression" priority="1053" id="{3B264B50-F180-4FE0-8A6C-12ECE604D2C9}">
            <xm:f>$Z$8='Assessment Details'!$Q$23</xm:f>
            <x14:dxf>
              <font>
                <color theme="0"/>
              </font>
              <fill>
                <patternFill>
                  <bgColor theme="0"/>
                </patternFill>
              </fill>
            </x14:dxf>
          </x14:cfRule>
          <xm:sqref>U227</xm:sqref>
        </x14:conditionalFormatting>
        <x14:conditionalFormatting xmlns:xm="http://schemas.microsoft.com/office/excel/2006/main">
          <x14:cfRule type="expression" priority="1052" id="{6A2E87DA-EB79-40E0-873E-702FD57712F9}">
            <xm:f>$Z$8='Assessment Details'!$Q$23</xm:f>
            <x14:dxf>
              <border>
                <left style="thin">
                  <color theme="0"/>
                </left>
                <right style="thin">
                  <color theme="0"/>
                </right>
                <top style="thin">
                  <color theme="0"/>
                </top>
                <bottom style="thin">
                  <color theme="0"/>
                </bottom>
                <vertical/>
                <horizontal/>
              </border>
            </x14:dxf>
          </x14:cfRule>
          <xm:sqref>U227</xm:sqref>
        </x14:conditionalFormatting>
        <x14:conditionalFormatting xmlns:xm="http://schemas.microsoft.com/office/excel/2006/main">
          <x14:cfRule type="expression" priority="1047" id="{307AA2B4-9460-4D64-B64E-D9E082FDD21D}">
            <xm:f>$S$8='Assessment Details'!$Q$23</xm:f>
            <x14:dxf>
              <font>
                <color theme="0"/>
              </font>
              <fill>
                <patternFill>
                  <bgColor theme="0"/>
                </patternFill>
              </fill>
              <border>
                <vertical/>
                <horizontal/>
              </border>
            </x14:dxf>
          </x14:cfRule>
          <xm:sqref>N56</xm:sqref>
        </x14:conditionalFormatting>
        <x14:conditionalFormatting xmlns:xm="http://schemas.microsoft.com/office/excel/2006/main">
          <x14:cfRule type="expression" priority="1046" id="{E054E369-8675-45A9-9063-6772B90EC6F0}">
            <xm:f>$S$8='Assessment Details'!$Q$23</xm:f>
            <x14:dxf>
              <border>
                <left style="thin">
                  <color theme="0"/>
                </left>
                <right style="thin">
                  <color theme="0"/>
                </right>
                <top style="thin">
                  <color theme="0"/>
                </top>
                <bottom style="thin">
                  <color theme="0"/>
                </bottom>
                <vertical/>
                <horizontal/>
              </border>
            </x14:dxf>
          </x14:cfRule>
          <xm:sqref>N56</xm:sqref>
        </x14:conditionalFormatting>
        <x14:conditionalFormatting xmlns:xm="http://schemas.microsoft.com/office/excel/2006/main">
          <x14:cfRule type="expression" priority="1043" id="{A1C72D73-A9A2-4173-B170-EA428AE8FCE0}">
            <xm:f>$S$8='Assessment Details'!$Q$23</xm:f>
            <x14:dxf>
              <font>
                <color theme="0"/>
              </font>
              <fill>
                <patternFill>
                  <bgColor theme="0"/>
                </patternFill>
              </fill>
              <border>
                <vertical/>
                <horizontal/>
              </border>
            </x14:dxf>
          </x14:cfRule>
          <xm:sqref>N120</xm:sqref>
        </x14:conditionalFormatting>
        <x14:conditionalFormatting xmlns:xm="http://schemas.microsoft.com/office/excel/2006/main">
          <x14:cfRule type="expression" priority="1042" id="{C332B9BF-6CBB-4400-A162-14E1CE03FA30}">
            <xm:f>$S$8='Assessment Details'!$Q$23</xm:f>
            <x14:dxf>
              <border>
                <left style="thin">
                  <color theme="0"/>
                </left>
                <right style="thin">
                  <color theme="0"/>
                </right>
                <top style="thin">
                  <color theme="0"/>
                </top>
                <bottom style="thin">
                  <color theme="0"/>
                </bottom>
                <vertical/>
                <horizontal/>
              </border>
            </x14:dxf>
          </x14:cfRule>
          <xm:sqref>N120</xm:sqref>
        </x14:conditionalFormatting>
        <x14:conditionalFormatting xmlns:xm="http://schemas.microsoft.com/office/excel/2006/main">
          <x14:cfRule type="expression" priority="1039" id="{0CA13EFB-5FAE-443D-AAEA-19BF3CBA73DF}">
            <xm:f>$S$8='Assessment Details'!$Q$23</xm:f>
            <x14:dxf>
              <font>
                <color theme="0"/>
              </font>
              <fill>
                <patternFill>
                  <bgColor theme="0"/>
                </patternFill>
              </fill>
              <border>
                <vertical/>
                <horizontal/>
              </border>
            </x14:dxf>
          </x14:cfRule>
          <xm:sqref>N124</xm:sqref>
        </x14:conditionalFormatting>
        <x14:conditionalFormatting xmlns:xm="http://schemas.microsoft.com/office/excel/2006/main">
          <x14:cfRule type="expression" priority="1038" id="{0F71D829-C403-4643-9F3F-9308293F6A30}">
            <xm:f>$S$8='Assessment Details'!$Q$23</xm:f>
            <x14:dxf>
              <border>
                <left style="thin">
                  <color theme="0"/>
                </left>
                <right style="thin">
                  <color theme="0"/>
                </right>
                <top style="thin">
                  <color theme="0"/>
                </top>
                <bottom style="thin">
                  <color theme="0"/>
                </bottom>
                <vertical/>
                <horizontal/>
              </border>
            </x14:dxf>
          </x14:cfRule>
          <xm:sqref>N124</xm:sqref>
        </x14:conditionalFormatting>
        <x14:conditionalFormatting xmlns:xm="http://schemas.microsoft.com/office/excel/2006/main">
          <x14:cfRule type="expression" priority="1035" id="{9AB21409-CDEA-4079-BDC1-9A141F03A66C}">
            <xm:f>$S$8='Assessment Details'!$Q$23</xm:f>
            <x14:dxf>
              <font>
                <color theme="0"/>
              </font>
              <fill>
                <patternFill>
                  <bgColor theme="0"/>
                </patternFill>
              </fill>
              <border>
                <vertical/>
                <horizontal/>
              </border>
            </x14:dxf>
          </x14:cfRule>
          <xm:sqref>N128</xm:sqref>
        </x14:conditionalFormatting>
        <x14:conditionalFormatting xmlns:xm="http://schemas.microsoft.com/office/excel/2006/main">
          <x14:cfRule type="expression" priority="1034" id="{F5414219-E047-4E00-B627-ED7355889037}">
            <xm:f>$S$8='Assessment Details'!$Q$23</xm:f>
            <x14:dxf>
              <border>
                <left style="thin">
                  <color theme="0"/>
                </left>
                <right style="thin">
                  <color theme="0"/>
                </right>
                <top style="thin">
                  <color theme="0"/>
                </top>
                <bottom style="thin">
                  <color theme="0"/>
                </bottom>
                <vertical/>
                <horizontal/>
              </border>
            </x14:dxf>
          </x14:cfRule>
          <xm:sqref>N128</xm:sqref>
        </x14:conditionalFormatting>
        <x14:conditionalFormatting xmlns:xm="http://schemas.microsoft.com/office/excel/2006/main">
          <x14:cfRule type="expression" priority="1031" id="{7C843AA6-8F10-48A2-A7B5-BAA3503304A0}">
            <xm:f>$S$8='Assessment Details'!$Q$23</xm:f>
            <x14:dxf>
              <font>
                <color theme="0"/>
              </font>
              <fill>
                <patternFill>
                  <bgColor theme="0"/>
                </patternFill>
              </fill>
              <border>
                <vertical/>
                <horizontal/>
              </border>
            </x14:dxf>
          </x14:cfRule>
          <xm:sqref>N132</xm:sqref>
        </x14:conditionalFormatting>
        <x14:conditionalFormatting xmlns:xm="http://schemas.microsoft.com/office/excel/2006/main">
          <x14:cfRule type="expression" priority="1030" id="{1B33CFF4-4F1B-4FD8-9433-725623964A4E}">
            <xm:f>$S$8='Assessment Details'!$Q$23</xm:f>
            <x14:dxf>
              <border>
                <left style="thin">
                  <color theme="0"/>
                </left>
                <right style="thin">
                  <color theme="0"/>
                </right>
                <top style="thin">
                  <color theme="0"/>
                </top>
                <bottom style="thin">
                  <color theme="0"/>
                </bottom>
                <vertical/>
                <horizontal/>
              </border>
            </x14:dxf>
          </x14:cfRule>
          <xm:sqref>N132</xm:sqref>
        </x14:conditionalFormatting>
        <x14:conditionalFormatting xmlns:xm="http://schemas.microsoft.com/office/excel/2006/main">
          <x14:cfRule type="expression" priority="1027" id="{B4BB3E1A-7AFC-461C-AA75-FD582653BF7C}">
            <xm:f>$S$8='Assessment Details'!$Q$23</xm:f>
            <x14:dxf>
              <font>
                <color theme="0"/>
              </font>
              <fill>
                <patternFill>
                  <bgColor theme="0"/>
                </patternFill>
              </fill>
              <border>
                <vertical/>
                <horizontal/>
              </border>
            </x14:dxf>
          </x14:cfRule>
          <xm:sqref>N168</xm:sqref>
        </x14:conditionalFormatting>
        <x14:conditionalFormatting xmlns:xm="http://schemas.microsoft.com/office/excel/2006/main">
          <x14:cfRule type="expression" priority="1026" id="{0C1307FD-EF1C-4875-A07B-1E2C833AB17E}">
            <xm:f>$S$8='Assessment Details'!$Q$23</xm:f>
            <x14:dxf>
              <border>
                <left style="thin">
                  <color theme="0"/>
                </left>
                <right style="thin">
                  <color theme="0"/>
                </right>
                <top style="thin">
                  <color theme="0"/>
                </top>
                <bottom style="thin">
                  <color theme="0"/>
                </bottom>
                <vertical/>
                <horizontal/>
              </border>
            </x14:dxf>
          </x14:cfRule>
          <xm:sqref>N168</xm:sqref>
        </x14:conditionalFormatting>
        <x14:conditionalFormatting xmlns:xm="http://schemas.microsoft.com/office/excel/2006/main">
          <x14:cfRule type="expression" priority="1019" id="{E15BC88D-C946-4E1A-BD75-8CEC8E32FC7D}">
            <xm:f>$S$8='Assessment Details'!$Q$23</xm:f>
            <x14:dxf>
              <font>
                <color theme="0"/>
              </font>
              <fill>
                <patternFill>
                  <bgColor theme="0"/>
                </patternFill>
              </fill>
              <border>
                <vertical/>
                <horizontal/>
              </border>
            </x14:dxf>
          </x14:cfRule>
          <xm:sqref>N176</xm:sqref>
        </x14:conditionalFormatting>
        <x14:conditionalFormatting xmlns:xm="http://schemas.microsoft.com/office/excel/2006/main">
          <x14:cfRule type="expression" priority="1018" id="{D6BB9F8E-0A57-42E3-B5E1-7644F2DFCD46}">
            <xm:f>$S$8='Assessment Details'!$Q$23</xm:f>
            <x14:dxf>
              <border>
                <left style="thin">
                  <color theme="0"/>
                </left>
                <right style="thin">
                  <color theme="0"/>
                </right>
                <top style="thin">
                  <color theme="0"/>
                </top>
                <bottom style="thin">
                  <color theme="0"/>
                </bottom>
                <vertical/>
                <horizontal/>
              </border>
            </x14:dxf>
          </x14:cfRule>
          <xm:sqref>N176</xm:sqref>
        </x14:conditionalFormatting>
        <x14:conditionalFormatting xmlns:xm="http://schemas.microsoft.com/office/excel/2006/main">
          <x14:cfRule type="expression" priority="1015" id="{810D66C2-8584-47FB-BFB3-19127E2BA28A}">
            <xm:f>$S$8='Assessment Details'!$Q$23</xm:f>
            <x14:dxf>
              <font>
                <color theme="0"/>
              </font>
              <fill>
                <patternFill>
                  <bgColor theme="0"/>
                </patternFill>
              </fill>
              <border>
                <vertical/>
                <horizontal/>
              </border>
            </x14:dxf>
          </x14:cfRule>
          <xm:sqref>N180</xm:sqref>
        </x14:conditionalFormatting>
        <x14:conditionalFormatting xmlns:xm="http://schemas.microsoft.com/office/excel/2006/main">
          <x14:cfRule type="expression" priority="1014" id="{B52E7EFA-7B11-4DBB-A261-0F30E0B8B818}">
            <xm:f>$S$8='Assessment Details'!$Q$23</xm:f>
            <x14:dxf>
              <border>
                <left style="thin">
                  <color theme="0"/>
                </left>
                <right style="thin">
                  <color theme="0"/>
                </right>
                <top style="thin">
                  <color theme="0"/>
                </top>
                <bottom style="thin">
                  <color theme="0"/>
                </bottom>
                <vertical/>
                <horizontal/>
              </border>
            </x14:dxf>
          </x14:cfRule>
          <xm:sqref>N180</xm:sqref>
        </x14:conditionalFormatting>
        <x14:conditionalFormatting xmlns:xm="http://schemas.microsoft.com/office/excel/2006/main">
          <x14:cfRule type="expression" priority="1011" id="{FCD7DC89-57F5-486F-A2F7-AF9377A04FA9}">
            <xm:f>$S$8='Assessment Details'!$Q$23</xm:f>
            <x14:dxf>
              <font>
                <color theme="0"/>
              </font>
              <fill>
                <patternFill>
                  <bgColor theme="0"/>
                </patternFill>
              </fill>
              <border>
                <vertical/>
                <horizontal/>
              </border>
            </x14:dxf>
          </x14:cfRule>
          <xm:sqref>N186</xm:sqref>
        </x14:conditionalFormatting>
        <x14:conditionalFormatting xmlns:xm="http://schemas.microsoft.com/office/excel/2006/main">
          <x14:cfRule type="expression" priority="1010" id="{AB28594F-A99A-4757-BFE1-E7147E2E7D60}">
            <xm:f>$S$8='Assessment Details'!$Q$23</xm:f>
            <x14:dxf>
              <border>
                <left style="thin">
                  <color theme="0"/>
                </left>
                <right style="thin">
                  <color theme="0"/>
                </right>
                <top style="thin">
                  <color theme="0"/>
                </top>
                <bottom style="thin">
                  <color theme="0"/>
                </bottom>
                <vertical/>
                <horizontal/>
              </border>
            </x14:dxf>
          </x14:cfRule>
          <xm:sqref>N186</xm:sqref>
        </x14:conditionalFormatting>
        <x14:conditionalFormatting xmlns:xm="http://schemas.microsoft.com/office/excel/2006/main">
          <x14:cfRule type="expression" priority="1007" id="{9F3666A8-497C-45D2-A62F-5030F38C5965}">
            <xm:f>$S$8='Assessment Details'!$Q$23</xm:f>
            <x14:dxf>
              <font>
                <color theme="0"/>
              </font>
              <fill>
                <patternFill>
                  <bgColor theme="0"/>
                </patternFill>
              </fill>
              <border>
                <vertical/>
                <horizontal/>
              </border>
            </x14:dxf>
          </x14:cfRule>
          <xm:sqref>N189</xm:sqref>
        </x14:conditionalFormatting>
        <x14:conditionalFormatting xmlns:xm="http://schemas.microsoft.com/office/excel/2006/main">
          <x14:cfRule type="expression" priority="1006" id="{1F45E4FB-CB65-4365-B584-4E2C78889E6D}">
            <xm:f>$S$8='Assessment Details'!$Q$23</xm:f>
            <x14:dxf>
              <border>
                <left style="thin">
                  <color theme="0"/>
                </left>
                <right style="thin">
                  <color theme="0"/>
                </right>
                <top style="thin">
                  <color theme="0"/>
                </top>
                <bottom style="thin">
                  <color theme="0"/>
                </bottom>
                <vertical/>
                <horizontal/>
              </border>
            </x14:dxf>
          </x14:cfRule>
          <xm:sqref>N189</xm:sqref>
        </x14:conditionalFormatting>
        <x14:conditionalFormatting xmlns:xm="http://schemas.microsoft.com/office/excel/2006/main">
          <x14:cfRule type="expression" priority="1003" id="{19AB23A2-C4DB-4818-8BF7-717483615861}">
            <xm:f>$Z$8='Assessment Details'!$Q$23</xm:f>
            <x14:dxf>
              <font>
                <color theme="0"/>
              </font>
              <fill>
                <patternFill>
                  <bgColor theme="0"/>
                </patternFill>
              </fill>
            </x14:dxf>
          </x14:cfRule>
          <xm:sqref>U56</xm:sqref>
        </x14:conditionalFormatting>
        <x14:conditionalFormatting xmlns:xm="http://schemas.microsoft.com/office/excel/2006/main">
          <x14:cfRule type="expression" priority="1002" id="{3E522E31-31A2-4846-86B9-8C7E51FDE895}">
            <xm:f>$Z$8='Assessment Details'!$Q$23</xm:f>
            <x14:dxf>
              <border>
                <left style="thin">
                  <color theme="0"/>
                </left>
                <right style="thin">
                  <color theme="0"/>
                </right>
                <top style="thin">
                  <color theme="0"/>
                </top>
                <bottom style="thin">
                  <color theme="0"/>
                </bottom>
                <vertical/>
                <horizontal/>
              </border>
            </x14:dxf>
          </x14:cfRule>
          <xm:sqref>U56</xm:sqref>
        </x14:conditionalFormatting>
        <x14:conditionalFormatting xmlns:xm="http://schemas.microsoft.com/office/excel/2006/main">
          <x14:cfRule type="expression" priority="999" id="{E4F5CCB3-7DF2-44C2-997E-04B23439CC35}">
            <xm:f>$Z$8='Assessment Details'!$Q$23</xm:f>
            <x14:dxf>
              <font>
                <color theme="0"/>
              </font>
              <fill>
                <patternFill>
                  <bgColor theme="0"/>
                </patternFill>
              </fill>
            </x14:dxf>
          </x14:cfRule>
          <xm:sqref>U120</xm:sqref>
        </x14:conditionalFormatting>
        <x14:conditionalFormatting xmlns:xm="http://schemas.microsoft.com/office/excel/2006/main">
          <x14:cfRule type="expression" priority="998" id="{8997DEA7-1621-4987-8607-29D63DAFA6D9}">
            <xm:f>$Z$8='Assessment Details'!$Q$23</xm:f>
            <x14:dxf>
              <border>
                <left style="thin">
                  <color theme="0"/>
                </left>
                <right style="thin">
                  <color theme="0"/>
                </right>
                <top style="thin">
                  <color theme="0"/>
                </top>
                <bottom style="thin">
                  <color theme="0"/>
                </bottom>
                <vertical/>
                <horizontal/>
              </border>
            </x14:dxf>
          </x14:cfRule>
          <xm:sqref>U120</xm:sqref>
        </x14:conditionalFormatting>
        <x14:conditionalFormatting xmlns:xm="http://schemas.microsoft.com/office/excel/2006/main">
          <x14:cfRule type="expression" priority="995" id="{845251D0-00A1-4820-B1E0-5B0CE3E55951}">
            <xm:f>$Z$8='Assessment Details'!$Q$23</xm:f>
            <x14:dxf>
              <font>
                <color theme="0"/>
              </font>
              <fill>
                <patternFill>
                  <bgColor theme="0"/>
                </patternFill>
              </fill>
            </x14:dxf>
          </x14:cfRule>
          <xm:sqref>U124</xm:sqref>
        </x14:conditionalFormatting>
        <x14:conditionalFormatting xmlns:xm="http://schemas.microsoft.com/office/excel/2006/main">
          <x14:cfRule type="expression" priority="994" id="{B98DEB26-927B-4877-99F1-2CE26AB46A9B}">
            <xm:f>$Z$8='Assessment Details'!$Q$23</xm:f>
            <x14:dxf>
              <border>
                <left style="thin">
                  <color theme="0"/>
                </left>
                <right style="thin">
                  <color theme="0"/>
                </right>
                <top style="thin">
                  <color theme="0"/>
                </top>
                <bottom style="thin">
                  <color theme="0"/>
                </bottom>
                <vertical/>
                <horizontal/>
              </border>
            </x14:dxf>
          </x14:cfRule>
          <xm:sqref>U124</xm:sqref>
        </x14:conditionalFormatting>
        <x14:conditionalFormatting xmlns:xm="http://schemas.microsoft.com/office/excel/2006/main">
          <x14:cfRule type="expression" priority="991" id="{E89EA77A-3AB6-472C-B478-0F7F36629A8D}">
            <xm:f>$Z$8='Assessment Details'!$Q$23</xm:f>
            <x14:dxf>
              <font>
                <color theme="0"/>
              </font>
              <fill>
                <patternFill>
                  <bgColor theme="0"/>
                </patternFill>
              </fill>
            </x14:dxf>
          </x14:cfRule>
          <xm:sqref>U128</xm:sqref>
        </x14:conditionalFormatting>
        <x14:conditionalFormatting xmlns:xm="http://schemas.microsoft.com/office/excel/2006/main">
          <x14:cfRule type="expression" priority="990" id="{E7D0564C-754D-4F6B-B819-B61EA376CEC6}">
            <xm:f>$Z$8='Assessment Details'!$Q$23</xm:f>
            <x14:dxf>
              <border>
                <left style="thin">
                  <color theme="0"/>
                </left>
                <right style="thin">
                  <color theme="0"/>
                </right>
                <top style="thin">
                  <color theme="0"/>
                </top>
                <bottom style="thin">
                  <color theme="0"/>
                </bottom>
                <vertical/>
                <horizontal/>
              </border>
            </x14:dxf>
          </x14:cfRule>
          <xm:sqref>U128</xm:sqref>
        </x14:conditionalFormatting>
        <x14:conditionalFormatting xmlns:xm="http://schemas.microsoft.com/office/excel/2006/main">
          <x14:cfRule type="expression" priority="987" id="{BA63B402-31D2-466A-8162-759370F1C7A3}">
            <xm:f>$Z$8='Assessment Details'!$Q$23</xm:f>
            <x14:dxf>
              <font>
                <color theme="0"/>
              </font>
              <fill>
                <patternFill>
                  <bgColor theme="0"/>
                </patternFill>
              </fill>
            </x14:dxf>
          </x14:cfRule>
          <xm:sqref>U132</xm:sqref>
        </x14:conditionalFormatting>
        <x14:conditionalFormatting xmlns:xm="http://schemas.microsoft.com/office/excel/2006/main">
          <x14:cfRule type="expression" priority="986" id="{A2D58C98-B1D2-44EB-9399-01C5952BC14C}">
            <xm:f>$Z$8='Assessment Details'!$Q$23</xm:f>
            <x14:dxf>
              <border>
                <left style="thin">
                  <color theme="0"/>
                </left>
                <right style="thin">
                  <color theme="0"/>
                </right>
                <top style="thin">
                  <color theme="0"/>
                </top>
                <bottom style="thin">
                  <color theme="0"/>
                </bottom>
                <vertical/>
                <horizontal/>
              </border>
            </x14:dxf>
          </x14:cfRule>
          <xm:sqref>U132</xm:sqref>
        </x14:conditionalFormatting>
        <x14:conditionalFormatting xmlns:xm="http://schemas.microsoft.com/office/excel/2006/main">
          <x14:cfRule type="expression" priority="983" id="{CF7298BA-77B9-485A-9BE2-478440936C0B}">
            <xm:f>$Z$8='Assessment Details'!$Q$23</xm:f>
            <x14:dxf>
              <font>
                <color theme="0"/>
              </font>
              <fill>
                <patternFill>
                  <bgColor theme="0"/>
                </patternFill>
              </fill>
            </x14:dxf>
          </x14:cfRule>
          <xm:sqref>U168</xm:sqref>
        </x14:conditionalFormatting>
        <x14:conditionalFormatting xmlns:xm="http://schemas.microsoft.com/office/excel/2006/main">
          <x14:cfRule type="expression" priority="982" id="{D7CF9EF4-7D95-437D-807D-E4BEDB3B5C36}">
            <xm:f>$Z$8='Assessment Details'!$Q$23</xm:f>
            <x14:dxf>
              <border>
                <left style="thin">
                  <color theme="0"/>
                </left>
                <right style="thin">
                  <color theme="0"/>
                </right>
                <top style="thin">
                  <color theme="0"/>
                </top>
                <bottom style="thin">
                  <color theme="0"/>
                </bottom>
                <vertical/>
                <horizontal/>
              </border>
            </x14:dxf>
          </x14:cfRule>
          <xm:sqref>U168</xm:sqref>
        </x14:conditionalFormatting>
        <x14:conditionalFormatting xmlns:xm="http://schemas.microsoft.com/office/excel/2006/main">
          <x14:cfRule type="expression" priority="975" id="{9C5F1920-15C5-4D63-BF78-C867EE0D1066}">
            <xm:f>$Z$8='Assessment Details'!$Q$23</xm:f>
            <x14:dxf>
              <font>
                <color theme="0"/>
              </font>
              <fill>
                <patternFill>
                  <bgColor theme="0"/>
                </patternFill>
              </fill>
            </x14:dxf>
          </x14:cfRule>
          <xm:sqref>U176</xm:sqref>
        </x14:conditionalFormatting>
        <x14:conditionalFormatting xmlns:xm="http://schemas.microsoft.com/office/excel/2006/main">
          <x14:cfRule type="expression" priority="974" id="{2BF95581-B9FF-4EB8-ACA1-D5906B79080F}">
            <xm:f>$Z$8='Assessment Details'!$Q$23</xm:f>
            <x14:dxf>
              <border>
                <left style="thin">
                  <color theme="0"/>
                </left>
                <right style="thin">
                  <color theme="0"/>
                </right>
                <top style="thin">
                  <color theme="0"/>
                </top>
                <bottom style="thin">
                  <color theme="0"/>
                </bottom>
                <vertical/>
                <horizontal/>
              </border>
            </x14:dxf>
          </x14:cfRule>
          <xm:sqref>U176</xm:sqref>
        </x14:conditionalFormatting>
        <x14:conditionalFormatting xmlns:xm="http://schemas.microsoft.com/office/excel/2006/main">
          <x14:cfRule type="expression" priority="971" id="{24031FE4-1162-4B7D-898B-DBE9F537F491}">
            <xm:f>$Z$8='Assessment Details'!$Q$23</xm:f>
            <x14:dxf>
              <font>
                <color theme="0"/>
              </font>
              <fill>
                <patternFill>
                  <bgColor theme="0"/>
                </patternFill>
              </fill>
            </x14:dxf>
          </x14:cfRule>
          <xm:sqref>U180</xm:sqref>
        </x14:conditionalFormatting>
        <x14:conditionalFormatting xmlns:xm="http://schemas.microsoft.com/office/excel/2006/main">
          <x14:cfRule type="expression" priority="970" id="{60293951-1398-4DE9-B2F3-E03416288676}">
            <xm:f>$Z$8='Assessment Details'!$Q$23</xm:f>
            <x14:dxf>
              <border>
                <left style="thin">
                  <color theme="0"/>
                </left>
                <right style="thin">
                  <color theme="0"/>
                </right>
                <top style="thin">
                  <color theme="0"/>
                </top>
                <bottom style="thin">
                  <color theme="0"/>
                </bottom>
                <vertical/>
                <horizontal/>
              </border>
            </x14:dxf>
          </x14:cfRule>
          <xm:sqref>U180</xm:sqref>
        </x14:conditionalFormatting>
        <x14:conditionalFormatting xmlns:xm="http://schemas.microsoft.com/office/excel/2006/main">
          <x14:cfRule type="expression" priority="967" id="{9EF85750-6FC4-475C-8C83-DFB11D4C3DA0}">
            <xm:f>$Z$8='Assessment Details'!$Q$23</xm:f>
            <x14:dxf>
              <font>
                <color theme="0"/>
              </font>
              <fill>
                <patternFill>
                  <bgColor theme="0"/>
                </patternFill>
              </fill>
            </x14:dxf>
          </x14:cfRule>
          <xm:sqref>U186</xm:sqref>
        </x14:conditionalFormatting>
        <x14:conditionalFormatting xmlns:xm="http://schemas.microsoft.com/office/excel/2006/main">
          <x14:cfRule type="expression" priority="966" id="{6010812E-E8F6-4C2D-B2E1-5E66992EFB0A}">
            <xm:f>$Z$8='Assessment Details'!$Q$23</xm:f>
            <x14:dxf>
              <border>
                <left style="thin">
                  <color theme="0"/>
                </left>
                <right style="thin">
                  <color theme="0"/>
                </right>
                <top style="thin">
                  <color theme="0"/>
                </top>
                <bottom style="thin">
                  <color theme="0"/>
                </bottom>
                <vertical/>
                <horizontal/>
              </border>
            </x14:dxf>
          </x14:cfRule>
          <xm:sqref>U186</xm:sqref>
        </x14:conditionalFormatting>
        <x14:conditionalFormatting xmlns:xm="http://schemas.microsoft.com/office/excel/2006/main">
          <x14:cfRule type="expression" priority="963" id="{0D72CF25-68DE-4A74-8636-9DAF8D6D6513}">
            <xm:f>$Z$8='Assessment Details'!$Q$23</xm:f>
            <x14:dxf>
              <font>
                <color theme="0"/>
              </font>
              <fill>
                <patternFill>
                  <bgColor theme="0"/>
                </patternFill>
              </fill>
            </x14:dxf>
          </x14:cfRule>
          <xm:sqref>U189</xm:sqref>
        </x14:conditionalFormatting>
        <x14:conditionalFormatting xmlns:xm="http://schemas.microsoft.com/office/excel/2006/main">
          <x14:cfRule type="expression" priority="962" id="{0ADC0875-4C4C-4DE0-AB5F-F67641AFDAA8}">
            <xm:f>$Z$8='Assessment Details'!$Q$23</xm:f>
            <x14:dxf>
              <border>
                <left style="thin">
                  <color theme="0"/>
                </left>
                <right style="thin">
                  <color theme="0"/>
                </right>
                <top style="thin">
                  <color theme="0"/>
                </top>
                <bottom style="thin">
                  <color theme="0"/>
                </bottom>
                <vertical/>
                <horizontal/>
              </border>
            </x14:dxf>
          </x14:cfRule>
          <xm:sqref>U189</xm:sqref>
        </x14:conditionalFormatting>
        <x14:conditionalFormatting xmlns:xm="http://schemas.microsoft.com/office/excel/2006/main">
          <x14:cfRule type="expression" priority="948" id="{B2517199-400D-4E79-BB0C-8BD036B7C495}">
            <xm:f>$S$8='Assessment Details'!$Q$23</xm:f>
            <x14:dxf>
              <font>
                <color theme="0"/>
              </font>
              <fill>
                <patternFill>
                  <bgColor theme="0"/>
                </patternFill>
              </fill>
              <border>
                <vertical/>
                <horizontal/>
              </border>
            </x14:dxf>
          </x14:cfRule>
          <xm:sqref>N136</xm:sqref>
        </x14:conditionalFormatting>
        <x14:conditionalFormatting xmlns:xm="http://schemas.microsoft.com/office/excel/2006/main">
          <x14:cfRule type="expression" priority="947" id="{671B9F9F-87A1-4E8F-887D-B1C37FC1C2D5}">
            <xm:f>$S$8='Assessment Details'!$Q$23</xm:f>
            <x14:dxf>
              <border>
                <left style="thin">
                  <color theme="0"/>
                </left>
                <right style="thin">
                  <color theme="0"/>
                </right>
                <top style="thin">
                  <color theme="0"/>
                </top>
                <bottom style="thin">
                  <color theme="0"/>
                </bottom>
                <vertical/>
                <horizontal/>
              </border>
            </x14:dxf>
          </x14:cfRule>
          <xm:sqref>N136</xm:sqref>
        </x14:conditionalFormatting>
        <x14:conditionalFormatting xmlns:xm="http://schemas.microsoft.com/office/excel/2006/main">
          <x14:cfRule type="expression" priority="946" id="{9004D2A5-FAC0-4FD6-A1A8-2D89AC9273B1}">
            <xm:f>$Z$8='Assessment Details'!$Q$23</xm:f>
            <x14:dxf>
              <font>
                <color theme="0"/>
              </font>
              <fill>
                <patternFill>
                  <bgColor theme="0"/>
                </patternFill>
              </fill>
            </x14:dxf>
          </x14:cfRule>
          <xm:sqref>X136:Y136</xm:sqref>
        </x14:conditionalFormatting>
        <x14:conditionalFormatting xmlns:xm="http://schemas.microsoft.com/office/excel/2006/main">
          <x14:cfRule type="expression" priority="945" id="{EEC41F94-236D-4872-A8F1-79FE52E4D557}">
            <xm:f>$Z$8='Assessment Details'!$Q$23</xm:f>
            <x14:dxf>
              <border>
                <left style="thin">
                  <color theme="0"/>
                </left>
                <right style="thin">
                  <color theme="0"/>
                </right>
                <top style="thin">
                  <color theme="0"/>
                </top>
                <bottom style="thin">
                  <color theme="0"/>
                </bottom>
                <vertical/>
                <horizontal/>
              </border>
            </x14:dxf>
          </x14:cfRule>
          <xm:sqref>X136:Y136</xm:sqref>
        </x14:conditionalFormatting>
        <x14:conditionalFormatting xmlns:xm="http://schemas.microsoft.com/office/excel/2006/main">
          <x14:cfRule type="expression" priority="931" id="{78D933A3-BF0F-43E5-BA80-71B8ABB8CBE1}">
            <xm:f>$Z$8='Assessment Details'!$Q$23</xm:f>
            <x14:dxf>
              <font>
                <color theme="0"/>
              </font>
              <fill>
                <patternFill>
                  <bgColor theme="0"/>
                </patternFill>
              </fill>
            </x14:dxf>
          </x14:cfRule>
          <xm:sqref>U136</xm:sqref>
        </x14:conditionalFormatting>
        <x14:conditionalFormatting xmlns:xm="http://schemas.microsoft.com/office/excel/2006/main">
          <x14:cfRule type="expression" priority="930" id="{AB46B7D5-2DE9-49A4-8D5C-3ABCC6D206FD}">
            <xm:f>$Z$8='Assessment Details'!$Q$23</xm:f>
            <x14:dxf>
              <border>
                <left style="thin">
                  <color theme="0"/>
                </left>
                <right style="thin">
                  <color theme="0"/>
                </right>
                <top style="thin">
                  <color theme="0"/>
                </top>
                <bottom style="thin">
                  <color theme="0"/>
                </bottom>
                <vertical/>
                <horizontal/>
              </border>
            </x14:dxf>
          </x14:cfRule>
          <xm:sqref>U136</xm:sqref>
        </x14:conditionalFormatting>
        <x14:conditionalFormatting xmlns:xm="http://schemas.microsoft.com/office/excel/2006/main">
          <x14:cfRule type="expression" priority="911" id="{385BE2E3-500F-401D-920E-E2C9CC87D169}">
            <xm:f>$S$8='Assessment Details'!$Q$23</xm:f>
            <x14:dxf>
              <font>
                <color theme="0"/>
              </font>
              <fill>
                <patternFill>
                  <bgColor theme="0"/>
                </patternFill>
              </fill>
              <border>
                <vertical/>
                <horizontal/>
              </border>
            </x14:dxf>
          </x14:cfRule>
          <xm:sqref>N199</xm:sqref>
        </x14:conditionalFormatting>
        <x14:conditionalFormatting xmlns:xm="http://schemas.microsoft.com/office/excel/2006/main">
          <x14:cfRule type="expression" priority="910" id="{636614CB-6B0E-4EB8-B6D3-15814EEAE26C}">
            <xm:f>$S$8='Assessment Details'!$Q$23</xm:f>
            <x14:dxf>
              <border>
                <left style="thin">
                  <color theme="0"/>
                </left>
                <right style="thin">
                  <color theme="0"/>
                </right>
                <top style="thin">
                  <color theme="0"/>
                </top>
                <bottom style="thin">
                  <color theme="0"/>
                </bottom>
                <vertical/>
                <horizontal/>
              </border>
            </x14:dxf>
          </x14:cfRule>
          <xm:sqref>N199</xm:sqref>
        </x14:conditionalFormatting>
        <x14:conditionalFormatting xmlns:xm="http://schemas.microsoft.com/office/excel/2006/main">
          <x14:cfRule type="expression" priority="909" id="{70D6E1F0-AB43-49B6-A6D2-18A2BF9BD4BF}">
            <xm:f>$Z$8='Assessment Details'!$Q$23</xm:f>
            <x14:dxf>
              <font>
                <color theme="0"/>
              </font>
              <fill>
                <patternFill>
                  <bgColor theme="0"/>
                </patternFill>
              </fill>
            </x14:dxf>
          </x14:cfRule>
          <xm:sqref>X199:Y199</xm:sqref>
        </x14:conditionalFormatting>
        <x14:conditionalFormatting xmlns:xm="http://schemas.microsoft.com/office/excel/2006/main">
          <x14:cfRule type="expression" priority="908" id="{C3ABDC6B-708E-47E9-BD59-2E270BA64C81}">
            <xm:f>$Z$8='Assessment Details'!$Q$23</xm:f>
            <x14:dxf>
              <border>
                <left style="thin">
                  <color theme="0"/>
                </left>
                <right style="thin">
                  <color theme="0"/>
                </right>
                <top style="thin">
                  <color theme="0"/>
                </top>
                <bottom style="thin">
                  <color theme="0"/>
                </bottom>
                <vertical/>
                <horizontal/>
              </border>
            </x14:dxf>
          </x14:cfRule>
          <xm:sqref>X199:Y199</xm:sqref>
        </x14:conditionalFormatting>
        <x14:conditionalFormatting xmlns:xm="http://schemas.microsoft.com/office/excel/2006/main">
          <x14:cfRule type="expression" priority="907" id="{36FE6BB4-476A-426A-BD77-348A14FCB506}">
            <xm:f>$Z$8='Assessment Details'!$Q$23</xm:f>
            <x14:dxf>
              <font>
                <color theme="0"/>
              </font>
              <fill>
                <patternFill>
                  <bgColor theme="0"/>
                </patternFill>
              </fill>
            </x14:dxf>
          </x14:cfRule>
          <xm:sqref>U199</xm:sqref>
        </x14:conditionalFormatting>
        <x14:conditionalFormatting xmlns:xm="http://schemas.microsoft.com/office/excel/2006/main">
          <x14:cfRule type="expression" priority="906" id="{163E1F5B-646D-4C32-8017-FA50D55ADAF7}">
            <xm:f>$Z$8='Assessment Details'!$Q$23</xm:f>
            <x14:dxf>
              <border>
                <left style="thin">
                  <color theme="0"/>
                </left>
                <right style="thin">
                  <color theme="0"/>
                </right>
                <top style="thin">
                  <color theme="0"/>
                </top>
                <bottom style="thin">
                  <color theme="0"/>
                </bottom>
                <vertical/>
                <horizontal/>
              </border>
            </x14:dxf>
          </x14:cfRule>
          <xm:sqref>U199</xm:sqref>
        </x14:conditionalFormatting>
        <x14:conditionalFormatting xmlns:xm="http://schemas.microsoft.com/office/excel/2006/main">
          <x14:cfRule type="expression" priority="900" id="{A9A358BE-AE04-490A-B2F6-E1AF02BEC657}">
            <xm:f>$S$8='Assessment Details'!$Q$23</xm:f>
            <x14:dxf>
              <font>
                <color theme="0"/>
              </font>
              <fill>
                <patternFill>
                  <bgColor theme="0"/>
                </patternFill>
              </fill>
              <border>
                <vertical/>
                <horizontal/>
              </border>
            </x14:dxf>
          </x14:cfRule>
          <xm:sqref>Q198:R198</xm:sqref>
        </x14:conditionalFormatting>
        <x14:conditionalFormatting xmlns:xm="http://schemas.microsoft.com/office/excel/2006/main">
          <x14:cfRule type="expression" priority="899" id="{CAC97284-68A8-41C8-AD4C-2463D87E9601}">
            <xm:f>$S$8='Assessment Details'!$Q$23</xm:f>
            <x14:dxf>
              <border>
                <left style="thin">
                  <color theme="0"/>
                </left>
                <right style="thin">
                  <color theme="0"/>
                </right>
                <top style="thin">
                  <color theme="0"/>
                </top>
                <bottom style="thin">
                  <color theme="0"/>
                </bottom>
                <vertical/>
                <horizontal/>
              </border>
            </x14:dxf>
          </x14:cfRule>
          <xm:sqref>Q198:R198</xm:sqref>
        </x14:conditionalFormatting>
        <x14:conditionalFormatting xmlns:xm="http://schemas.microsoft.com/office/excel/2006/main">
          <x14:cfRule type="expression" priority="886" id="{E80368FD-C2FC-46DB-B8AC-3633FFC17C20}">
            <xm:f>$S$8='Assessment Details'!$Q$23</xm:f>
            <x14:dxf>
              <font>
                <color theme="0"/>
              </font>
              <fill>
                <patternFill>
                  <bgColor theme="0"/>
                </patternFill>
              </fill>
              <border>
                <vertical/>
                <horizontal/>
              </border>
            </x14:dxf>
          </x14:cfRule>
          <xm:sqref>N198</xm:sqref>
        </x14:conditionalFormatting>
        <x14:conditionalFormatting xmlns:xm="http://schemas.microsoft.com/office/excel/2006/main">
          <x14:cfRule type="expression" priority="885" id="{BD2F9586-8A9C-4136-BEF7-6BE1F2EAB39B}">
            <xm:f>$S$8='Assessment Details'!$Q$23</xm:f>
            <x14:dxf>
              <border>
                <left style="thin">
                  <color theme="0"/>
                </left>
                <right style="thin">
                  <color theme="0"/>
                </right>
                <top style="thin">
                  <color theme="0"/>
                </top>
                <bottom style="thin">
                  <color theme="0"/>
                </bottom>
                <vertical/>
                <horizontal/>
              </border>
            </x14:dxf>
          </x14:cfRule>
          <xm:sqref>N198</xm:sqref>
        </x14:conditionalFormatting>
        <x14:conditionalFormatting xmlns:xm="http://schemas.microsoft.com/office/excel/2006/main">
          <x14:cfRule type="expression" priority="882" id="{878A2DCC-515D-4CD5-8B70-E72BA35F09A6}">
            <xm:f>$Z$8='Assessment Details'!$Q$23</xm:f>
            <x14:dxf>
              <font>
                <color theme="0"/>
              </font>
              <fill>
                <patternFill>
                  <bgColor theme="0"/>
                </patternFill>
              </fill>
            </x14:dxf>
          </x14:cfRule>
          <xm:sqref>U198</xm:sqref>
        </x14:conditionalFormatting>
        <x14:conditionalFormatting xmlns:xm="http://schemas.microsoft.com/office/excel/2006/main">
          <x14:cfRule type="expression" priority="881" id="{6603C269-79BC-4AF0-A48B-5E9E9B275056}">
            <xm:f>$Z$8='Assessment Details'!$Q$23</xm:f>
            <x14:dxf>
              <border>
                <left style="thin">
                  <color theme="0"/>
                </left>
                <right style="thin">
                  <color theme="0"/>
                </right>
                <top style="thin">
                  <color theme="0"/>
                </top>
                <bottom style="thin">
                  <color theme="0"/>
                </bottom>
                <vertical/>
                <horizontal/>
              </border>
            </x14:dxf>
          </x14:cfRule>
          <xm:sqref>U198</xm:sqref>
        </x14:conditionalFormatting>
        <x14:conditionalFormatting xmlns:xm="http://schemas.microsoft.com/office/excel/2006/main">
          <x14:cfRule type="expression" priority="862" id="{BDE5FF22-764F-4950-97D5-79695EA58120}">
            <xm:f>$S$8='Assessment Details'!$Q$23</xm:f>
            <x14:dxf>
              <font>
                <color theme="0"/>
              </font>
              <fill>
                <patternFill>
                  <bgColor theme="0"/>
                </patternFill>
              </fill>
              <border>
                <vertical/>
                <horizontal/>
              </border>
            </x14:dxf>
          </x14:cfRule>
          <xm:sqref>N25</xm:sqref>
        </x14:conditionalFormatting>
        <x14:conditionalFormatting xmlns:xm="http://schemas.microsoft.com/office/excel/2006/main">
          <x14:cfRule type="expression" priority="861" id="{2979B6A3-9751-4B14-A22B-92822002F447}">
            <xm:f>$S$8='Assessment Details'!$Q$23</xm:f>
            <x14:dxf>
              <border>
                <left style="thin">
                  <color theme="0"/>
                </left>
                <right style="thin">
                  <color theme="0"/>
                </right>
                <top style="thin">
                  <color theme="0"/>
                </top>
                <bottom style="thin">
                  <color theme="0"/>
                </bottom>
                <vertical/>
                <horizontal/>
              </border>
            </x14:dxf>
          </x14:cfRule>
          <xm:sqref>N25</xm:sqref>
        </x14:conditionalFormatting>
        <x14:conditionalFormatting xmlns:xm="http://schemas.microsoft.com/office/excel/2006/main">
          <x14:cfRule type="expression" priority="860" id="{CEEB2D4F-6911-4CB4-B1F4-C0EC8691A8CA}">
            <xm:f>$Z$8='Assessment Details'!$Q$23</xm:f>
            <x14:dxf>
              <font>
                <color theme="0"/>
              </font>
              <fill>
                <patternFill>
                  <bgColor theme="0"/>
                </patternFill>
              </fill>
            </x14:dxf>
          </x14:cfRule>
          <xm:sqref>X25:Y25</xm:sqref>
        </x14:conditionalFormatting>
        <x14:conditionalFormatting xmlns:xm="http://schemas.microsoft.com/office/excel/2006/main">
          <x14:cfRule type="expression" priority="859" id="{16AFEB61-6668-40A8-8FEC-02DF69DC0172}">
            <xm:f>$Z$8='Assessment Details'!$Q$23</xm:f>
            <x14:dxf>
              <border>
                <left style="thin">
                  <color theme="0"/>
                </left>
                <right style="thin">
                  <color theme="0"/>
                </right>
                <top style="thin">
                  <color theme="0"/>
                </top>
                <bottom style="thin">
                  <color theme="0"/>
                </bottom>
                <vertical/>
                <horizontal/>
              </border>
            </x14:dxf>
          </x14:cfRule>
          <xm:sqref>X25:Y25</xm:sqref>
        </x14:conditionalFormatting>
        <x14:conditionalFormatting xmlns:xm="http://schemas.microsoft.com/office/excel/2006/main">
          <x14:cfRule type="expression" priority="853" id="{B9198C9F-E0E7-4C7D-8A1F-625074EF54F5}">
            <xm:f>$Z$8='Assessment Details'!$Q$23</xm:f>
            <x14:dxf>
              <font>
                <color theme="0"/>
              </font>
              <fill>
                <patternFill>
                  <bgColor theme="0"/>
                </patternFill>
              </fill>
            </x14:dxf>
          </x14:cfRule>
          <xm:sqref>U25</xm:sqref>
        </x14:conditionalFormatting>
        <x14:conditionalFormatting xmlns:xm="http://schemas.microsoft.com/office/excel/2006/main">
          <x14:cfRule type="expression" priority="852" id="{BFFC2934-A5C3-473F-8B38-72DEA75E0879}">
            <xm:f>$Z$8='Assessment Details'!$Q$23</xm:f>
            <x14:dxf>
              <border>
                <left style="thin">
                  <color theme="0"/>
                </left>
                <right style="thin">
                  <color theme="0"/>
                </right>
                <top style="thin">
                  <color theme="0"/>
                </top>
                <bottom style="thin">
                  <color theme="0"/>
                </bottom>
                <vertical/>
                <horizontal/>
              </border>
            </x14:dxf>
          </x14:cfRule>
          <xm:sqref>U25</xm:sqref>
        </x14:conditionalFormatting>
        <x14:conditionalFormatting xmlns:xm="http://schemas.microsoft.com/office/excel/2006/main">
          <x14:cfRule type="expression" priority="833" id="{056CBADF-F4D1-40B8-A066-F2B999D51E32}">
            <xm:f>$S$8='Assessment Details'!$Q$23</xm:f>
            <x14:dxf>
              <font>
                <color theme="0"/>
              </font>
              <fill>
                <patternFill>
                  <bgColor theme="0"/>
                </patternFill>
              </fill>
              <border>
                <vertical/>
                <horizontal/>
              </border>
            </x14:dxf>
          </x14:cfRule>
          <xm:sqref>N26</xm:sqref>
        </x14:conditionalFormatting>
        <x14:conditionalFormatting xmlns:xm="http://schemas.microsoft.com/office/excel/2006/main">
          <x14:cfRule type="expression" priority="832" id="{D8E3BCA5-64FC-4B4A-85B4-098B22AC9517}">
            <xm:f>$S$8='Assessment Details'!$Q$23</xm:f>
            <x14:dxf>
              <border>
                <left style="thin">
                  <color theme="0"/>
                </left>
                <right style="thin">
                  <color theme="0"/>
                </right>
                <top style="thin">
                  <color theme="0"/>
                </top>
                <bottom style="thin">
                  <color theme="0"/>
                </bottom>
                <vertical/>
                <horizontal/>
              </border>
            </x14:dxf>
          </x14:cfRule>
          <xm:sqref>N26</xm:sqref>
        </x14:conditionalFormatting>
        <x14:conditionalFormatting xmlns:xm="http://schemas.microsoft.com/office/excel/2006/main">
          <x14:cfRule type="expression" priority="831" id="{4CF4F4F0-C7CE-4D35-BFC6-31BEBFEB74CC}">
            <xm:f>$Z$8='Assessment Details'!$Q$23</xm:f>
            <x14:dxf>
              <font>
                <color theme="0"/>
              </font>
              <fill>
                <patternFill>
                  <bgColor theme="0"/>
                </patternFill>
              </fill>
            </x14:dxf>
          </x14:cfRule>
          <xm:sqref>X26:Y26</xm:sqref>
        </x14:conditionalFormatting>
        <x14:conditionalFormatting xmlns:xm="http://schemas.microsoft.com/office/excel/2006/main">
          <x14:cfRule type="expression" priority="830" id="{44CB9297-D4F2-4941-8CF7-161148476ADE}">
            <xm:f>$Z$8='Assessment Details'!$Q$23</xm:f>
            <x14:dxf>
              <border>
                <left style="thin">
                  <color theme="0"/>
                </left>
                <right style="thin">
                  <color theme="0"/>
                </right>
                <top style="thin">
                  <color theme="0"/>
                </top>
                <bottom style="thin">
                  <color theme="0"/>
                </bottom>
                <vertical/>
                <horizontal/>
              </border>
            </x14:dxf>
          </x14:cfRule>
          <xm:sqref>X26:Y26</xm:sqref>
        </x14:conditionalFormatting>
        <x14:conditionalFormatting xmlns:xm="http://schemas.microsoft.com/office/excel/2006/main">
          <x14:cfRule type="expression" priority="824" id="{A1124C2E-2CE1-4778-BC0F-B3175E84C11D}">
            <xm:f>$Z$8='Assessment Details'!$Q$23</xm:f>
            <x14:dxf>
              <font>
                <color theme="0"/>
              </font>
              <fill>
                <patternFill>
                  <bgColor theme="0"/>
                </patternFill>
              </fill>
            </x14:dxf>
          </x14:cfRule>
          <xm:sqref>U26</xm:sqref>
        </x14:conditionalFormatting>
        <x14:conditionalFormatting xmlns:xm="http://schemas.microsoft.com/office/excel/2006/main">
          <x14:cfRule type="expression" priority="823" id="{DFFD3404-113B-426E-8669-4775A0CD70DD}">
            <xm:f>$Z$8='Assessment Details'!$Q$23</xm:f>
            <x14:dxf>
              <border>
                <left style="thin">
                  <color theme="0"/>
                </left>
                <right style="thin">
                  <color theme="0"/>
                </right>
                <top style="thin">
                  <color theme="0"/>
                </top>
                <bottom style="thin">
                  <color theme="0"/>
                </bottom>
                <vertical/>
                <horizontal/>
              </border>
            </x14:dxf>
          </x14:cfRule>
          <xm:sqref>U26</xm:sqref>
        </x14:conditionalFormatting>
        <x14:conditionalFormatting xmlns:xm="http://schemas.microsoft.com/office/excel/2006/main">
          <x14:cfRule type="expression" priority="805" id="{5A63F7A5-EDFA-41B7-9A2B-2E3B5AC6501F}">
            <xm:f>$S$8='Assessment Details'!$Q$23</xm:f>
            <x14:dxf>
              <font>
                <color theme="0"/>
              </font>
              <fill>
                <patternFill>
                  <bgColor theme="0"/>
                </patternFill>
              </fill>
              <border>
                <vertical/>
                <horizontal/>
              </border>
            </x14:dxf>
          </x14:cfRule>
          <xm:sqref>N86</xm:sqref>
        </x14:conditionalFormatting>
        <x14:conditionalFormatting xmlns:xm="http://schemas.microsoft.com/office/excel/2006/main">
          <x14:cfRule type="expression" priority="804" id="{A2822926-0CDC-469D-810E-34D85549DB66}">
            <xm:f>$S$8='Assessment Details'!$Q$23</xm:f>
            <x14:dxf>
              <border>
                <left style="thin">
                  <color theme="0"/>
                </left>
                <right style="thin">
                  <color theme="0"/>
                </right>
                <top style="thin">
                  <color theme="0"/>
                </top>
                <bottom style="thin">
                  <color theme="0"/>
                </bottom>
                <vertical/>
                <horizontal/>
              </border>
            </x14:dxf>
          </x14:cfRule>
          <xm:sqref>N86</xm:sqref>
        </x14:conditionalFormatting>
        <x14:conditionalFormatting xmlns:xm="http://schemas.microsoft.com/office/excel/2006/main">
          <x14:cfRule type="expression" priority="803" id="{609FE846-1353-46BF-8A8E-52297A2A302F}">
            <xm:f>$Z$8='Assessment Details'!$Q$23</xm:f>
            <x14:dxf>
              <font>
                <color theme="0"/>
              </font>
              <fill>
                <patternFill>
                  <bgColor theme="0"/>
                </patternFill>
              </fill>
            </x14:dxf>
          </x14:cfRule>
          <xm:sqref>X86:Y86</xm:sqref>
        </x14:conditionalFormatting>
        <x14:conditionalFormatting xmlns:xm="http://schemas.microsoft.com/office/excel/2006/main">
          <x14:cfRule type="expression" priority="802" id="{813441FB-141C-4C98-AD40-F988DC41CADD}">
            <xm:f>$Z$8='Assessment Details'!$Q$23</xm:f>
            <x14:dxf>
              <border>
                <left style="thin">
                  <color theme="0"/>
                </left>
                <right style="thin">
                  <color theme="0"/>
                </right>
                <top style="thin">
                  <color theme="0"/>
                </top>
                <bottom style="thin">
                  <color theme="0"/>
                </bottom>
                <vertical/>
                <horizontal/>
              </border>
            </x14:dxf>
          </x14:cfRule>
          <xm:sqref>X86:Y86</xm:sqref>
        </x14:conditionalFormatting>
        <x14:conditionalFormatting xmlns:xm="http://schemas.microsoft.com/office/excel/2006/main">
          <x14:cfRule type="expression" priority="788" id="{7D01B325-A133-4A43-8630-C038C0769CE1}">
            <xm:f>$Z$8='Assessment Details'!$Q$23</xm:f>
            <x14:dxf>
              <font>
                <color theme="0"/>
              </font>
              <fill>
                <patternFill>
                  <bgColor theme="0"/>
                </patternFill>
              </fill>
            </x14:dxf>
          </x14:cfRule>
          <xm:sqref>U86</xm:sqref>
        </x14:conditionalFormatting>
        <x14:conditionalFormatting xmlns:xm="http://schemas.microsoft.com/office/excel/2006/main">
          <x14:cfRule type="expression" priority="787" id="{8C95A82D-2DB8-47B8-A590-797014BCF744}">
            <xm:f>$Z$8='Assessment Details'!$Q$23</xm:f>
            <x14:dxf>
              <border>
                <left style="thin">
                  <color theme="0"/>
                </left>
                <right style="thin">
                  <color theme="0"/>
                </right>
                <top style="thin">
                  <color theme="0"/>
                </top>
                <bottom style="thin">
                  <color theme="0"/>
                </bottom>
                <vertical/>
                <horizontal/>
              </border>
            </x14:dxf>
          </x14:cfRule>
          <xm:sqref>U86</xm:sqref>
        </x14:conditionalFormatting>
        <x14:conditionalFormatting xmlns:xm="http://schemas.microsoft.com/office/excel/2006/main">
          <x14:cfRule type="expression" priority="770" id="{69C310A9-BDC7-4B47-82CD-FC12E23ACA02}">
            <xm:f>$S$8='Assessment Details'!$Q$23</xm:f>
            <x14:dxf>
              <font>
                <color theme="0"/>
              </font>
              <fill>
                <patternFill>
                  <bgColor theme="0"/>
                </patternFill>
              </fill>
              <border>
                <vertical/>
                <horizontal/>
              </border>
            </x14:dxf>
          </x14:cfRule>
          <xm:sqref>Q100:R100</xm:sqref>
        </x14:conditionalFormatting>
        <x14:conditionalFormatting xmlns:xm="http://schemas.microsoft.com/office/excel/2006/main">
          <x14:cfRule type="expression" priority="769" id="{8866C9EC-AA27-438F-8DEF-B357553BAA70}">
            <xm:f>$S$8='Assessment Details'!$Q$23</xm:f>
            <x14:dxf>
              <border>
                <left style="thin">
                  <color theme="0"/>
                </left>
                <right style="thin">
                  <color theme="0"/>
                </right>
                <top style="thin">
                  <color theme="0"/>
                </top>
                <bottom style="thin">
                  <color theme="0"/>
                </bottom>
                <vertical/>
                <horizontal/>
              </border>
            </x14:dxf>
          </x14:cfRule>
          <xm:sqref>Q100:R100</xm:sqref>
        </x14:conditionalFormatting>
        <x14:conditionalFormatting xmlns:xm="http://schemas.microsoft.com/office/excel/2006/main">
          <x14:cfRule type="expression" priority="768" id="{369EE6F7-B847-4C15-9E39-4DF832F655E4}">
            <xm:f>$Z$8='Assessment Details'!$Q$23</xm:f>
            <x14:dxf>
              <font>
                <color theme="0"/>
              </font>
              <fill>
                <patternFill>
                  <bgColor theme="0"/>
                </patternFill>
              </fill>
            </x14:dxf>
          </x14:cfRule>
          <xm:sqref>X100:Y100</xm:sqref>
        </x14:conditionalFormatting>
        <x14:conditionalFormatting xmlns:xm="http://schemas.microsoft.com/office/excel/2006/main">
          <x14:cfRule type="expression" priority="767" id="{DA9FEB1E-44CE-403C-8B7D-2BDCE1D252BF}">
            <xm:f>$Z$8='Assessment Details'!$Q$23</xm:f>
            <x14:dxf>
              <border>
                <left style="thin">
                  <color theme="0"/>
                </left>
                <right style="thin">
                  <color theme="0"/>
                </right>
                <top style="thin">
                  <color theme="0"/>
                </top>
                <bottom style="thin">
                  <color theme="0"/>
                </bottom>
                <vertical/>
                <horizontal/>
              </border>
            </x14:dxf>
          </x14:cfRule>
          <xm:sqref>X100:Y100</xm:sqref>
        </x14:conditionalFormatting>
        <x14:conditionalFormatting xmlns:xm="http://schemas.microsoft.com/office/excel/2006/main">
          <x14:cfRule type="expression" priority="753" id="{2ACB8806-BB00-4EEF-9AEF-4CAF9A1EE119}">
            <xm:f>$S$8='Assessment Details'!$Q$23</xm:f>
            <x14:dxf>
              <font>
                <color theme="0"/>
              </font>
              <fill>
                <patternFill>
                  <bgColor theme="0"/>
                </patternFill>
              </fill>
              <border>
                <vertical/>
                <horizontal/>
              </border>
            </x14:dxf>
          </x14:cfRule>
          <xm:sqref>N100</xm:sqref>
        </x14:conditionalFormatting>
        <x14:conditionalFormatting xmlns:xm="http://schemas.microsoft.com/office/excel/2006/main">
          <x14:cfRule type="expression" priority="752" id="{F31C36FB-66C8-460F-8266-75E37A5CC967}">
            <xm:f>$S$8='Assessment Details'!$Q$23</xm:f>
            <x14:dxf>
              <border>
                <left style="thin">
                  <color theme="0"/>
                </left>
                <right style="thin">
                  <color theme="0"/>
                </right>
                <top style="thin">
                  <color theme="0"/>
                </top>
                <bottom style="thin">
                  <color theme="0"/>
                </bottom>
                <vertical/>
                <horizontal/>
              </border>
            </x14:dxf>
          </x14:cfRule>
          <xm:sqref>N100</xm:sqref>
        </x14:conditionalFormatting>
        <x14:conditionalFormatting xmlns:xm="http://schemas.microsoft.com/office/excel/2006/main">
          <x14:cfRule type="expression" priority="749" id="{3D434EE4-339E-4213-A321-7B3E76D92597}">
            <xm:f>$Z$8='Assessment Details'!$Q$23</xm:f>
            <x14:dxf>
              <font>
                <color theme="0"/>
              </font>
              <fill>
                <patternFill>
                  <bgColor theme="0"/>
                </patternFill>
              </fill>
            </x14:dxf>
          </x14:cfRule>
          <xm:sqref>U100</xm:sqref>
        </x14:conditionalFormatting>
        <x14:conditionalFormatting xmlns:xm="http://schemas.microsoft.com/office/excel/2006/main">
          <x14:cfRule type="expression" priority="748" id="{983395C1-0379-4A53-B586-C7BB4E5634B8}">
            <xm:f>$Z$8='Assessment Details'!$Q$23</xm:f>
            <x14:dxf>
              <border>
                <left style="thin">
                  <color theme="0"/>
                </left>
                <right style="thin">
                  <color theme="0"/>
                </right>
                <top style="thin">
                  <color theme="0"/>
                </top>
                <bottom style="thin">
                  <color theme="0"/>
                </bottom>
                <vertical/>
                <horizontal/>
              </border>
            </x14:dxf>
          </x14:cfRule>
          <xm:sqref>U100</xm:sqref>
        </x14:conditionalFormatting>
        <x14:conditionalFormatting xmlns:xm="http://schemas.microsoft.com/office/excel/2006/main">
          <x14:cfRule type="expression" priority="738" id="{A8780FD0-5326-4D6A-AA5A-EF2B796DECD5}">
            <xm:f>$Z$8='Assessment Details'!$Q$23</xm:f>
            <x14:dxf>
              <font>
                <color theme="0"/>
              </font>
              <fill>
                <patternFill>
                  <bgColor theme="0"/>
                </patternFill>
              </fill>
            </x14:dxf>
          </x14:cfRule>
          <xm:sqref>X15:Y15</xm:sqref>
        </x14:conditionalFormatting>
        <x14:conditionalFormatting xmlns:xm="http://schemas.microsoft.com/office/excel/2006/main">
          <x14:cfRule type="expression" priority="737" id="{7D95453C-5677-4440-BFDC-5F1E0D951658}">
            <xm:f>$Z$8='Assessment Details'!$Q$23</xm:f>
            <x14:dxf>
              <border>
                <left style="thin">
                  <color theme="0"/>
                </left>
                <right style="thin">
                  <color theme="0"/>
                </right>
                <top style="thin">
                  <color theme="0"/>
                </top>
                <bottom style="thin">
                  <color theme="0"/>
                </bottom>
                <vertical/>
                <horizontal/>
              </border>
            </x14:dxf>
          </x14:cfRule>
          <xm:sqref>X15:Y15</xm:sqref>
        </x14:conditionalFormatting>
        <x14:conditionalFormatting xmlns:xm="http://schemas.microsoft.com/office/excel/2006/main">
          <x14:cfRule type="expression" priority="733" id="{FCAF0747-B7DD-45B9-9D71-FD5596F44912}">
            <xm:f>$Z$8='Assessment Details'!$Q$23</xm:f>
            <x14:dxf>
              <font>
                <color theme="0"/>
              </font>
              <fill>
                <patternFill>
                  <bgColor theme="0"/>
                </patternFill>
              </fill>
            </x14:dxf>
          </x14:cfRule>
          <xm:sqref>U15</xm:sqref>
        </x14:conditionalFormatting>
        <x14:conditionalFormatting xmlns:xm="http://schemas.microsoft.com/office/excel/2006/main">
          <x14:cfRule type="expression" priority="732" id="{8A10B796-3553-48A3-A8D4-D6C07CC5F03D}">
            <xm:f>$Z$8='Assessment Details'!$Q$23</xm:f>
            <x14:dxf>
              <border>
                <left style="thin">
                  <color theme="0"/>
                </left>
                <right style="thin">
                  <color theme="0"/>
                </right>
                <top style="thin">
                  <color theme="0"/>
                </top>
                <bottom style="thin">
                  <color theme="0"/>
                </bottom>
                <vertical/>
                <horizontal/>
              </border>
            </x14:dxf>
          </x14:cfRule>
          <xm:sqref>U15</xm:sqref>
        </x14:conditionalFormatting>
        <x14:conditionalFormatting xmlns:xm="http://schemas.microsoft.com/office/excel/2006/main">
          <x14:cfRule type="expression" priority="701" id="{1814D816-8456-4F4E-A505-94BF373FFA61}">
            <xm:f>$S$8='Assessment Details'!$Q$23</xm:f>
            <x14:dxf>
              <font>
                <color theme="0"/>
              </font>
              <fill>
                <patternFill>
                  <bgColor theme="0"/>
                </patternFill>
              </fill>
              <border>
                <vertical/>
                <horizontal/>
              </border>
            </x14:dxf>
          </x14:cfRule>
          <xm:sqref>P36:P37</xm:sqref>
        </x14:conditionalFormatting>
        <x14:conditionalFormatting xmlns:xm="http://schemas.microsoft.com/office/excel/2006/main">
          <x14:cfRule type="expression" priority="700" id="{8648F252-ED19-4266-80EA-94115D554B1E}">
            <xm:f>$S$8='Assessment Details'!$Q$23</xm:f>
            <x14:dxf>
              <border>
                <left style="thin">
                  <color theme="0"/>
                </left>
                <right style="thin">
                  <color theme="0"/>
                </right>
                <top style="thin">
                  <color theme="0"/>
                </top>
                <bottom style="thin">
                  <color theme="0"/>
                </bottom>
                <vertical/>
                <horizontal/>
              </border>
            </x14:dxf>
          </x14:cfRule>
          <xm:sqref>P36:P37</xm:sqref>
        </x14:conditionalFormatting>
        <x14:conditionalFormatting xmlns:xm="http://schemas.microsoft.com/office/excel/2006/main">
          <x14:cfRule type="expression" priority="694" id="{9A0ECD73-169E-4688-A925-E62F5A4942F3}">
            <xm:f>$S$8='Assessment Details'!$Q$23</xm:f>
            <x14:dxf>
              <font>
                <color theme="0"/>
              </font>
              <fill>
                <patternFill>
                  <bgColor theme="0"/>
                </patternFill>
              </fill>
              <border>
                <vertical/>
                <horizontal/>
              </border>
            </x14:dxf>
          </x14:cfRule>
          <xm:sqref>P64:P65</xm:sqref>
        </x14:conditionalFormatting>
        <x14:conditionalFormatting xmlns:xm="http://schemas.microsoft.com/office/excel/2006/main">
          <x14:cfRule type="expression" priority="693" id="{EBE9A871-3F99-4979-A4F4-2335F98EF000}">
            <xm:f>$S$8='Assessment Details'!$Q$23</xm:f>
            <x14:dxf>
              <border>
                <left style="thin">
                  <color theme="0"/>
                </left>
                <right style="thin">
                  <color theme="0"/>
                </right>
                <top style="thin">
                  <color theme="0"/>
                </top>
                <bottom style="thin">
                  <color theme="0"/>
                </bottom>
                <vertical/>
                <horizontal/>
              </border>
            </x14:dxf>
          </x14:cfRule>
          <xm:sqref>P64:P65</xm:sqref>
        </x14:conditionalFormatting>
        <x14:conditionalFormatting xmlns:xm="http://schemas.microsoft.com/office/excel/2006/main">
          <x14:cfRule type="expression" priority="687" id="{88731133-85C1-497D-8440-7304B836D6C7}">
            <xm:f>$S$8='Assessment Details'!$Q$23</xm:f>
            <x14:dxf>
              <font>
                <color theme="0"/>
              </font>
              <fill>
                <patternFill>
                  <bgColor theme="0"/>
                </patternFill>
              </fill>
              <border>
                <vertical/>
                <horizontal/>
              </border>
            </x14:dxf>
          </x14:cfRule>
          <xm:sqref>P94:P95</xm:sqref>
        </x14:conditionalFormatting>
        <x14:conditionalFormatting xmlns:xm="http://schemas.microsoft.com/office/excel/2006/main">
          <x14:cfRule type="expression" priority="686" id="{83A9A1C1-341F-4085-939C-5EB00F0A4EFD}">
            <xm:f>$S$8='Assessment Details'!$Q$23</xm:f>
            <x14:dxf>
              <border>
                <left style="thin">
                  <color theme="0"/>
                </left>
                <right style="thin">
                  <color theme="0"/>
                </right>
                <top style="thin">
                  <color theme="0"/>
                </top>
                <bottom style="thin">
                  <color theme="0"/>
                </bottom>
                <vertical/>
                <horizontal/>
              </border>
            </x14:dxf>
          </x14:cfRule>
          <xm:sqref>P94:P95</xm:sqref>
        </x14:conditionalFormatting>
        <x14:conditionalFormatting xmlns:xm="http://schemas.microsoft.com/office/excel/2006/main">
          <x14:cfRule type="expression" priority="680" id="{5736BA94-FE01-46BA-9EE9-706893E950AD}">
            <xm:f>$S$8='Assessment Details'!$Q$23</xm:f>
            <x14:dxf>
              <font>
                <color theme="0"/>
              </font>
              <fill>
                <patternFill>
                  <bgColor theme="0"/>
                </patternFill>
              </fill>
              <border>
                <vertical/>
                <horizontal/>
              </border>
            </x14:dxf>
          </x14:cfRule>
          <xm:sqref>P103:P104</xm:sqref>
        </x14:conditionalFormatting>
        <x14:conditionalFormatting xmlns:xm="http://schemas.microsoft.com/office/excel/2006/main">
          <x14:cfRule type="expression" priority="679" id="{B287D32D-09AC-4542-908E-5C03F7DF3000}">
            <xm:f>$S$8='Assessment Details'!$Q$23</xm:f>
            <x14:dxf>
              <border>
                <left style="thin">
                  <color theme="0"/>
                </left>
                <right style="thin">
                  <color theme="0"/>
                </right>
                <top style="thin">
                  <color theme="0"/>
                </top>
                <bottom style="thin">
                  <color theme="0"/>
                </bottom>
                <vertical/>
                <horizontal/>
              </border>
            </x14:dxf>
          </x14:cfRule>
          <xm:sqref>P103:P104</xm:sqref>
        </x14:conditionalFormatting>
        <x14:conditionalFormatting xmlns:xm="http://schemas.microsoft.com/office/excel/2006/main">
          <x14:cfRule type="expression" priority="673" id="{BAEC9280-F404-4074-ACAF-4F63E3923BED}">
            <xm:f>$S$8='Assessment Details'!$Q$23</xm:f>
            <x14:dxf>
              <font>
                <color theme="0"/>
              </font>
              <fill>
                <patternFill>
                  <bgColor theme="0"/>
                </patternFill>
              </fill>
              <border>
                <vertical/>
                <horizontal/>
              </border>
            </x14:dxf>
          </x14:cfRule>
          <xm:sqref>P117:P118</xm:sqref>
        </x14:conditionalFormatting>
        <x14:conditionalFormatting xmlns:xm="http://schemas.microsoft.com/office/excel/2006/main">
          <x14:cfRule type="expression" priority="672" id="{B72FF84F-18DD-4E5D-AA5C-62AF8BEB20C0}">
            <xm:f>$S$8='Assessment Details'!$Q$23</xm:f>
            <x14:dxf>
              <border>
                <left style="thin">
                  <color theme="0"/>
                </left>
                <right style="thin">
                  <color theme="0"/>
                </right>
                <top style="thin">
                  <color theme="0"/>
                </top>
                <bottom style="thin">
                  <color theme="0"/>
                </bottom>
                <vertical/>
                <horizontal/>
              </border>
            </x14:dxf>
          </x14:cfRule>
          <xm:sqref>P117:P118</xm:sqref>
        </x14:conditionalFormatting>
        <x14:conditionalFormatting xmlns:xm="http://schemas.microsoft.com/office/excel/2006/main">
          <x14:cfRule type="expression" priority="666" id="{182A97A1-8919-4F98-85C4-E0C267AD6962}">
            <xm:f>$S$8='Assessment Details'!$Q$23</xm:f>
            <x14:dxf>
              <font>
                <color theme="0"/>
              </font>
              <fill>
                <patternFill>
                  <bgColor theme="0"/>
                </patternFill>
              </fill>
              <border>
                <vertical/>
                <horizontal/>
              </border>
            </x14:dxf>
          </x14:cfRule>
          <xm:sqref>P147:P148</xm:sqref>
        </x14:conditionalFormatting>
        <x14:conditionalFormatting xmlns:xm="http://schemas.microsoft.com/office/excel/2006/main">
          <x14:cfRule type="expression" priority="665" id="{D469E189-23D1-496D-8C4E-E6AA0AAB74A2}">
            <xm:f>$S$8='Assessment Details'!$Q$23</xm:f>
            <x14:dxf>
              <border>
                <left style="thin">
                  <color theme="0"/>
                </left>
                <right style="thin">
                  <color theme="0"/>
                </right>
                <top style="thin">
                  <color theme="0"/>
                </top>
                <bottom style="thin">
                  <color theme="0"/>
                </bottom>
                <vertical/>
                <horizontal/>
              </border>
            </x14:dxf>
          </x14:cfRule>
          <xm:sqref>P147:P148</xm:sqref>
        </x14:conditionalFormatting>
        <x14:conditionalFormatting xmlns:xm="http://schemas.microsoft.com/office/excel/2006/main">
          <x14:cfRule type="expression" priority="659" id="{288F7C53-6249-4956-B63F-F9F31F7E07EB}">
            <xm:f>$S$8='Assessment Details'!$Q$23</xm:f>
            <x14:dxf>
              <font>
                <color theme="0"/>
              </font>
              <fill>
                <patternFill>
                  <bgColor theme="0"/>
                </patternFill>
              </fill>
              <border>
                <vertical/>
                <horizontal/>
              </border>
            </x14:dxf>
          </x14:cfRule>
          <xm:sqref>P162:P163</xm:sqref>
        </x14:conditionalFormatting>
        <x14:conditionalFormatting xmlns:xm="http://schemas.microsoft.com/office/excel/2006/main">
          <x14:cfRule type="expression" priority="658" id="{2C5498B1-8C8E-47D5-A2F1-8DA973C74463}">
            <xm:f>$S$8='Assessment Details'!$Q$23</xm:f>
            <x14:dxf>
              <border>
                <left style="thin">
                  <color theme="0"/>
                </left>
                <right style="thin">
                  <color theme="0"/>
                </right>
                <top style="thin">
                  <color theme="0"/>
                </top>
                <bottom style="thin">
                  <color theme="0"/>
                </bottom>
                <vertical/>
                <horizontal/>
              </border>
            </x14:dxf>
          </x14:cfRule>
          <xm:sqref>P162:P163</xm:sqref>
        </x14:conditionalFormatting>
        <x14:conditionalFormatting xmlns:xm="http://schemas.microsoft.com/office/excel/2006/main">
          <x14:cfRule type="expression" priority="652" id="{74C1B7DC-0D98-4E3D-99BC-38306C50C7CC}">
            <xm:f>$S$8='Assessment Details'!$Q$23</xm:f>
            <x14:dxf>
              <font>
                <color theme="0"/>
              </font>
              <fill>
                <patternFill>
                  <bgColor theme="0"/>
                </patternFill>
              </fill>
              <border>
                <vertical/>
                <horizontal/>
              </border>
            </x14:dxf>
          </x14:cfRule>
          <xm:sqref>P194:P195</xm:sqref>
        </x14:conditionalFormatting>
        <x14:conditionalFormatting xmlns:xm="http://schemas.microsoft.com/office/excel/2006/main">
          <x14:cfRule type="expression" priority="651" id="{7ED43190-5314-425F-9359-B4E182C97424}">
            <xm:f>$S$8='Assessment Details'!$Q$23</xm:f>
            <x14:dxf>
              <border>
                <left style="thin">
                  <color theme="0"/>
                </left>
                <right style="thin">
                  <color theme="0"/>
                </right>
                <top style="thin">
                  <color theme="0"/>
                </top>
                <bottom style="thin">
                  <color theme="0"/>
                </bottom>
                <vertical/>
                <horizontal/>
              </border>
            </x14:dxf>
          </x14:cfRule>
          <xm:sqref>P194:P195</xm:sqref>
        </x14:conditionalFormatting>
        <x14:conditionalFormatting xmlns:xm="http://schemas.microsoft.com/office/excel/2006/main">
          <x14:cfRule type="expression" priority="645" id="{4A98C8D9-E7DE-435C-A48A-376A9AF70F60}">
            <xm:f>$S$8='Assessment Details'!$Q$23</xm:f>
            <x14:dxf>
              <font>
                <color theme="0"/>
              </font>
              <fill>
                <patternFill>
                  <bgColor theme="0"/>
                </patternFill>
              </fill>
              <border>
                <vertical/>
                <horizontal/>
              </border>
            </x14:dxf>
          </x14:cfRule>
          <xm:sqref>P211:P212</xm:sqref>
        </x14:conditionalFormatting>
        <x14:conditionalFormatting xmlns:xm="http://schemas.microsoft.com/office/excel/2006/main">
          <x14:cfRule type="expression" priority="644" id="{9A98555B-286B-4BCF-80C8-2808A450F13B}">
            <xm:f>$S$8='Assessment Details'!$Q$23</xm:f>
            <x14:dxf>
              <border>
                <left style="thin">
                  <color theme="0"/>
                </left>
                <right style="thin">
                  <color theme="0"/>
                </right>
                <top style="thin">
                  <color theme="0"/>
                </top>
                <bottom style="thin">
                  <color theme="0"/>
                </bottom>
                <vertical/>
                <horizontal/>
              </border>
            </x14:dxf>
          </x14:cfRule>
          <xm:sqref>P211:P212</xm:sqref>
        </x14:conditionalFormatting>
        <x14:conditionalFormatting xmlns:xm="http://schemas.microsoft.com/office/excel/2006/main">
          <x14:cfRule type="expression" priority="616" id="{8549E820-C377-48FD-A48B-8593111D4F8A}">
            <xm:f>$S$8='Assessment Details'!$Q$23</xm:f>
            <x14:dxf>
              <font>
                <color theme="0"/>
              </font>
              <fill>
                <patternFill>
                  <bgColor theme="0"/>
                </patternFill>
              </fill>
              <border>
                <vertical/>
                <horizontal/>
              </border>
            </x14:dxf>
          </x14:cfRule>
          <xm:sqref>W36:W37</xm:sqref>
        </x14:conditionalFormatting>
        <x14:conditionalFormatting xmlns:xm="http://schemas.microsoft.com/office/excel/2006/main">
          <x14:cfRule type="expression" priority="615" id="{3A81CF31-E8DE-433C-BBAB-BC4BC823E4CF}">
            <xm:f>$S$8='Assessment Details'!$Q$23</xm:f>
            <x14:dxf>
              <border>
                <left style="thin">
                  <color theme="0"/>
                </left>
                <right style="thin">
                  <color theme="0"/>
                </right>
                <top style="thin">
                  <color theme="0"/>
                </top>
                <bottom style="thin">
                  <color theme="0"/>
                </bottom>
                <vertical/>
                <horizontal/>
              </border>
            </x14:dxf>
          </x14:cfRule>
          <xm:sqref>W36:W37</xm:sqref>
        </x14:conditionalFormatting>
        <x14:conditionalFormatting xmlns:xm="http://schemas.microsoft.com/office/excel/2006/main">
          <x14:cfRule type="expression" priority="609" id="{56AD95EA-5B74-4280-B8EE-32D6E0A2A840}">
            <xm:f>$S$8='Assessment Details'!$Q$23</xm:f>
            <x14:dxf>
              <font>
                <color theme="0"/>
              </font>
              <fill>
                <patternFill>
                  <bgColor theme="0"/>
                </patternFill>
              </fill>
              <border>
                <vertical/>
                <horizontal/>
              </border>
            </x14:dxf>
          </x14:cfRule>
          <xm:sqref>W64:W65</xm:sqref>
        </x14:conditionalFormatting>
        <x14:conditionalFormatting xmlns:xm="http://schemas.microsoft.com/office/excel/2006/main">
          <x14:cfRule type="expression" priority="608" id="{B29C4BCE-0079-496D-8EDC-BDB4F14A6BE5}">
            <xm:f>$S$8='Assessment Details'!$Q$23</xm:f>
            <x14:dxf>
              <border>
                <left style="thin">
                  <color theme="0"/>
                </left>
                <right style="thin">
                  <color theme="0"/>
                </right>
                <top style="thin">
                  <color theme="0"/>
                </top>
                <bottom style="thin">
                  <color theme="0"/>
                </bottom>
                <vertical/>
                <horizontal/>
              </border>
            </x14:dxf>
          </x14:cfRule>
          <xm:sqref>W64:W65</xm:sqref>
        </x14:conditionalFormatting>
        <x14:conditionalFormatting xmlns:xm="http://schemas.microsoft.com/office/excel/2006/main">
          <x14:cfRule type="expression" priority="602" id="{703C8C6D-B206-4EA6-8EF5-42C47E7733B6}">
            <xm:f>$S$8='Assessment Details'!$Q$23</xm:f>
            <x14:dxf>
              <font>
                <color theme="0"/>
              </font>
              <fill>
                <patternFill>
                  <bgColor theme="0"/>
                </patternFill>
              </fill>
              <border>
                <vertical/>
                <horizontal/>
              </border>
            </x14:dxf>
          </x14:cfRule>
          <xm:sqref>W94:W95</xm:sqref>
        </x14:conditionalFormatting>
        <x14:conditionalFormatting xmlns:xm="http://schemas.microsoft.com/office/excel/2006/main">
          <x14:cfRule type="expression" priority="601" id="{FCC3926C-CE4D-447F-B735-42A02E10F3CC}">
            <xm:f>$S$8='Assessment Details'!$Q$23</xm:f>
            <x14:dxf>
              <border>
                <left style="thin">
                  <color theme="0"/>
                </left>
                <right style="thin">
                  <color theme="0"/>
                </right>
                <top style="thin">
                  <color theme="0"/>
                </top>
                <bottom style="thin">
                  <color theme="0"/>
                </bottom>
                <vertical/>
                <horizontal/>
              </border>
            </x14:dxf>
          </x14:cfRule>
          <xm:sqref>W94:W95</xm:sqref>
        </x14:conditionalFormatting>
        <x14:conditionalFormatting xmlns:xm="http://schemas.microsoft.com/office/excel/2006/main">
          <x14:cfRule type="expression" priority="595" id="{34E6D511-70AB-4E9D-B5C3-3CA4966EA31C}">
            <xm:f>$S$8='Assessment Details'!$Q$23</xm:f>
            <x14:dxf>
              <font>
                <color theme="0"/>
              </font>
              <fill>
                <patternFill>
                  <bgColor theme="0"/>
                </patternFill>
              </fill>
              <border>
                <vertical/>
                <horizontal/>
              </border>
            </x14:dxf>
          </x14:cfRule>
          <xm:sqref>W103:W104</xm:sqref>
        </x14:conditionalFormatting>
        <x14:conditionalFormatting xmlns:xm="http://schemas.microsoft.com/office/excel/2006/main">
          <x14:cfRule type="expression" priority="594" id="{B7DC1EBD-D6C5-4B8C-8B3A-9E4F0FEC1CB8}">
            <xm:f>$S$8='Assessment Details'!$Q$23</xm:f>
            <x14:dxf>
              <border>
                <left style="thin">
                  <color theme="0"/>
                </left>
                <right style="thin">
                  <color theme="0"/>
                </right>
                <top style="thin">
                  <color theme="0"/>
                </top>
                <bottom style="thin">
                  <color theme="0"/>
                </bottom>
                <vertical/>
                <horizontal/>
              </border>
            </x14:dxf>
          </x14:cfRule>
          <xm:sqref>W103:W104</xm:sqref>
        </x14:conditionalFormatting>
        <x14:conditionalFormatting xmlns:xm="http://schemas.microsoft.com/office/excel/2006/main">
          <x14:cfRule type="expression" priority="588" id="{F94B71A7-BD36-4236-A6DC-1AAF0A79DA9C}">
            <xm:f>$S$8='Assessment Details'!$Q$23</xm:f>
            <x14:dxf>
              <font>
                <color theme="0"/>
              </font>
              <fill>
                <patternFill>
                  <bgColor theme="0"/>
                </patternFill>
              </fill>
              <border>
                <vertical/>
                <horizontal/>
              </border>
            </x14:dxf>
          </x14:cfRule>
          <xm:sqref>W117:W118</xm:sqref>
        </x14:conditionalFormatting>
        <x14:conditionalFormatting xmlns:xm="http://schemas.microsoft.com/office/excel/2006/main">
          <x14:cfRule type="expression" priority="587" id="{33E3661B-D345-4D41-B2F3-A7D4897D48C9}">
            <xm:f>$S$8='Assessment Details'!$Q$23</xm:f>
            <x14:dxf>
              <border>
                <left style="thin">
                  <color theme="0"/>
                </left>
                <right style="thin">
                  <color theme="0"/>
                </right>
                <top style="thin">
                  <color theme="0"/>
                </top>
                <bottom style="thin">
                  <color theme="0"/>
                </bottom>
                <vertical/>
                <horizontal/>
              </border>
            </x14:dxf>
          </x14:cfRule>
          <xm:sqref>W117:W118</xm:sqref>
        </x14:conditionalFormatting>
        <x14:conditionalFormatting xmlns:xm="http://schemas.microsoft.com/office/excel/2006/main">
          <x14:cfRule type="expression" priority="581" id="{C86AD676-9B60-41E2-B9D1-2A4407514768}">
            <xm:f>$S$8='Assessment Details'!$Q$23</xm:f>
            <x14:dxf>
              <font>
                <color theme="0"/>
              </font>
              <fill>
                <patternFill>
                  <bgColor theme="0"/>
                </patternFill>
              </fill>
              <border>
                <vertical/>
                <horizontal/>
              </border>
            </x14:dxf>
          </x14:cfRule>
          <xm:sqref>W147:W148</xm:sqref>
        </x14:conditionalFormatting>
        <x14:conditionalFormatting xmlns:xm="http://schemas.microsoft.com/office/excel/2006/main">
          <x14:cfRule type="expression" priority="580" id="{B009EFF1-5C4E-404B-97CB-A75E98C24251}">
            <xm:f>$S$8='Assessment Details'!$Q$23</xm:f>
            <x14:dxf>
              <border>
                <left style="thin">
                  <color theme="0"/>
                </left>
                <right style="thin">
                  <color theme="0"/>
                </right>
                <top style="thin">
                  <color theme="0"/>
                </top>
                <bottom style="thin">
                  <color theme="0"/>
                </bottom>
                <vertical/>
                <horizontal/>
              </border>
            </x14:dxf>
          </x14:cfRule>
          <xm:sqref>W147:W148</xm:sqref>
        </x14:conditionalFormatting>
        <x14:conditionalFormatting xmlns:xm="http://schemas.microsoft.com/office/excel/2006/main">
          <x14:cfRule type="expression" priority="574" id="{6323C794-8A7C-4992-8E90-CAF3FDDFA08D}">
            <xm:f>$S$8='Assessment Details'!$Q$23</xm:f>
            <x14:dxf>
              <font>
                <color theme="0"/>
              </font>
              <fill>
                <patternFill>
                  <bgColor theme="0"/>
                </patternFill>
              </fill>
              <border>
                <vertical/>
                <horizontal/>
              </border>
            </x14:dxf>
          </x14:cfRule>
          <xm:sqref>W162:W163</xm:sqref>
        </x14:conditionalFormatting>
        <x14:conditionalFormatting xmlns:xm="http://schemas.microsoft.com/office/excel/2006/main">
          <x14:cfRule type="expression" priority="573" id="{F0873F40-3A68-4411-B534-637CE6F9DFA3}">
            <xm:f>$S$8='Assessment Details'!$Q$23</xm:f>
            <x14:dxf>
              <border>
                <left style="thin">
                  <color theme="0"/>
                </left>
                <right style="thin">
                  <color theme="0"/>
                </right>
                <top style="thin">
                  <color theme="0"/>
                </top>
                <bottom style="thin">
                  <color theme="0"/>
                </bottom>
                <vertical/>
                <horizontal/>
              </border>
            </x14:dxf>
          </x14:cfRule>
          <xm:sqref>W162:W163</xm:sqref>
        </x14:conditionalFormatting>
        <x14:conditionalFormatting xmlns:xm="http://schemas.microsoft.com/office/excel/2006/main">
          <x14:cfRule type="expression" priority="567" id="{FCD05809-E385-43B1-BEE9-32BBF65D574F}">
            <xm:f>$S$8='Assessment Details'!$Q$23</xm:f>
            <x14:dxf>
              <font>
                <color theme="0"/>
              </font>
              <fill>
                <patternFill>
                  <bgColor theme="0"/>
                </patternFill>
              </fill>
              <border>
                <vertical/>
                <horizontal/>
              </border>
            </x14:dxf>
          </x14:cfRule>
          <xm:sqref>W194:W195</xm:sqref>
        </x14:conditionalFormatting>
        <x14:conditionalFormatting xmlns:xm="http://schemas.microsoft.com/office/excel/2006/main">
          <x14:cfRule type="expression" priority="566" id="{7FDAF1A2-2419-4B82-B8EF-8158B62BB591}">
            <xm:f>$S$8='Assessment Details'!$Q$23</xm:f>
            <x14:dxf>
              <border>
                <left style="thin">
                  <color theme="0"/>
                </left>
                <right style="thin">
                  <color theme="0"/>
                </right>
                <top style="thin">
                  <color theme="0"/>
                </top>
                <bottom style="thin">
                  <color theme="0"/>
                </bottom>
                <vertical/>
                <horizontal/>
              </border>
            </x14:dxf>
          </x14:cfRule>
          <xm:sqref>W194:W195</xm:sqref>
        </x14:conditionalFormatting>
        <x14:conditionalFormatting xmlns:xm="http://schemas.microsoft.com/office/excel/2006/main">
          <x14:cfRule type="expression" priority="560" id="{A07BA65D-7D48-4F65-A996-E0325805E0BB}">
            <xm:f>$S$8='Assessment Details'!$Q$23</xm:f>
            <x14:dxf>
              <font>
                <color theme="0"/>
              </font>
              <fill>
                <patternFill>
                  <bgColor theme="0"/>
                </patternFill>
              </fill>
              <border>
                <vertical/>
                <horizontal/>
              </border>
            </x14:dxf>
          </x14:cfRule>
          <xm:sqref>W211:W212</xm:sqref>
        </x14:conditionalFormatting>
        <x14:conditionalFormatting xmlns:xm="http://schemas.microsoft.com/office/excel/2006/main">
          <x14:cfRule type="expression" priority="559" id="{E1516C20-E913-452D-8F9C-E50184B72040}">
            <xm:f>$S$8='Assessment Details'!$Q$23</xm:f>
            <x14:dxf>
              <border>
                <left style="thin">
                  <color theme="0"/>
                </left>
                <right style="thin">
                  <color theme="0"/>
                </right>
                <top style="thin">
                  <color theme="0"/>
                </top>
                <bottom style="thin">
                  <color theme="0"/>
                </bottom>
                <vertical/>
                <horizontal/>
              </border>
            </x14:dxf>
          </x14:cfRule>
          <xm:sqref>W211:W212</xm:sqref>
        </x14:conditionalFormatting>
        <x14:conditionalFormatting xmlns:xm="http://schemas.microsoft.com/office/excel/2006/main">
          <x14:cfRule type="expression" priority="5345" id="{1A60305C-32B7-4D4F-9804-69A16324B9A7}">
            <xm:f>$S$8='Assessment Details'!$Q$23</xm:f>
            <x14:dxf>
              <border>
                <vertical/>
                <horizontal/>
              </border>
            </x14:dxf>
          </x14:cfRule>
          <xm:sqref>N9:S9</xm:sqref>
        </x14:conditionalFormatting>
        <x14:conditionalFormatting xmlns:xm="http://schemas.microsoft.com/office/excel/2006/main">
          <x14:cfRule type="expression" priority="291" id="{316732AE-0C92-4BAF-87A4-73920F4C29A8}">
            <xm:f>$S$8='Assessment Details'!$Q$23</xm:f>
            <x14:dxf>
              <font>
                <color theme="0"/>
              </font>
              <fill>
                <patternFill>
                  <bgColor theme="0"/>
                </patternFill>
              </fill>
              <border>
                <vertical/>
                <horizontal/>
              </border>
            </x14:dxf>
          </x14:cfRule>
          <xm:sqref>N39:N40</xm:sqref>
        </x14:conditionalFormatting>
        <x14:conditionalFormatting xmlns:xm="http://schemas.microsoft.com/office/excel/2006/main">
          <x14:cfRule type="expression" priority="290" id="{349D7929-A46C-4B01-9FA8-9196D94CB8E9}">
            <xm:f>$S$8='Assessment Details'!$Q$23</xm:f>
            <x14:dxf>
              <border>
                <left style="thin">
                  <color theme="0"/>
                </left>
                <right style="thin">
                  <color theme="0"/>
                </right>
                <top style="thin">
                  <color theme="0"/>
                </top>
                <bottom style="thin">
                  <color theme="0"/>
                </bottom>
                <vertical/>
                <horizontal/>
              </border>
            </x14:dxf>
          </x14:cfRule>
          <xm:sqref>N39:N40</xm:sqref>
        </x14:conditionalFormatting>
        <x14:conditionalFormatting xmlns:xm="http://schemas.microsoft.com/office/excel/2006/main">
          <x14:cfRule type="expression" priority="284" id="{EE5D9CA1-F0E4-419F-910C-6DE85D74E322}">
            <xm:f>$Z$8='Assessment Details'!$Q$23</xm:f>
            <x14:dxf>
              <font>
                <color theme="0"/>
              </font>
              <fill>
                <patternFill>
                  <bgColor theme="0"/>
                </patternFill>
              </fill>
            </x14:dxf>
          </x14:cfRule>
          <xm:sqref>U39:U40</xm:sqref>
        </x14:conditionalFormatting>
        <x14:conditionalFormatting xmlns:xm="http://schemas.microsoft.com/office/excel/2006/main">
          <x14:cfRule type="expression" priority="283" id="{0ED5B0BE-EB5F-459A-97B7-CB07977EF185}">
            <xm:f>$Z$8='Assessment Details'!$Q$23</xm:f>
            <x14:dxf>
              <border>
                <left style="thin">
                  <color theme="0"/>
                </left>
                <right style="thin">
                  <color theme="0"/>
                </right>
                <top style="thin">
                  <color theme="0"/>
                </top>
                <bottom style="thin">
                  <color theme="0"/>
                </bottom>
                <vertical/>
                <horizontal/>
              </border>
            </x14:dxf>
          </x14:cfRule>
          <xm:sqref>U39:U40</xm:sqref>
        </x14:conditionalFormatting>
        <x14:conditionalFormatting xmlns:xm="http://schemas.microsoft.com/office/excel/2006/main">
          <x14:cfRule type="expression" priority="264" id="{65CA73E6-BD38-436B-8667-DF9AAF8E6316}">
            <xm:f>$S$8='Assessment Details'!$Q$23</xm:f>
            <x14:dxf>
              <font>
                <color theme="0"/>
              </font>
              <fill>
                <patternFill>
                  <bgColor theme="0"/>
                </patternFill>
              </fill>
              <border>
                <vertical/>
                <horizontal/>
              </border>
            </x14:dxf>
          </x14:cfRule>
          <xm:sqref>Q154:R154</xm:sqref>
        </x14:conditionalFormatting>
        <x14:conditionalFormatting xmlns:xm="http://schemas.microsoft.com/office/excel/2006/main">
          <x14:cfRule type="expression" priority="263" id="{3A565662-0B6D-4CA4-945C-1FAF4D2A9455}">
            <xm:f>$S$8='Assessment Details'!$Q$23</xm:f>
            <x14:dxf>
              <border>
                <left style="thin">
                  <color theme="0"/>
                </left>
                <right style="thin">
                  <color theme="0"/>
                </right>
                <top style="thin">
                  <color theme="0"/>
                </top>
                <bottom style="thin">
                  <color theme="0"/>
                </bottom>
                <vertical/>
                <horizontal/>
              </border>
            </x14:dxf>
          </x14:cfRule>
          <xm:sqref>Q154:R154</xm:sqref>
        </x14:conditionalFormatting>
        <x14:conditionalFormatting xmlns:xm="http://schemas.microsoft.com/office/excel/2006/main">
          <x14:cfRule type="expression" priority="255" id="{08BEB683-C2B8-49B9-8E2B-8E5DF0EAEDE1}">
            <xm:f>$S$8='Assessment Details'!$Q$23</xm:f>
            <x14:dxf>
              <font>
                <color theme="0"/>
              </font>
              <fill>
                <patternFill>
                  <bgColor theme="0"/>
                </patternFill>
              </fill>
              <border>
                <vertical/>
                <horizontal/>
              </border>
            </x14:dxf>
          </x14:cfRule>
          <xm:sqref>N154</xm:sqref>
        </x14:conditionalFormatting>
        <x14:conditionalFormatting xmlns:xm="http://schemas.microsoft.com/office/excel/2006/main">
          <x14:cfRule type="expression" priority="254" id="{B351332A-CDBD-4BF2-B68B-54A083937E14}">
            <xm:f>$S$8='Assessment Details'!$Q$23</xm:f>
            <x14:dxf>
              <border>
                <left style="thin">
                  <color theme="0"/>
                </left>
                <right style="thin">
                  <color theme="0"/>
                </right>
                <top style="thin">
                  <color theme="0"/>
                </top>
                <bottom style="thin">
                  <color theme="0"/>
                </bottom>
                <vertical/>
                <horizontal/>
              </border>
            </x14:dxf>
          </x14:cfRule>
          <xm:sqref>N154</xm:sqref>
        </x14:conditionalFormatting>
        <x14:conditionalFormatting xmlns:xm="http://schemas.microsoft.com/office/excel/2006/main">
          <x14:cfRule type="expression" priority="247" id="{54BAFC6B-26D6-45D6-B24F-D347232A6286}">
            <xm:f>$Z$8='Assessment Details'!$Q$23</xm:f>
            <x14:dxf>
              <font>
                <color theme="0"/>
              </font>
              <fill>
                <patternFill>
                  <bgColor theme="0"/>
                </patternFill>
              </fill>
            </x14:dxf>
          </x14:cfRule>
          <xm:sqref>X154:Y154</xm:sqref>
        </x14:conditionalFormatting>
        <x14:conditionalFormatting xmlns:xm="http://schemas.microsoft.com/office/excel/2006/main">
          <x14:cfRule type="expression" priority="246" id="{4D014AA0-BD19-4252-AD63-B82775449FD7}">
            <xm:f>$Z$8='Assessment Details'!$Q$23</xm:f>
            <x14:dxf>
              <border>
                <left style="thin">
                  <color theme="0"/>
                </left>
                <right style="thin">
                  <color theme="0"/>
                </right>
                <top style="thin">
                  <color theme="0"/>
                </top>
                <bottom style="thin">
                  <color theme="0"/>
                </bottom>
                <vertical/>
                <horizontal/>
              </border>
            </x14:dxf>
          </x14:cfRule>
          <xm:sqref>X154:Y154</xm:sqref>
        </x14:conditionalFormatting>
        <x14:conditionalFormatting xmlns:xm="http://schemas.microsoft.com/office/excel/2006/main">
          <x14:cfRule type="expression" priority="242" id="{44621CD4-E4DB-4918-8BED-0B3E67666858}">
            <xm:f>$Z$8='Assessment Details'!$Q$23</xm:f>
            <x14:dxf>
              <font>
                <color theme="0"/>
              </font>
              <fill>
                <patternFill>
                  <bgColor theme="0"/>
                </patternFill>
              </fill>
            </x14:dxf>
          </x14:cfRule>
          <xm:sqref>U154</xm:sqref>
        </x14:conditionalFormatting>
        <x14:conditionalFormatting xmlns:xm="http://schemas.microsoft.com/office/excel/2006/main">
          <x14:cfRule type="expression" priority="241" id="{DFF0AE6B-5353-4A62-8464-F3E14179ED2E}">
            <xm:f>$Z$8='Assessment Details'!$Q$23</xm:f>
            <x14:dxf>
              <border>
                <left style="thin">
                  <color theme="0"/>
                </left>
                <right style="thin">
                  <color theme="0"/>
                </right>
                <top style="thin">
                  <color theme="0"/>
                </top>
                <bottom style="thin">
                  <color theme="0"/>
                </bottom>
                <vertical/>
                <horizontal/>
              </border>
            </x14:dxf>
          </x14:cfRule>
          <xm:sqref>U154</xm:sqref>
        </x14:conditionalFormatting>
        <x14:conditionalFormatting xmlns:xm="http://schemas.microsoft.com/office/excel/2006/main">
          <x14:cfRule type="expression" priority="228" id="{CB642F8B-2E61-4CCA-845E-E9BF5EBC7179}">
            <xm:f>$S$8='Assessment Details'!$Q$23</xm:f>
            <x14:dxf>
              <font>
                <color theme="0"/>
              </font>
              <fill>
                <patternFill>
                  <bgColor theme="0"/>
                </patternFill>
              </fill>
              <border>
                <vertical/>
                <horizontal/>
              </border>
            </x14:dxf>
          </x14:cfRule>
          <xm:sqref>Q166</xm:sqref>
        </x14:conditionalFormatting>
        <x14:conditionalFormatting xmlns:xm="http://schemas.microsoft.com/office/excel/2006/main">
          <x14:cfRule type="expression" priority="227" id="{1A8B2317-D8BB-49D8-B51C-6BCC62A1BB7D}">
            <xm:f>$S$8='Assessment Details'!$Q$23</xm:f>
            <x14:dxf>
              <border>
                <left style="thin">
                  <color theme="0"/>
                </left>
                <right style="thin">
                  <color theme="0"/>
                </right>
                <top style="thin">
                  <color theme="0"/>
                </top>
                <bottom style="thin">
                  <color theme="0"/>
                </bottom>
                <vertical/>
                <horizontal/>
              </border>
            </x14:dxf>
          </x14:cfRule>
          <xm:sqref>Q166</xm:sqref>
        </x14:conditionalFormatting>
        <x14:conditionalFormatting xmlns:xm="http://schemas.microsoft.com/office/excel/2006/main">
          <x14:cfRule type="expression" priority="219" id="{934EF046-70D2-46EA-81CD-20AF2A8CEC09}">
            <xm:f>$S$8='Assessment Details'!$Q$23</xm:f>
            <x14:dxf>
              <font>
                <color theme="0"/>
              </font>
              <fill>
                <patternFill>
                  <bgColor theme="0"/>
                </patternFill>
              </fill>
              <border>
                <vertical/>
                <horizontal/>
              </border>
            </x14:dxf>
          </x14:cfRule>
          <xm:sqref>N166</xm:sqref>
        </x14:conditionalFormatting>
        <x14:conditionalFormatting xmlns:xm="http://schemas.microsoft.com/office/excel/2006/main">
          <x14:cfRule type="expression" priority="218" id="{09CA425F-C18C-4B7E-B211-7F4BD61EB152}">
            <xm:f>$S$8='Assessment Details'!$Q$23</xm:f>
            <x14:dxf>
              <border>
                <left style="thin">
                  <color theme="0"/>
                </left>
                <right style="thin">
                  <color theme="0"/>
                </right>
                <top style="thin">
                  <color theme="0"/>
                </top>
                <bottom style="thin">
                  <color theme="0"/>
                </bottom>
                <vertical/>
                <horizontal/>
              </border>
            </x14:dxf>
          </x14:cfRule>
          <xm:sqref>N166</xm:sqref>
        </x14:conditionalFormatting>
        <x14:conditionalFormatting xmlns:xm="http://schemas.microsoft.com/office/excel/2006/main">
          <x14:cfRule type="expression" priority="211" id="{B2FC46A1-2C92-496B-9E89-791D09A9AF0B}">
            <xm:f>$Z$8='Assessment Details'!$Q$23</xm:f>
            <x14:dxf>
              <font>
                <color theme="0"/>
              </font>
              <fill>
                <patternFill>
                  <bgColor theme="0"/>
                </patternFill>
              </fill>
            </x14:dxf>
          </x14:cfRule>
          <xm:sqref>X166:Y166</xm:sqref>
        </x14:conditionalFormatting>
        <x14:conditionalFormatting xmlns:xm="http://schemas.microsoft.com/office/excel/2006/main">
          <x14:cfRule type="expression" priority="210" id="{A1E9EE4F-CE82-46D0-BBA8-D422B26625B9}">
            <xm:f>$Z$8='Assessment Details'!$Q$23</xm:f>
            <x14:dxf>
              <border>
                <left style="thin">
                  <color theme="0"/>
                </left>
                <right style="thin">
                  <color theme="0"/>
                </right>
                <top style="thin">
                  <color theme="0"/>
                </top>
                <bottom style="thin">
                  <color theme="0"/>
                </bottom>
                <vertical/>
                <horizontal/>
              </border>
            </x14:dxf>
          </x14:cfRule>
          <xm:sqref>X166:Y166</xm:sqref>
        </x14:conditionalFormatting>
        <x14:conditionalFormatting xmlns:xm="http://schemas.microsoft.com/office/excel/2006/main">
          <x14:cfRule type="expression" priority="206" id="{645F55AC-AEC3-49A7-9FF8-9C56EC37578F}">
            <xm:f>$Z$8='Assessment Details'!$Q$23</xm:f>
            <x14:dxf>
              <font>
                <color theme="0"/>
              </font>
              <fill>
                <patternFill>
                  <bgColor theme="0"/>
                </patternFill>
              </fill>
            </x14:dxf>
          </x14:cfRule>
          <xm:sqref>U166</xm:sqref>
        </x14:conditionalFormatting>
        <x14:conditionalFormatting xmlns:xm="http://schemas.microsoft.com/office/excel/2006/main">
          <x14:cfRule type="expression" priority="205" id="{E3A3E958-208D-4007-9FEE-45A1BE170DA7}">
            <xm:f>$Z$8='Assessment Details'!$Q$23</xm:f>
            <x14:dxf>
              <border>
                <left style="thin">
                  <color theme="0"/>
                </left>
                <right style="thin">
                  <color theme="0"/>
                </right>
                <top style="thin">
                  <color theme="0"/>
                </top>
                <bottom style="thin">
                  <color theme="0"/>
                </bottom>
                <vertical/>
                <horizontal/>
              </border>
            </x14:dxf>
          </x14:cfRule>
          <xm:sqref>U166</xm:sqref>
        </x14:conditionalFormatting>
        <x14:conditionalFormatting xmlns:xm="http://schemas.microsoft.com/office/excel/2006/main">
          <x14:cfRule type="expression" priority="190" id="{040902CE-9860-413B-A8E8-2BA69DC644F4}">
            <xm:f>$S$8='Assessment Details'!$Q$23</xm:f>
            <x14:dxf>
              <font>
                <color theme="0"/>
              </font>
              <fill>
                <patternFill>
                  <bgColor theme="0"/>
                </patternFill>
              </fill>
              <border>
                <vertical/>
                <horizontal/>
              </border>
            </x14:dxf>
          </x14:cfRule>
          <xm:sqref>N70</xm:sqref>
        </x14:conditionalFormatting>
        <x14:conditionalFormatting xmlns:xm="http://schemas.microsoft.com/office/excel/2006/main">
          <x14:cfRule type="expression" priority="189" id="{7D7C6925-A257-49BE-A707-A28D0318336B}">
            <xm:f>$S$8='Assessment Details'!$Q$23</xm:f>
            <x14:dxf>
              <border>
                <left style="thin">
                  <color theme="0"/>
                </left>
                <right style="thin">
                  <color theme="0"/>
                </right>
                <top style="thin">
                  <color theme="0"/>
                </top>
                <bottom style="thin">
                  <color theme="0"/>
                </bottom>
                <vertical/>
                <horizontal/>
              </border>
            </x14:dxf>
          </x14:cfRule>
          <xm:sqref>N70</xm:sqref>
        </x14:conditionalFormatting>
        <x14:conditionalFormatting xmlns:xm="http://schemas.microsoft.com/office/excel/2006/main">
          <x14:cfRule type="expression" priority="179" id="{211DBCB8-0A17-42FE-9246-881838AB152E}">
            <xm:f>$Z$8='Assessment Details'!$Q$23</xm:f>
            <x14:dxf>
              <font>
                <color theme="0"/>
              </font>
              <fill>
                <patternFill>
                  <bgColor theme="0"/>
                </patternFill>
              </fill>
              <border>
                <left/>
                <right/>
                <top/>
                <bottom/>
              </border>
            </x14:dxf>
          </x14:cfRule>
          <xm:sqref>U70</xm:sqref>
        </x14:conditionalFormatting>
        <x14:conditionalFormatting xmlns:xm="http://schemas.microsoft.com/office/excel/2006/main">
          <x14:cfRule type="expression" priority="181" id="{37EEC3DA-3771-43C1-84AB-4DF49BD6D9B7}">
            <xm:f>$Z$8='Assessment Details'!$Q$23</xm:f>
            <x14:dxf>
              <font>
                <color theme="0"/>
              </font>
              <fill>
                <patternFill>
                  <bgColor theme="0"/>
                </patternFill>
              </fill>
            </x14:dxf>
          </x14:cfRule>
          <xm:sqref>U70</xm:sqref>
        </x14:conditionalFormatting>
        <x14:conditionalFormatting xmlns:xm="http://schemas.microsoft.com/office/excel/2006/main">
          <x14:cfRule type="expression" priority="180" id="{0341C9CF-C989-455B-BED3-3F5C54F48A03}">
            <xm:f>$Z$8='Assessment Details'!$Q$23</xm:f>
            <x14:dxf>
              <border>
                <left style="thin">
                  <color theme="0"/>
                </left>
                <right style="thin">
                  <color theme="0"/>
                </right>
                <top style="thin">
                  <color theme="0"/>
                </top>
                <bottom style="thin">
                  <color theme="0"/>
                </bottom>
                <vertical/>
                <horizontal/>
              </border>
            </x14:dxf>
          </x14:cfRule>
          <xm:sqref>U70</xm:sqref>
        </x14:conditionalFormatting>
        <x14:conditionalFormatting xmlns:xm="http://schemas.microsoft.com/office/excel/2006/main">
          <x14:cfRule type="expression" priority="145" id="{59F487A5-8B2D-4BD5-88C6-FFF118AED0A6}">
            <xm:f>$S$8='Assessment Details'!$Q$23</xm:f>
            <x14:dxf>
              <font>
                <color theme="0"/>
              </font>
              <fill>
                <patternFill>
                  <bgColor theme="0"/>
                </patternFill>
              </fill>
              <border>
                <left/>
                <right/>
                <top/>
                <bottom/>
                <vertical/>
                <horizontal/>
              </border>
            </x14:dxf>
          </x14:cfRule>
          <xm:sqref>O106:S106</xm:sqref>
        </x14:conditionalFormatting>
        <x14:conditionalFormatting xmlns:xm="http://schemas.microsoft.com/office/excel/2006/main">
          <x14:cfRule type="expression" priority="144" id="{2320E191-1905-4394-BA53-DCDC25252364}">
            <xm:f>$Z$8='Assessment Details'!$Q$23</xm:f>
            <x14:dxf>
              <font>
                <color theme="0"/>
              </font>
              <fill>
                <patternFill>
                  <bgColor theme="0"/>
                </patternFill>
              </fill>
              <border>
                <left/>
                <right/>
                <top/>
                <bottom/>
              </border>
            </x14:dxf>
          </x14:cfRule>
          <xm:sqref>V106:Z106</xm:sqref>
        </x14:conditionalFormatting>
        <x14:conditionalFormatting xmlns:xm="http://schemas.microsoft.com/office/excel/2006/main">
          <x14:cfRule type="expression" priority="163" id="{FAD9C128-0C7C-438D-A6E0-664F9EFCF777}">
            <xm:f>$S$8='Assessment Details'!$Q$23</xm:f>
            <x14:dxf>
              <font>
                <color theme="0"/>
              </font>
              <fill>
                <patternFill>
                  <bgColor theme="0"/>
                </patternFill>
              </fill>
              <border>
                <vertical/>
                <horizontal/>
              </border>
            </x14:dxf>
          </x14:cfRule>
          <xm:sqref>Q106:R106</xm:sqref>
        </x14:conditionalFormatting>
        <x14:conditionalFormatting xmlns:xm="http://schemas.microsoft.com/office/excel/2006/main">
          <x14:cfRule type="expression" priority="162" id="{0F82769C-0662-4902-9CE8-CBD8E6C78C1F}">
            <xm:f>$S$8='Assessment Details'!$Q$23</xm:f>
            <x14:dxf>
              <border>
                <left style="thin">
                  <color theme="0"/>
                </left>
                <right style="thin">
                  <color theme="0"/>
                </right>
                <top style="thin">
                  <color theme="0"/>
                </top>
                <bottom style="thin">
                  <color theme="0"/>
                </bottom>
                <vertical/>
                <horizontal/>
              </border>
            </x14:dxf>
          </x14:cfRule>
          <xm:sqref>Q106:R106</xm:sqref>
        </x14:conditionalFormatting>
        <x14:conditionalFormatting xmlns:xm="http://schemas.microsoft.com/office/excel/2006/main">
          <x14:cfRule type="expression" priority="161" id="{221EEEEE-A194-4069-968F-DD9AB90A71E1}">
            <xm:f>$Z$8='Assessment Details'!$Q$23</xm:f>
            <x14:dxf>
              <font>
                <color theme="0"/>
              </font>
              <fill>
                <patternFill>
                  <bgColor theme="0"/>
                </patternFill>
              </fill>
            </x14:dxf>
          </x14:cfRule>
          <xm:sqref>X106:Y106</xm:sqref>
        </x14:conditionalFormatting>
        <x14:conditionalFormatting xmlns:xm="http://schemas.microsoft.com/office/excel/2006/main">
          <x14:cfRule type="expression" priority="160" id="{E75D99F3-6014-48CB-86CE-FECF76B23D21}">
            <xm:f>$Z$8='Assessment Details'!$Q$23</xm:f>
            <x14:dxf>
              <border>
                <left style="thin">
                  <color theme="0"/>
                </left>
                <right style="thin">
                  <color theme="0"/>
                </right>
                <top style="thin">
                  <color theme="0"/>
                </top>
                <bottom style="thin">
                  <color theme="0"/>
                </bottom>
                <vertical/>
                <horizontal/>
              </border>
            </x14:dxf>
          </x14:cfRule>
          <xm:sqref>X106:Y106</xm:sqref>
        </x14:conditionalFormatting>
        <x14:conditionalFormatting xmlns:xm="http://schemas.microsoft.com/office/excel/2006/main">
          <x14:cfRule type="expression" priority="104" id="{753631EF-28F7-4CED-8C27-9CDB1948039F}">
            <xm:f>$S$8='Assessment Details'!$Q$23</xm:f>
            <x14:dxf>
              <font>
                <color theme="0"/>
              </font>
              <fill>
                <patternFill>
                  <bgColor theme="0"/>
                </patternFill>
              </fill>
              <border>
                <left/>
                <right/>
                <top/>
                <bottom/>
                <vertical/>
                <horizontal/>
              </border>
            </x14:dxf>
          </x14:cfRule>
          <xm:sqref>O150:S150</xm:sqref>
        </x14:conditionalFormatting>
        <x14:conditionalFormatting xmlns:xm="http://schemas.microsoft.com/office/excel/2006/main">
          <x14:cfRule type="expression" priority="103" id="{B8C347FC-5C72-466C-AE24-F7F42136F625}">
            <xm:f>$Z$8='Assessment Details'!$Q$23</xm:f>
            <x14:dxf>
              <font>
                <color theme="0"/>
              </font>
              <fill>
                <patternFill>
                  <bgColor theme="0"/>
                </patternFill>
              </fill>
              <border>
                <left/>
                <right/>
                <top/>
                <bottom/>
              </border>
            </x14:dxf>
          </x14:cfRule>
          <xm:sqref>V150:Z150</xm:sqref>
        </x14:conditionalFormatting>
        <x14:conditionalFormatting xmlns:xm="http://schemas.microsoft.com/office/excel/2006/main">
          <x14:cfRule type="expression" priority="122" id="{8C2205B5-D082-41BE-9828-54B10EEB7ABF}">
            <xm:f>$S$8='Assessment Details'!$Q$23</xm:f>
            <x14:dxf>
              <font>
                <color theme="0"/>
              </font>
              <fill>
                <patternFill>
                  <bgColor theme="0"/>
                </patternFill>
              </fill>
              <border>
                <vertical/>
                <horizontal/>
              </border>
            </x14:dxf>
          </x14:cfRule>
          <xm:sqref>Q150:R150</xm:sqref>
        </x14:conditionalFormatting>
        <x14:conditionalFormatting xmlns:xm="http://schemas.microsoft.com/office/excel/2006/main">
          <x14:cfRule type="expression" priority="121" id="{25FAD901-5A52-44B1-AFEF-0E30576C9BFE}">
            <xm:f>$S$8='Assessment Details'!$Q$23</xm:f>
            <x14:dxf>
              <border>
                <left style="thin">
                  <color theme="0"/>
                </left>
                <right style="thin">
                  <color theme="0"/>
                </right>
                <top style="thin">
                  <color theme="0"/>
                </top>
                <bottom style="thin">
                  <color theme="0"/>
                </bottom>
                <vertical/>
                <horizontal/>
              </border>
            </x14:dxf>
          </x14:cfRule>
          <xm:sqref>Q150:R150</xm:sqref>
        </x14:conditionalFormatting>
        <x14:conditionalFormatting xmlns:xm="http://schemas.microsoft.com/office/excel/2006/main">
          <x14:cfRule type="expression" priority="120" id="{CB7E89B4-EAD9-4F74-9F14-36721AD881AE}">
            <xm:f>$Z$8='Assessment Details'!$Q$23</xm:f>
            <x14:dxf>
              <font>
                <color theme="0"/>
              </font>
              <fill>
                <patternFill>
                  <bgColor theme="0"/>
                </patternFill>
              </fill>
            </x14:dxf>
          </x14:cfRule>
          <xm:sqref>X150:Y150</xm:sqref>
        </x14:conditionalFormatting>
        <x14:conditionalFormatting xmlns:xm="http://schemas.microsoft.com/office/excel/2006/main">
          <x14:cfRule type="expression" priority="119" id="{4264F0D5-D4F3-401D-ADC2-375E1929F74B}">
            <xm:f>$Z$8='Assessment Details'!$Q$23</xm:f>
            <x14:dxf>
              <border>
                <left style="thin">
                  <color theme="0"/>
                </left>
                <right style="thin">
                  <color theme="0"/>
                </right>
                <top style="thin">
                  <color theme="0"/>
                </top>
                <bottom style="thin">
                  <color theme="0"/>
                </bottom>
                <vertical/>
                <horizontal/>
              </border>
            </x14:dxf>
          </x14:cfRule>
          <xm:sqref>X150:Y150</xm:sqref>
        </x14:conditionalFormatting>
        <x14:conditionalFormatting xmlns:xm="http://schemas.microsoft.com/office/excel/2006/main">
          <x14:cfRule type="expression" priority="66" id="{FB513AC0-BF46-4EA1-9764-92B46301C5BF}">
            <xm:f>$S$8='Assessment Details'!$Q$23</xm:f>
            <x14:dxf>
              <font>
                <color theme="0"/>
              </font>
              <fill>
                <patternFill>
                  <bgColor theme="0"/>
                </patternFill>
              </fill>
              <border>
                <left/>
                <right/>
                <top/>
                <bottom/>
                <vertical/>
                <horizontal/>
              </border>
            </x14:dxf>
          </x14:cfRule>
          <xm:sqref>N138:S138</xm:sqref>
        </x14:conditionalFormatting>
        <x14:conditionalFormatting xmlns:xm="http://schemas.microsoft.com/office/excel/2006/main">
          <x14:cfRule type="expression" priority="101" id="{8272D6CF-31FE-45BA-9858-520A52503E9B}">
            <xm:f>$S$8='Assessment Details'!$Q$23</xm:f>
            <x14:dxf>
              <border>
                <left style="thin">
                  <color theme="0"/>
                </left>
                <right style="thin">
                  <color theme="0"/>
                </right>
                <top style="thin">
                  <color theme="0"/>
                </top>
                <bottom style="thin">
                  <color theme="0"/>
                </bottom>
                <vertical/>
                <horizontal/>
              </border>
            </x14:dxf>
          </x14:cfRule>
          <xm:sqref>Q138:R138</xm:sqref>
        </x14:conditionalFormatting>
        <x14:conditionalFormatting xmlns:xm="http://schemas.microsoft.com/office/excel/2006/main">
          <x14:cfRule type="expression" priority="65" id="{CFB16048-1C44-46C6-9915-C0B1B9D9D4D0}">
            <xm:f>$Z$8='Assessment Details'!$Q$23</xm:f>
            <x14:dxf>
              <font>
                <color theme="0"/>
              </font>
              <fill>
                <patternFill>
                  <bgColor theme="0"/>
                </patternFill>
              </fill>
              <border>
                <left/>
                <right/>
                <top/>
                <bottom/>
              </border>
            </x14:dxf>
          </x14:cfRule>
          <xm:sqref>U138:Z138</xm:sqref>
        </x14:conditionalFormatting>
        <x14:conditionalFormatting xmlns:xm="http://schemas.microsoft.com/office/excel/2006/main">
          <x14:cfRule type="expression" priority="90" id="{F4FCB03C-9991-4657-B3A4-C172320EADE2}">
            <xm:f>$Z$8='Assessment Details'!$Q$23</xm:f>
            <x14:dxf>
              <font>
                <color theme="0"/>
              </font>
              <fill>
                <patternFill>
                  <bgColor theme="0"/>
                </patternFill>
              </fill>
            </x14:dxf>
          </x14:cfRule>
          <xm:sqref>X138:Y138</xm:sqref>
        </x14:conditionalFormatting>
        <x14:conditionalFormatting xmlns:xm="http://schemas.microsoft.com/office/excel/2006/main">
          <x14:cfRule type="expression" priority="89" id="{52397341-4709-4971-B9C3-8F664875CBFF}">
            <xm:f>$Z$8='Assessment Details'!$Q$23</xm:f>
            <x14:dxf>
              <border>
                <left style="thin">
                  <color theme="0"/>
                </left>
                <right style="thin">
                  <color theme="0"/>
                </right>
                <top style="thin">
                  <color theme="0"/>
                </top>
                <bottom style="thin">
                  <color theme="0"/>
                </bottom>
                <vertical/>
                <horizontal/>
              </border>
            </x14:dxf>
          </x14:cfRule>
          <xm:sqref>X138:Y138</xm:sqref>
        </x14:conditionalFormatting>
        <x14:conditionalFormatting xmlns:xm="http://schemas.microsoft.com/office/excel/2006/main">
          <x14:cfRule type="expression" priority="76" id="{FA10BCCD-5F13-4B32-AEE2-32308139C0B9}">
            <xm:f>$S$8='Assessment Details'!$Q$23</xm:f>
            <x14:dxf>
              <font>
                <color theme="0"/>
              </font>
              <fill>
                <patternFill>
                  <bgColor theme="0"/>
                </patternFill>
              </fill>
              <border>
                <vertical/>
                <horizontal/>
              </border>
            </x14:dxf>
          </x14:cfRule>
          <xm:sqref>N138</xm:sqref>
        </x14:conditionalFormatting>
        <x14:conditionalFormatting xmlns:xm="http://schemas.microsoft.com/office/excel/2006/main">
          <x14:cfRule type="expression" priority="75" id="{C91DA647-F13F-4C74-BD17-677CB8B5CA84}">
            <xm:f>$S$8='Assessment Details'!$Q$23</xm:f>
            <x14:dxf>
              <border>
                <left style="thin">
                  <color theme="0"/>
                </left>
                <right style="thin">
                  <color theme="0"/>
                </right>
                <top style="thin">
                  <color theme="0"/>
                </top>
                <bottom style="thin">
                  <color theme="0"/>
                </bottom>
                <vertical/>
                <horizontal/>
              </border>
            </x14:dxf>
          </x14:cfRule>
          <xm:sqref>N138</xm:sqref>
        </x14:conditionalFormatting>
        <x14:conditionalFormatting xmlns:xm="http://schemas.microsoft.com/office/excel/2006/main">
          <x14:cfRule type="expression" priority="72" id="{EC8A3289-B5B7-47C5-AAE4-1F74BDB5E375}">
            <xm:f>$Z$8='Assessment Details'!$Q$23</xm:f>
            <x14:dxf>
              <font>
                <color theme="0"/>
              </font>
              <fill>
                <patternFill>
                  <bgColor theme="0"/>
                </patternFill>
              </fill>
            </x14:dxf>
          </x14:cfRule>
          <xm:sqref>U138</xm:sqref>
        </x14:conditionalFormatting>
        <x14:conditionalFormatting xmlns:xm="http://schemas.microsoft.com/office/excel/2006/main">
          <x14:cfRule type="expression" priority="71" id="{121D25EC-91F5-4D3E-890D-70BA55A374BA}">
            <xm:f>$Z$8='Assessment Details'!$Q$23</xm:f>
            <x14:dxf>
              <border>
                <left style="thin">
                  <color theme="0"/>
                </left>
                <right style="thin">
                  <color theme="0"/>
                </right>
                <top style="thin">
                  <color theme="0"/>
                </top>
                <bottom style="thin">
                  <color theme="0"/>
                </bottom>
                <vertical/>
                <horizontal/>
              </border>
            </x14:dxf>
          </x14:cfRule>
          <xm:sqref>U138</xm:sqref>
        </x14:conditionalFormatting>
        <x14:conditionalFormatting xmlns:xm="http://schemas.microsoft.com/office/excel/2006/main">
          <x14:cfRule type="expression" priority="58" id="{AF49019E-2662-4209-88EA-2CF060F61E23}">
            <xm:f>$S$8='Assessment Details'!$Q$23</xm:f>
            <x14:dxf>
              <font>
                <color theme="0"/>
              </font>
              <fill>
                <patternFill>
                  <bgColor theme="0"/>
                </patternFill>
              </fill>
              <border>
                <left/>
                <right/>
                <top/>
                <bottom/>
                <vertical/>
                <horizontal/>
              </border>
            </x14:dxf>
          </x14:cfRule>
          <xm:sqref>N151</xm:sqref>
        </x14:conditionalFormatting>
        <x14:conditionalFormatting xmlns:xm="http://schemas.microsoft.com/office/excel/2006/main">
          <x14:cfRule type="expression" priority="60" id="{BACED2D5-0554-4AB0-BC9E-C9E386C9FD08}">
            <xm:f>$S$8='Assessment Details'!$Q$23</xm:f>
            <x14:dxf>
              <font>
                <color theme="0"/>
              </font>
              <fill>
                <patternFill>
                  <bgColor theme="0"/>
                </patternFill>
              </fill>
              <border>
                <vertical/>
                <horizontal/>
              </border>
            </x14:dxf>
          </x14:cfRule>
          <xm:sqref>N151</xm:sqref>
        </x14:conditionalFormatting>
        <x14:conditionalFormatting xmlns:xm="http://schemas.microsoft.com/office/excel/2006/main">
          <x14:cfRule type="expression" priority="59" id="{88AC38AC-4E35-4555-9AE8-7DED49BEDCA0}">
            <xm:f>$S$8='Assessment Details'!$Q$23</xm:f>
            <x14:dxf>
              <border>
                <left style="thin">
                  <color theme="0"/>
                </left>
                <right style="thin">
                  <color theme="0"/>
                </right>
                <top style="thin">
                  <color theme="0"/>
                </top>
                <bottom style="thin">
                  <color theme="0"/>
                </bottom>
                <vertical/>
                <horizontal/>
              </border>
            </x14:dxf>
          </x14:cfRule>
          <xm:sqref>N151</xm:sqref>
        </x14:conditionalFormatting>
        <x14:conditionalFormatting xmlns:xm="http://schemas.microsoft.com/office/excel/2006/main">
          <x14:cfRule type="expression" priority="53" id="{E875EDE0-8C34-4748-9F9C-B8F331626C49}">
            <xm:f>$Z$8='Assessment Details'!$Q$23</xm:f>
            <x14:dxf>
              <font>
                <color theme="0"/>
              </font>
              <fill>
                <patternFill>
                  <bgColor theme="0"/>
                </patternFill>
              </fill>
              <border>
                <left/>
                <right/>
                <top/>
                <bottom/>
              </border>
            </x14:dxf>
          </x14:cfRule>
          <xm:sqref>U151</xm:sqref>
        </x14:conditionalFormatting>
        <x14:conditionalFormatting xmlns:xm="http://schemas.microsoft.com/office/excel/2006/main">
          <x14:cfRule type="expression" priority="55" id="{42163D35-F50D-4FBE-81D5-7F41EEB3A86F}">
            <xm:f>$Z$8='Assessment Details'!$Q$23</xm:f>
            <x14:dxf>
              <font>
                <color theme="0"/>
              </font>
              <fill>
                <patternFill>
                  <bgColor theme="0"/>
                </patternFill>
              </fill>
            </x14:dxf>
          </x14:cfRule>
          <xm:sqref>U151</xm:sqref>
        </x14:conditionalFormatting>
        <x14:conditionalFormatting xmlns:xm="http://schemas.microsoft.com/office/excel/2006/main">
          <x14:cfRule type="expression" priority="54" id="{15E90BDC-D687-4724-99E1-28B8E4950EE5}">
            <xm:f>$Z$8='Assessment Details'!$Q$23</xm:f>
            <x14:dxf>
              <border>
                <left style="thin">
                  <color theme="0"/>
                </left>
                <right style="thin">
                  <color theme="0"/>
                </right>
                <top style="thin">
                  <color theme="0"/>
                </top>
                <bottom style="thin">
                  <color theme="0"/>
                </bottom>
                <vertical/>
                <horizontal/>
              </border>
            </x14:dxf>
          </x14:cfRule>
          <xm:sqref>U151</xm:sqref>
        </x14:conditionalFormatting>
        <x14:conditionalFormatting xmlns:xm="http://schemas.microsoft.com/office/excel/2006/main">
          <x14:cfRule type="expression" priority="46" id="{A46B1BCF-8CD0-4386-BFAA-1774BEBD0616}">
            <xm:f>$S$8='Assessment Details'!$Q$23</xm:f>
            <x14:dxf>
              <font>
                <color theme="0"/>
              </font>
              <fill>
                <patternFill>
                  <bgColor theme="0"/>
                </patternFill>
              </fill>
              <border>
                <left/>
                <right/>
                <top/>
                <bottom/>
                <vertical/>
                <horizontal/>
              </border>
            </x14:dxf>
          </x14:cfRule>
          <xm:sqref>N150</xm:sqref>
        </x14:conditionalFormatting>
        <x14:conditionalFormatting xmlns:xm="http://schemas.microsoft.com/office/excel/2006/main">
          <x14:cfRule type="expression" priority="48" id="{663A9820-0F9C-4D23-A4D4-B1B4AF4ECE10}">
            <xm:f>$S$8='Assessment Details'!$Q$23</xm:f>
            <x14:dxf>
              <font>
                <color theme="0"/>
              </font>
              <fill>
                <patternFill>
                  <bgColor theme="0"/>
                </patternFill>
              </fill>
              <border>
                <vertical/>
                <horizontal/>
              </border>
            </x14:dxf>
          </x14:cfRule>
          <xm:sqref>N150</xm:sqref>
        </x14:conditionalFormatting>
        <x14:conditionalFormatting xmlns:xm="http://schemas.microsoft.com/office/excel/2006/main">
          <x14:cfRule type="expression" priority="47" id="{CFE9D092-6979-49C0-96B0-AE4EEF087773}">
            <xm:f>$S$8='Assessment Details'!$Q$23</xm:f>
            <x14:dxf>
              <border>
                <left style="thin">
                  <color theme="0"/>
                </left>
                <right style="thin">
                  <color theme="0"/>
                </right>
                <top style="thin">
                  <color theme="0"/>
                </top>
                <bottom style="thin">
                  <color theme="0"/>
                </bottom>
                <vertical/>
                <horizontal/>
              </border>
            </x14:dxf>
          </x14:cfRule>
          <xm:sqref>N150</xm:sqref>
        </x14:conditionalFormatting>
        <x14:conditionalFormatting xmlns:xm="http://schemas.microsoft.com/office/excel/2006/main">
          <x14:cfRule type="expression" priority="41" id="{20FD717F-207B-440A-ADD0-306DBF565F2E}">
            <xm:f>$Z$8='Assessment Details'!$Q$23</xm:f>
            <x14:dxf>
              <font>
                <color theme="0"/>
              </font>
              <fill>
                <patternFill>
                  <bgColor theme="0"/>
                </patternFill>
              </fill>
              <border>
                <left/>
                <right/>
                <top/>
                <bottom/>
              </border>
            </x14:dxf>
          </x14:cfRule>
          <xm:sqref>U150</xm:sqref>
        </x14:conditionalFormatting>
        <x14:conditionalFormatting xmlns:xm="http://schemas.microsoft.com/office/excel/2006/main">
          <x14:cfRule type="expression" priority="43" id="{9F1446FF-EF02-41B9-82C6-D7BAC1237BF2}">
            <xm:f>$Z$8='Assessment Details'!$Q$23</xm:f>
            <x14:dxf>
              <font>
                <color theme="0"/>
              </font>
              <fill>
                <patternFill>
                  <bgColor theme="0"/>
                </patternFill>
              </fill>
            </x14:dxf>
          </x14:cfRule>
          <xm:sqref>U150</xm:sqref>
        </x14:conditionalFormatting>
        <x14:conditionalFormatting xmlns:xm="http://schemas.microsoft.com/office/excel/2006/main">
          <x14:cfRule type="expression" priority="42" id="{03603EAF-29D2-4CE3-97E4-DEF60729EBFE}">
            <xm:f>$Z$8='Assessment Details'!$Q$23</xm:f>
            <x14:dxf>
              <border>
                <left style="thin">
                  <color theme="0"/>
                </left>
                <right style="thin">
                  <color theme="0"/>
                </right>
                <top style="thin">
                  <color theme="0"/>
                </top>
                <bottom style="thin">
                  <color theme="0"/>
                </bottom>
                <vertical/>
                <horizontal/>
              </border>
            </x14:dxf>
          </x14:cfRule>
          <xm:sqref>U150</xm:sqref>
        </x14:conditionalFormatting>
        <x14:conditionalFormatting xmlns:xm="http://schemas.microsoft.com/office/excel/2006/main">
          <x14:cfRule type="expression" priority="34" id="{55F5A51F-75CA-45F9-9165-8F11F4CDBE1C}">
            <xm:f>$S$8='Assessment Details'!$Q$23</xm:f>
            <x14:dxf>
              <font>
                <color theme="0"/>
              </font>
              <fill>
                <patternFill>
                  <bgColor theme="0"/>
                </patternFill>
              </fill>
              <border>
                <left/>
                <right/>
                <top/>
                <bottom/>
                <vertical/>
                <horizontal/>
              </border>
            </x14:dxf>
          </x14:cfRule>
          <xm:sqref>N107</xm:sqref>
        </x14:conditionalFormatting>
        <x14:conditionalFormatting xmlns:xm="http://schemas.microsoft.com/office/excel/2006/main">
          <x14:cfRule type="expression" priority="36" id="{4D01DAE4-212E-4DED-A916-22EBFEB3DFC8}">
            <xm:f>$S$8='Assessment Details'!$Q$23</xm:f>
            <x14:dxf>
              <font>
                <color theme="0"/>
              </font>
              <fill>
                <patternFill>
                  <bgColor theme="0"/>
                </patternFill>
              </fill>
              <border>
                <vertical/>
                <horizontal/>
              </border>
            </x14:dxf>
          </x14:cfRule>
          <xm:sqref>N107</xm:sqref>
        </x14:conditionalFormatting>
        <x14:conditionalFormatting xmlns:xm="http://schemas.microsoft.com/office/excel/2006/main">
          <x14:cfRule type="expression" priority="35" id="{F4314185-D2A0-4278-B824-A5680490493E}">
            <xm:f>$S$8='Assessment Details'!$Q$23</xm:f>
            <x14:dxf>
              <border>
                <left style="thin">
                  <color theme="0"/>
                </left>
                <right style="thin">
                  <color theme="0"/>
                </right>
                <top style="thin">
                  <color theme="0"/>
                </top>
                <bottom style="thin">
                  <color theme="0"/>
                </bottom>
                <vertical/>
                <horizontal/>
              </border>
            </x14:dxf>
          </x14:cfRule>
          <xm:sqref>N107</xm:sqref>
        </x14:conditionalFormatting>
        <x14:conditionalFormatting xmlns:xm="http://schemas.microsoft.com/office/excel/2006/main">
          <x14:cfRule type="expression" priority="29" id="{9A7DA104-7852-41A0-B413-5ADC0E4143AF}">
            <xm:f>$Z$8='Assessment Details'!$Q$23</xm:f>
            <x14:dxf>
              <font>
                <color theme="0"/>
              </font>
              <fill>
                <patternFill>
                  <bgColor theme="0"/>
                </patternFill>
              </fill>
              <border>
                <left/>
                <right/>
                <top/>
                <bottom/>
              </border>
            </x14:dxf>
          </x14:cfRule>
          <xm:sqref>U107</xm:sqref>
        </x14:conditionalFormatting>
        <x14:conditionalFormatting xmlns:xm="http://schemas.microsoft.com/office/excel/2006/main">
          <x14:cfRule type="expression" priority="31" id="{F7596359-9DFB-41E7-9DA6-1C852E1418CC}">
            <xm:f>$Z$8='Assessment Details'!$Q$23</xm:f>
            <x14:dxf>
              <font>
                <color theme="0"/>
              </font>
              <fill>
                <patternFill>
                  <bgColor theme="0"/>
                </patternFill>
              </fill>
            </x14:dxf>
          </x14:cfRule>
          <xm:sqref>U107</xm:sqref>
        </x14:conditionalFormatting>
        <x14:conditionalFormatting xmlns:xm="http://schemas.microsoft.com/office/excel/2006/main">
          <x14:cfRule type="expression" priority="30" id="{A9DFE456-60D4-4BE9-B0ED-DA081A0271D1}">
            <xm:f>$Z$8='Assessment Details'!$Q$23</xm:f>
            <x14:dxf>
              <border>
                <left style="thin">
                  <color theme="0"/>
                </left>
                <right style="thin">
                  <color theme="0"/>
                </right>
                <top style="thin">
                  <color theme="0"/>
                </top>
                <bottom style="thin">
                  <color theme="0"/>
                </bottom>
                <vertical/>
                <horizontal/>
              </border>
            </x14:dxf>
          </x14:cfRule>
          <xm:sqref>U107</xm:sqref>
        </x14:conditionalFormatting>
        <x14:conditionalFormatting xmlns:xm="http://schemas.microsoft.com/office/excel/2006/main">
          <x14:cfRule type="expression" priority="24" id="{17C4D998-A4A6-4445-8DF3-2384226DAAA7}">
            <xm:f>$S$8='Assessment Details'!$Q$23</xm:f>
            <x14:dxf>
              <font>
                <color theme="0"/>
              </font>
              <fill>
                <patternFill>
                  <bgColor theme="0"/>
                </patternFill>
              </fill>
              <border>
                <left/>
                <right/>
                <top/>
                <bottom/>
                <vertical/>
                <horizontal/>
              </border>
            </x14:dxf>
          </x14:cfRule>
          <xm:sqref>N106</xm:sqref>
        </x14:conditionalFormatting>
        <x14:conditionalFormatting xmlns:xm="http://schemas.microsoft.com/office/excel/2006/main">
          <x14:cfRule type="expression" priority="26" id="{D72D6DDA-FFAC-4B57-841F-7DDC82B1A981}">
            <xm:f>$S$8='Assessment Details'!$Q$23</xm:f>
            <x14:dxf>
              <font>
                <color theme="0"/>
              </font>
              <fill>
                <patternFill>
                  <bgColor theme="0"/>
                </patternFill>
              </fill>
              <border>
                <vertical/>
                <horizontal/>
              </border>
            </x14:dxf>
          </x14:cfRule>
          <xm:sqref>N106</xm:sqref>
        </x14:conditionalFormatting>
        <x14:conditionalFormatting xmlns:xm="http://schemas.microsoft.com/office/excel/2006/main">
          <x14:cfRule type="expression" priority="25" id="{7ED2FCC3-E8E9-45FD-A850-83F42A77D77E}">
            <xm:f>$S$8='Assessment Details'!$Q$23</xm:f>
            <x14:dxf>
              <border>
                <left style="thin">
                  <color theme="0"/>
                </left>
                <right style="thin">
                  <color theme="0"/>
                </right>
                <top style="thin">
                  <color theme="0"/>
                </top>
                <bottom style="thin">
                  <color theme="0"/>
                </bottom>
                <vertical/>
                <horizontal/>
              </border>
            </x14:dxf>
          </x14:cfRule>
          <xm:sqref>N106</xm:sqref>
        </x14:conditionalFormatting>
        <x14:conditionalFormatting xmlns:xm="http://schemas.microsoft.com/office/excel/2006/main">
          <x14:cfRule type="expression" priority="19" id="{30DBE182-A183-4E95-8D5A-A9F398975206}">
            <xm:f>$Z$8='Assessment Details'!$Q$23</xm:f>
            <x14:dxf>
              <font>
                <color theme="0"/>
              </font>
              <fill>
                <patternFill>
                  <bgColor theme="0"/>
                </patternFill>
              </fill>
              <border>
                <left/>
                <right/>
                <top/>
                <bottom/>
              </border>
            </x14:dxf>
          </x14:cfRule>
          <xm:sqref>U106</xm:sqref>
        </x14:conditionalFormatting>
        <x14:conditionalFormatting xmlns:xm="http://schemas.microsoft.com/office/excel/2006/main">
          <x14:cfRule type="expression" priority="21" id="{547E3762-46C6-4BA6-BFF0-8EE8D88B0A50}">
            <xm:f>$Z$8='Assessment Details'!$Q$23</xm:f>
            <x14:dxf>
              <font>
                <color theme="0"/>
              </font>
              <fill>
                <patternFill>
                  <bgColor theme="0"/>
                </patternFill>
              </fill>
            </x14:dxf>
          </x14:cfRule>
          <xm:sqref>U106</xm:sqref>
        </x14:conditionalFormatting>
        <x14:conditionalFormatting xmlns:xm="http://schemas.microsoft.com/office/excel/2006/main">
          <x14:cfRule type="expression" priority="20" id="{603D39AB-06BB-41A3-BB2F-ABC5ADEE2C7A}">
            <xm:f>$Z$8='Assessment Details'!$Q$23</xm:f>
            <x14:dxf>
              <border>
                <left style="thin">
                  <color theme="0"/>
                </left>
                <right style="thin">
                  <color theme="0"/>
                </right>
                <top style="thin">
                  <color theme="0"/>
                </top>
                <bottom style="thin">
                  <color theme="0"/>
                </bottom>
                <vertical/>
                <horizontal/>
              </border>
            </x14:dxf>
          </x14:cfRule>
          <xm:sqref>U106</xm:sqref>
        </x14:conditionalFormatting>
        <x14:conditionalFormatting xmlns:xm="http://schemas.microsoft.com/office/excel/2006/main">
          <x14:cfRule type="expression" priority="11" id="{849A8466-D8C1-4B61-8AA6-4698AF9FCD54}">
            <xm:f>$S$8='Assessment Details'!$Q$23</xm:f>
            <x14:dxf>
              <font>
                <color theme="0"/>
              </font>
              <fill>
                <patternFill>
                  <bgColor theme="0"/>
                </patternFill>
              </fill>
              <border>
                <vertical/>
                <horizontal/>
              </border>
            </x14:dxf>
          </x14:cfRule>
          <xm:sqref>N72</xm:sqref>
        </x14:conditionalFormatting>
        <x14:conditionalFormatting xmlns:xm="http://schemas.microsoft.com/office/excel/2006/main">
          <x14:cfRule type="expression" priority="10" id="{8C074CB1-BA94-41FF-A649-EC937A625293}">
            <xm:f>$S$8='Assessment Details'!$Q$23</xm:f>
            <x14:dxf>
              <border>
                <left style="thin">
                  <color theme="0"/>
                </left>
                <right style="thin">
                  <color theme="0"/>
                </right>
                <top style="thin">
                  <color theme="0"/>
                </top>
                <bottom style="thin">
                  <color theme="0"/>
                </bottom>
                <vertical/>
                <horizontal/>
              </border>
            </x14:dxf>
          </x14:cfRule>
          <xm:sqref>N72</xm:sqref>
        </x14:conditionalFormatting>
        <x14:conditionalFormatting xmlns:xm="http://schemas.microsoft.com/office/excel/2006/main">
          <x14:cfRule type="expression" priority="5" id="{82DF2499-5636-4B92-A762-A526E947EE3D}">
            <xm:f>$Z$8='Assessment Details'!$Q$23</xm:f>
            <x14:dxf>
              <font>
                <color theme="0"/>
              </font>
              <fill>
                <patternFill>
                  <bgColor theme="0"/>
                </patternFill>
              </fill>
              <border>
                <left/>
                <right/>
                <top/>
                <bottom/>
              </border>
            </x14:dxf>
          </x14:cfRule>
          <xm:sqref>U72</xm:sqref>
        </x14:conditionalFormatting>
        <x14:conditionalFormatting xmlns:xm="http://schemas.microsoft.com/office/excel/2006/main">
          <x14:cfRule type="expression" priority="7" id="{B451593A-A3FE-45A5-B0B9-43CF112E7272}">
            <xm:f>$Z$8='Assessment Details'!$Q$23</xm:f>
            <x14:dxf>
              <font>
                <color theme="0"/>
              </font>
              <fill>
                <patternFill>
                  <bgColor theme="0"/>
                </patternFill>
              </fill>
            </x14:dxf>
          </x14:cfRule>
          <xm:sqref>U72</xm:sqref>
        </x14:conditionalFormatting>
        <x14:conditionalFormatting xmlns:xm="http://schemas.microsoft.com/office/excel/2006/main">
          <x14:cfRule type="expression" priority="6" id="{877C1688-8564-4B30-983E-DAC1950B36A6}">
            <xm:f>$Z$8='Assessment Details'!$Q$23</xm:f>
            <x14:dxf>
              <border>
                <left style="thin">
                  <color theme="0"/>
                </left>
                <right style="thin">
                  <color theme="0"/>
                </right>
                <top style="thin">
                  <color theme="0"/>
                </top>
                <bottom style="thin">
                  <color theme="0"/>
                </bottom>
                <vertical/>
                <horizontal/>
              </border>
            </x14:dxf>
          </x14:cfRule>
          <xm:sqref>U72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EDB0E46E-A690-4E9E-907B-0DEBCF537ED9}">
          <x14:formula1>
            <xm:f>'Assessment Details'!$R$51:$R$53</xm:f>
          </x14:formula1>
          <xm:sqref>G237 U237:W237 N237:P237</xm:sqref>
        </x14:dataValidation>
        <x14:dataValidation type="list" allowBlank="1" showInputMessage="1" showErrorMessage="1" xr:uid="{7BAB7664-1657-4388-A667-A1B92AB1F5BD}">
          <x14:formula1>
            <xm:f>'Assessment Details'!$S$51:$S$54</xm:f>
          </x14:formula1>
          <xm:sqref>G247 U247:W247 N247:P247</xm:sqref>
        </x14:dataValidation>
        <x14:dataValidation type="list" allowBlank="1" showInputMessage="1" showErrorMessage="1" xr:uid="{069A6983-AA53-496E-9371-44617596A3B1}">
          <x14:formula1>
            <xm:f>'Assessment Details'!$Y$51:$Y$54</xm:f>
          </x14:formula1>
          <xm:sqref>G260 U260:W260 N260:P260</xm:sqref>
        </x14:dataValidation>
        <x14:dataValidation type="list" allowBlank="1" showInputMessage="1" showErrorMessage="1" xr:uid="{015A6392-D46D-4C91-823D-B5853B933604}">
          <x14:formula1>
            <xm:f>'Assessment Details'!$V$51:$V$53</xm:f>
          </x14:formula1>
          <xm:sqref>G255 U255:W255 N255:P255</xm:sqref>
        </x14:dataValidation>
        <x14:dataValidation type="list" allowBlank="1" showInputMessage="1" showErrorMessage="1" xr:uid="{0FCCE17B-5FA7-4A25-8B07-FF398FDC2B42}">
          <x14:formula1>
            <xm:f>'Assessment Details'!$T$51:$T$53</xm:f>
          </x14:formula1>
          <xm:sqref>G248 U248:W248 N248:P248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7407-5863-4540-8005-DCA0DF80D7D1}">
  <dimension ref="B3:F158"/>
  <sheetViews>
    <sheetView workbookViewId="0">
      <selection activeCell="I36" sqref="I36"/>
    </sheetView>
  </sheetViews>
  <sheetFormatPr defaultColWidth="8.7109375" defaultRowHeight="15"/>
  <cols>
    <col min="2" max="2" width="15.140625" bestFit="1" customWidth="1"/>
    <col min="3" max="3" width="71.85546875" bestFit="1" customWidth="1"/>
    <col min="5" max="5" width="22.42578125" bestFit="1" customWidth="1"/>
  </cols>
  <sheetData>
    <row r="3" spans="2:6">
      <c r="B3" s="1030" t="s">
        <v>552</v>
      </c>
      <c r="C3" s="1030" t="s">
        <v>553</v>
      </c>
      <c r="D3" s="1032" t="s">
        <v>554</v>
      </c>
      <c r="E3" s="1030" t="s">
        <v>555</v>
      </c>
      <c r="F3" s="1031" t="s">
        <v>556</v>
      </c>
    </row>
    <row r="4" spans="2:6">
      <c r="B4" s="1030"/>
      <c r="C4" s="1030"/>
      <c r="D4" s="1032"/>
      <c r="E4" s="1030"/>
      <c r="F4" s="1031"/>
    </row>
    <row r="5" spans="2:6">
      <c r="B5" s="1030"/>
      <c r="C5" s="1030"/>
      <c r="D5" s="1032"/>
      <c r="E5" s="1030"/>
      <c r="F5" s="1031"/>
    </row>
    <row r="6" spans="2:6">
      <c r="B6" s="296" t="s">
        <v>557</v>
      </c>
      <c r="C6" s="296"/>
      <c r="D6" s="709"/>
      <c r="E6" s="296"/>
      <c r="F6" s="707"/>
    </row>
    <row r="7" spans="2:6">
      <c r="B7" s="1033" t="s">
        <v>253</v>
      </c>
      <c r="C7" s="1018" t="s">
        <v>558</v>
      </c>
      <c r="D7" s="1019"/>
      <c r="E7" s="1019"/>
      <c r="F7" s="1020"/>
    </row>
    <row r="8" spans="2:6">
      <c r="B8" s="1034"/>
      <c r="C8" s="299" t="s">
        <v>559</v>
      </c>
      <c r="D8" s="710">
        <v>1</v>
      </c>
      <c r="E8" s="717">
        <v>1</v>
      </c>
      <c r="F8" s="718" t="s">
        <v>560</v>
      </c>
    </row>
    <row r="9" spans="2:6">
      <c r="B9" s="1034"/>
      <c r="C9" s="299" t="s">
        <v>561</v>
      </c>
      <c r="D9" s="710">
        <v>1</v>
      </c>
      <c r="E9" s="717">
        <v>1</v>
      </c>
      <c r="F9" s="718" t="s">
        <v>560</v>
      </c>
    </row>
    <row r="10" spans="2:6">
      <c r="B10" s="1034"/>
      <c r="C10" s="299" t="s">
        <v>562</v>
      </c>
      <c r="D10" s="710">
        <v>2</v>
      </c>
      <c r="E10" s="717">
        <v>2</v>
      </c>
      <c r="F10" s="718" t="s">
        <v>560</v>
      </c>
    </row>
    <row r="11" spans="2:6">
      <c r="B11" s="1035"/>
      <c r="C11" s="299" t="s">
        <v>563</v>
      </c>
      <c r="D11" s="710">
        <v>1</v>
      </c>
      <c r="E11" s="717">
        <v>1</v>
      </c>
      <c r="F11" s="718" t="s">
        <v>560</v>
      </c>
    </row>
    <row r="12" spans="2:6">
      <c r="B12" s="1033" t="s">
        <v>260</v>
      </c>
      <c r="C12" s="1018" t="s">
        <v>564</v>
      </c>
      <c r="D12" s="1019"/>
      <c r="E12" s="1019"/>
      <c r="F12" s="1020"/>
    </row>
    <row r="13" spans="2:6">
      <c r="B13" s="1034"/>
      <c r="C13" s="299" t="s">
        <v>565</v>
      </c>
      <c r="D13" s="710">
        <v>2</v>
      </c>
      <c r="E13" s="719">
        <v>2</v>
      </c>
      <c r="F13" s="718" t="s">
        <v>560</v>
      </c>
    </row>
    <row r="14" spans="2:6">
      <c r="B14" s="1035"/>
      <c r="C14" s="299" t="s">
        <v>566</v>
      </c>
      <c r="D14" s="710">
        <v>1</v>
      </c>
      <c r="E14" s="719">
        <v>1</v>
      </c>
      <c r="F14" s="718" t="s">
        <v>560</v>
      </c>
    </row>
    <row r="15" spans="2:6">
      <c r="B15" s="1033" t="s">
        <v>188</v>
      </c>
      <c r="C15" s="1018" t="s">
        <v>567</v>
      </c>
      <c r="D15" s="1019"/>
      <c r="E15" s="1019"/>
      <c r="F15" s="1020"/>
    </row>
    <row r="16" spans="2:6">
      <c r="B16" s="1034"/>
      <c r="C16" s="299" t="s">
        <v>568</v>
      </c>
      <c r="D16" s="710">
        <v>1</v>
      </c>
      <c r="E16" s="717">
        <v>1</v>
      </c>
      <c r="F16" s="718" t="s">
        <v>560</v>
      </c>
    </row>
    <row r="17" spans="2:6">
      <c r="B17" s="1034"/>
      <c r="C17" s="299" t="s">
        <v>569</v>
      </c>
      <c r="D17" s="710">
        <v>1</v>
      </c>
      <c r="E17" s="717">
        <v>1</v>
      </c>
      <c r="F17" s="718" t="s">
        <v>560</v>
      </c>
    </row>
    <row r="18" spans="2:6">
      <c r="B18" s="1034"/>
      <c r="C18" s="299" t="s">
        <v>570</v>
      </c>
      <c r="D18" s="710">
        <v>2</v>
      </c>
      <c r="E18" s="717">
        <v>2</v>
      </c>
      <c r="F18" s="718" t="s">
        <v>560</v>
      </c>
    </row>
    <row r="19" spans="2:6">
      <c r="B19" s="1035"/>
      <c r="C19" s="299" t="s">
        <v>571</v>
      </c>
      <c r="D19" s="710">
        <v>1</v>
      </c>
      <c r="E19" s="717">
        <v>1</v>
      </c>
      <c r="F19" s="718" t="s">
        <v>560</v>
      </c>
    </row>
    <row r="20" spans="2:6">
      <c r="B20" s="1033" t="s">
        <v>271</v>
      </c>
      <c r="C20" s="1018" t="s">
        <v>572</v>
      </c>
      <c r="D20" s="1019"/>
      <c r="E20" s="1019"/>
      <c r="F20" s="1020"/>
    </row>
    <row r="21" spans="2:6">
      <c r="B21" s="1034"/>
      <c r="C21" s="299" t="s">
        <v>573</v>
      </c>
      <c r="D21" s="710">
        <v>1</v>
      </c>
      <c r="E21" s="717">
        <v>1</v>
      </c>
      <c r="F21" s="718" t="s">
        <v>560</v>
      </c>
    </row>
    <row r="22" spans="2:6">
      <c r="B22" s="1034"/>
      <c r="C22" s="299" t="s">
        <v>574</v>
      </c>
      <c r="D22" s="710">
        <v>1</v>
      </c>
      <c r="E22" s="717">
        <v>1</v>
      </c>
      <c r="F22" s="718" t="s">
        <v>560</v>
      </c>
    </row>
    <row r="23" spans="2:6">
      <c r="B23" s="1035"/>
      <c r="C23" s="299" t="s">
        <v>575</v>
      </c>
      <c r="D23" s="710">
        <v>1</v>
      </c>
      <c r="E23" s="717">
        <v>1</v>
      </c>
      <c r="F23" s="718" t="s">
        <v>560</v>
      </c>
    </row>
    <row r="24" spans="2:6">
      <c r="B24" s="1036" t="s">
        <v>279</v>
      </c>
      <c r="C24" s="1019" t="s">
        <v>576</v>
      </c>
      <c r="D24" s="1019"/>
      <c r="E24" s="1019"/>
      <c r="F24" s="1020"/>
    </row>
    <row r="25" spans="2:6">
      <c r="B25" s="1037"/>
      <c r="C25" s="299" t="s">
        <v>577</v>
      </c>
      <c r="D25" s="710">
        <v>1</v>
      </c>
      <c r="E25" s="717">
        <v>1</v>
      </c>
      <c r="F25" s="718" t="s">
        <v>560</v>
      </c>
    </row>
    <row r="26" spans="2:6">
      <c r="B26" s="1037"/>
      <c r="C26" s="299" t="s">
        <v>578</v>
      </c>
      <c r="D26" s="710">
        <v>1</v>
      </c>
      <c r="E26" s="717">
        <v>1</v>
      </c>
      <c r="F26" s="718" t="s">
        <v>560</v>
      </c>
    </row>
    <row r="27" spans="2:6">
      <c r="B27" s="1037"/>
      <c r="C27" s="299" t="s">
        <v>579</v>
      </c>
      <c r="D27" s="710">
        <v>1</v>
      </c>
      <c r="E27" s="717">
        <v>1</v>
      </c>
      <c r="F27" s="718" t="s">
        <v>560</v>
      </c>
    </row>
    <row r="28" spans="2:6">
      <c r="B28" s="298" t="s">
        <v>580</v>
      </c>
      <c r="C28" s="297"/>
      <c r="D28" s="711"/>
      <c r="E28" s="298"/>
      <c r="F28" s="720"/>
    </row>
    <row r="29" spans="2:6">
      <c r="B29" s="1024" t="s">
        <v>288</v>
      </c>
      <c r="C29" s="1038" t="s">
        <v>581</v>
      </c>
      <c r="D29" s="1039"/>
      <c r="E29" s="1039"/>
      <c r="F29" s="1040"/>
    </row>
    <row r="30" spans="2:6">
      <c r="B30" s="1025"/>
      <c r="C30" s="708" t="s">
        <v>582</v>
      </c>
      <c r="D30" s="710">
        <v>3</v>
      </c>
      <c r="E30" s="721">
        <v>3</v>
      </c>
      <c r="F30" s="722" t="s">
        <v>560</v>
      </c>
    </row>
    <row r="31" spans="2:6">
      <c r="B31" s="1025"/>
      <c r="C31" s="708" t="s">
        <v>583</v>
      </c>
      <c r="D31" s="710">
        <v>1</v>
      </c>
      <c r="E31" s="723">
        <v>1</v>
      </c>
      <c r="F31" s="724" t="s">
        <v>560</v>
      </c>
    </row>
    <row r="32" spans="2:6">
      <c r="B32" s="1025"/>
      <c r="C32" s="708" t="s">
        <v>584</v>
      </c>
      <c r="D32" s="710">
        <v>1</v>
      </c>
      <c r="E32" s="723">
        <v>1</v>
      </c>
      <c r="F32" s="724" t="s">
        <v>560</v>
      </c>
    </row>
    <row r="33" spans="2:6">
      <c r="B33" s="1025"/>
      <c r="C33" s="708" t="s">
        <v>585</v>
      </c>
      <c r="D33" s="710" t="s">
        <v>586</v>
      </c>
      <c r="E33" s="723" t="s">
        <v>586</v>
      </c>
      <c r="F33" s="724" t="s">
        <v>587</v>
      </c>
    </row>
    <row r="34" spans="2:6">
      <c r="B34" s="1026"/>
      <c r="C34" s="708" t="s">
        <v>588</v>
      </c>
      <c r="D34" s="710">
        <v>1</v>
      </c>
      <c r="E34" s="717">
        <v>1</v>
      </c>
      <c r="F34" s="722" t="s">
        <v>587</v>
      </c>
    </row>
    <row r="35" spans="2:6">
      <c r="B35" s="1024" t="s">
        <v>187</v>
      </c>
      <c r="C35" s="1038" t="s">
        <v>589</v>
      </c>
      <c r="D35" s="1039"/>
      <c r="E35" s="1039"/>
      <c r="F35" s="1040"/>
    </row>
    <row r="36" spans="2:6">
      <c r="B36" s="1025"/>
      <c r="C36" s="708" t="s">
        <v>590</v>
      </c>
      <c r="D36" s="710">
        <v>1</v>
      </c>
      <c r="E36" s="717">
        <v>1</v>
      </c>
      <c r="F36" s="722"/>
    </row>
    <row r="37" spans="2:6">
      <c r="B37" s="1025"/>
      <c r="C37" s="300" t="s">
        <v>591</v>
      </c>
      <c r="D37" s="710">
        <v>2</v>
      </c>
      <c r="E37" s="717">
        <v>2</v>
      </c>
      <c r="F37" s="722" t="s">
        <v>560</v>
      </c>
    </row>
    <row r="38" spans="2:6">
      <c r="B38" s="1026"/>
      <c r="C38" s="300" t="s">
        <v>592</v>
      </c>
      <c r="D38" s="710">
        <v>1</v>
      </c>
      <c r="E38" s="725">
        <v>1</v>
      </c>
      <c r="F38" s="722" t="s">
        <v>560</v>
      </c>
    </row>
    <row r="39" spans="2:6">
      <c r="B39" s="1024" t="s">
        <v>313</v>
      </c>
      <c r="C39" s="1038" t="s">
        <v>593</v>
      </c>
      <c r="D39" s="1039"/>
      <c r="E39" s="1039"/>
      <c r="F39" s="1040"/>
    </row>
    <row r="40" spans="2:6">
      <c r="B40" s="1025"/>
      <c r="C40" s="708" t="s">
        <v>594</v>
      </c>
      <c r="D40" s="710">
        <v>1</v>
      </c>
      <c r="E40" s="717">
        <v>1</v>
      </c>
      <c r="F40" s="722" t="s">
        <v>560</v>
      </c>
    </row>
    <row r="41" spans="2:6">
      <c r="B41" s="1025"/>
      <c r="C41" s="300" t="s">
        <v>595</v>
      </c>
      <c r="D41" s="710">
        <v>1</v>
      </c>
      <c r="E41" s="717">
        <v>1</v>
      </c>
      <c r="F41" s="722" t="s">
        <v>560</v>
      </c>
    </row>
    <row r="42" spans="2:6">
      <c r="B42" s="1026"/>
      <c r="C42" s="300" t="s">
        <v>596</v>
      </c>
      <c r="D42" s="710">
        <v>1</v>
      </c>
      <c r="E42" s="717">
        <v>1</v>
      </c>
      <c r="F42" s="722" t="s">
        <v>560</v>
      </c>
    </row>
    <row r="43" spans="2:6">
      <c r="B43" s="300" t="s">
        <v>319</v>
      </c>
      <c r="C43" s="713" t="s">
        <v>597</v>
      </c>
      <c r="D43" s="710">
        <v>3</v>
      </c>
      <c r="E43" s="721">
        <v>3</v>
      </c>
      <c r="F43" s="722" t="s">
        <v>560</v>
      </c>
    </row>
    <row r="44" spans="2:6">
      <c r="B44" s="1027" t="s">
        <v>323</v>
      </c>
      <c r="C44" s="1038" t="s">
        <v>598</v>
      </c>
      <c r="D44" s="1039"/>
      <c r="E44" s="1039"/>
      <c r="F44" s="1040"/>
    </row>
    <row r="45" spans="2:6">
      <c r="B45" s="1028"/>
      <c r="C45" s="708" t="s">
        <v>599</v>
      </c>
      <c r="D45" s="710">
        <v>1</v>
      </c>
      <c r="E45" s="721">
        <v>1</v>
      </c>
      <c r="F45" s="726" t="s">
        <v>560</v>
      </c>
    </row>
    <row r="46" spans="2:6">
      <c r="B46" s="1029"/>
      <c r="C46" s="300" t="s">
        <v>600</v>
      </c>
      <c r="D46" s="710">
        <v>1</v>
      </c>
      <c r="E46" s="721">
        <v>1</v>
      </c>
      <c r="F46" s="726" t="s">
        <v>560</v>
      </c>
    </row>
    <row r="47" spans="2:6">
      <c r="B47" s="300" t="s">
        <v>327</v>
      </c>
      <c r="C47" s="713" t="s">
        <v>601</v>
      </c>
      <c r="D47" s="710" t="s">
        <v>586</v>
      </c>
      <c r="E47" s="717" t="s">
        <v>586</v>
      </c>
      <c r="F47" s="722" t="s">
        <v>587</v>
      </c>
    </row>
    <row r="48" spans="2:6">
      <c r="B48" s="297"/>
      <c r="C48" s="297"/>
      <c r="D48" s="711"/>
      <c r="E48" s="298"/>
      <c r="F48" s="720"/>
    </row>
    <row r="49" spans="2:6">
      <c r="B49" s="298" t="s">
        <v>602</v>
      </c>
      <c r="C49" s="297"/>
      <c r="D49" s="711"/>
      <c r="E49" s="298"/>
      <c r="F49" s="720"/>
    </row>
    <row r="50" spans="2:6">
      <c r="B50" s="1027" t="s">
        <v>334</v>
      </c>
      <c r="C50" s="1038" t="s">
        <v>603</v>
      </c>
      <c r="D50" s="1039"/>
      <c r="E50" s="1039"/>
      <c r="F50" s="1040"/>
    </row>
    <row r="51" spans="2:6">
      <c r="B51" s="1028"/>
      <c r="C51" s="708" t="s">
        <v>604</v>
      </c>
      <c r="D51" s="710">
        <v>2</v>
      </c>
      <c r="E51" s="717">
        <v>2</v>
      </c>
      <c r="F51" s="718" t="s">
        <v>560</v>
      </c>
    </row>
    <row r="52" spans="2:6">
      <c r="B52" s="1028"/>
      <c r="C52" s="300" t="s">
        <v>605</v>
      </c>
      <c r="D52" s="710">
        <v>1</v>
      </c>
      <c r="E52" s="717">
        <v>1</v>
      </c>
      <c r="F52" s="718" t="s">
        <v>560</v>
      </c>
    </row>
    <row r="53" spans="2:6">
      <c r="B53" s="1028"/>
      <c r="C53" s="300" t="s">
        <v>606</v>
      </c>
      <c r="D53" s="710">
        <v>4</v>
      </c>
      <c r="E53" s="717">
        <v>4</v>
      </c>
      <c r="F53" s="718" t="s">
        <v>560</v>
      </c>
    </row>
    <row r="54" spans="2:6">
      <c r="B54" s="1028"/>
      <c r="C54" s="300" t="s">
        <v>607</v>
      </c>
      <c r="D54" s="710">
        <v>1</v>
      </c>
      <c r="E54" s="717">
        <v>1</v>
      </c>
      <c r="F54" s="718" t="s">
        <v>560</v>
      </c>
    </row>
    <row r="55" spans="2:6">
      <c r="B55" s="1029"/>
      <c r="C55" s="300" t="s">
        <v>608</v>
      </c>
      <c r="D55" s="710">
        <v>4</v>
      </c>
      <c r="E55" s="717">
        <v>4</v>
      </c>
      <c r="F55" s="718" t="s">
        <v>560</v>
      </c>
    </row>
    <row r="56" spans="2:6">
      <c r="B56" s="1027" t="s">
        <v>343</v>
      </c>
      <c r="C56" s="1041" t="s">
        <v>609</v>
      </c>
      <c r="D56" s="1042"/>
      <c r="E56" s="1042"/>
      <c r="F56" s="1043"/>
    </row>
    <row r="57" spans="2:6">
      <c r="B57" s="1028"/>
      <c r="C57" s="300" t="s">
        <v>610</v>
      </c>
      <c r="D57" s="710">
        <v>1</v>
      </c>
      <c r="E57" s="717">
        <v>1</v>
      </c>
      <c r="F57" s="727" t="s">
        <v>560</v>
      </c>
    </row>
    <row r="58" spans="2:6">
      <c r="B58" s="1028"/>
      <c r="C58" s="300" t="s">
        <v>611</v>
      </c>
      <c r="D58" s="710">
        <v>1</v>
      </c>
      <c r="E58" s="717">
        <v>1</v>
      </c>
      <c r="F58" s="727" t="s">
        <v>560</v>
      </c>
    </row>
    <row r="59" spans="2:6">
      <c r="B59" s="1029"/>
      <c r="C59" s="300" t="s">
        <v>612</v>
      </c>
      <c r="D59" s="710" t="s">
        <v>586</v>
      </c>
      <c r="E59" s="717" t="s">
        <v>586</v>
      </c>
      <c r="F59" s="727" t="s">
        <v>587</v>
      </c>
    </row>
    <row r="60" spans="2:6">
      <c r="B60" s="300" t="s">
        <v>352</v>
      </c>
      <c r="C60" s="716" t="s">
        <v>613</v>
      </c>
      <c r="D60" s="710">
        <v>1</v>
      </c>
      <c r="E60" s="717">
        <v>1</v>
      </c>
      <c r="F60" s="727" t="s">
        <v>560</v>
      </c>
    </row>
    <row r="61" spans="2:6">
      <c r="B61" s="1027" t="s">
        <v>356</v>
      </c>
      <c r="C61" s="1018" t="s">
        <v>614</v>
      </c>
      <c r="D61" s="1019"/>
      <c r="E61" s="1019"/>
      <c r="F61" s="1020"/>
    </row>
    <row r="62" spans="2:6">
      <c r="B62" s="1028"/>
      <c r="C62" s="300" t="s">
        <v>615</v>
      </c>
      <c r="D62" s="710">
        <v>1</v>
      </c>
      <c r="E62" s="723" t="s">
        <v>586</v>
      </c>
      <c r="F62" s="728" t="s">
        <v>587</v>
      </c>
    </row>
    <row r="63" spans="2:6">
      <c r="B63" s="1029"/>
      <c r="C63" s="300" t="s">
        <v>616</v>
      </c>
      <c r="D63" s="710">
        <v>1</v>
      </c>
      <c r="E63" s="723" t="s">
        <v>586</v>
      </c>
      <c r="F63" s="728" t="s">
        <v>587</v>
      </c>
    </row>
    <row r="64" spans="2:6">
      <c r="B64" s="1027" t="s">
        <v>186</v>
      </c>
      <c r="C64" s="1018" t="s">
        <v>617</v>
      </c>
      <c r="D64" s="1019"/>
      <c r="E64" s="1019"/>
      <c r="F64" s="1020"/>
    </row>
    <row r="65" spans="2:6">
      <c r="B65" s="1028"/>
      <c r="C65" s="300" t="s">
        <v>618</v>
      </c>
      <c r="D65" s="710">
        <v>1</v>
      </c>
      <c r="E65" s="717">
        <v>1</v>
      </c>
      <c r="F65" s="718" t="s">
        <v>560</v>
      </c>
    </row>
    <row r="66" spans="2:6">
      <c r="B66" s="1029"/>
      <c r="C66" s="300" t="s">
        <v>619</v>
      </c>
      <c r="D66" s="710">
        <v>1</v>
      </c>
      <c r="E66" s="717">
        <v>1</v>
      </c>
      <c r="F66" s="718" t="s">
        <v>560</v>
      </c>
    </row>
    <row r="67" spans="2:6">
      <c r="B67" s="1027" t="s">
        <v>364</v>
      </c>
      <c r="C67" s="1018" t="s">
        <v>620</v>
      </c>
      <c r="D67" s="1019"/>
      <c r="E67" s="1019"/>
      <c r="F67" s="1020"/>
    </row>
    <row r="68" spans="2:6">
      <c r="B68" s="1028"/>
      <c r="C68" s="300" t="s">
        <v>621</v>
      </c>
      <c r="D68" s="710">
        <v>1</v>
      </c>
      <c r="E68" s="717" t="s">
        <v>586</v>
      </c>
      <c r="F68" s="718" t="s">
        <v>587</v>
      </c>
    </row>
    <row r="69" spans="2:6">
      <c r="B69" s="1029"/>
      <c r="C69" s="300" t="s">
        <v>622</v>
      </c>
      <c r="D69" s="710">
        <v>4</v>
      </c>
      <c r="E69" s="717" t="s">
        <v>586</v>
      </c>
      <c r="F69" s="718" t="s">
        <v>587</v>
      </c>
    </row>
    <row r="70" spans="2:6">
      <c r="B70" s="300" t="s">
        <v>368</v>
      </c>
      <c r="C70" s="713" t="s">
        <v>623</v>
      </c>
      <c r="D70" s="710">
        <v>2</v>
      </c>
      <c r="E70" s="717">
        <v>2</v>
      </c>
      <c r="F70" s="718" t="s">
        <v>560</v>
      </c>
    </row>
    <row r="71" spans="2:6">
      <c r="B71" s="297"/>
      <c r="C71" s="297"/>
      <c r="D71" s="711"/>
      <c r="E71" s="298"/>
      <c r="F71" s="720"/>
    </row>
    <row r="72" spans="2:6">
      <c r="B72" s="298" t="s">
        <v>624</v>
      </c>
      <c r="C72" s="297"/>
      <c r="D72" s="711"/>
      <c r="E72" s="298"/>
      <c r="F72" s="720"/>
    </row>
    <row r="73" spans="2:6">
      <c r="B73" s="1027" t="s">
        <v>375</v>
      </c>
      <c r="C73" s="1018" t="s">
        <v>625</v>
      </c>
      <c r="D73" s="1019"/>
      <c r="E73" s="1019"/>
      <c r="F73" s="1019"/>
    </row>
    <row r="74" spans="2:6">
      <c r="B74" s="1028"/>
      <c r="C74" s="300" t="s">
        <v>626</v>
      </c>
      <c r="D74" s="710">
        <v>2</v>
      </c>
      <c r="E74" s="717">
        <v>2</v>
      </c>
      <c r="F74" s="726" t="s">
        <v>560</v>
      </c>
    </row>
    <row r="75" spans="2:6">
      <c r="B75" s="1029"/>
      <c r="C75" s="300" t="s">
        <v>627</v>
      </c>
      <c r="D75" s="710">
        <v>1</v>
      </c>
      <c r="E75" s="729">
        <v>1</v>
      </c>
      <c r="F75" s="730" t="s">
        <v>560</v>
      </c>
    </row>
    <row r="76" spans="2:6">
      <c r="B76" s="300" t="s">
        <v>379</v>
      </c>
      <c r="C76" s="713" t="s">
        <v>628</v>
      </c>
      <c r="D76" s="710">
        <v>10</v>
      </c>
      <c r="E76" s="729">
        <v>10</v>
      </c>
      <c r="F76" s="730" t="s">
        <v>560</v>
      </c>
    </row>
    <row r="77" spans="2:6">
      <c r="B77" s="297"/>
      <c r="C77" s="297"/>
      <c r="D77" s="711"/>
      <c r="E77" s="298"/>
      <c r="F77" s="720"/>
    </row>
    <row r="78" spans="2:6">
      <c r="B78" s="298" t="s">
        <v>629</v>
      </c>
      <c r="C78" s="297"/>
      <c r="D78" s="711"/>
      <c r="E78" s="298"/>
      <c r="F78" s="720"/>
    </row>
    <row r="79" spans="2:6">
      <c r="B79" s="300" t="s">
        <v>387</v>
      </c>
      <c r="C79" s="713" t="s">
        <v>630</v>
      </c>
      <c r="D79" s="710">
        <v>5</v>
      </c>
      <c r="E79" s="729">
        <v>1</v>
      </c>
      <c r="F79" s="730" t="s">
        <v>560</v>
      </c>
    </row>
    <row r="80" spans="2:6">
      <c r="B80" s="300" t="s">
        <v>391</v>
      </c>
      <c r="C80" s="713" t="s">
        <v>631</v>
      </c>
      <c r="D80" s="710">
        <v>1</v>
      </c>
      <c r="E80" s="729">
        <v>1</v>
      </c>
      <c r="F80" s="730" t="s">
        <v>560</v>
      </c>
    </row>
    <row r="81" spans="2:6">
      <c r="B81" s="300" t="s">
        <v>394</v>
      </c>
      <c r="C81" s="1018" t="s">
        <v>632</v>
      </c>
      <c r="D81" s="1019"/>
      <c r="E81" s="1019"/>
      <c r="F81" s="1019"/>
    </row>
    <row r="82" spans="2:6">
      <c r="B82" s="300"/>
      <c r="C82" s="300" t="s">
        <v>633</v>
      </c>
      <c r="D82" s="710">
        <v>1</v>
      </c>
      <c r="E82" s="729">
        <v>1</v>
      </c>
      <c r="F82" s="730" t="s">
        <v>560</v>
      </c>
    </row>
    <row r="83" spans="2:6">
      <c r="B83" s="300"/>
      <c r="C83" s="300" t="s">
        <v>634</v>
      </c>
      <c r="D83" s="710">
        <v>1</v>
      </c>
      <c r="E83" s="729">
        <v>1</v>
      </c>
      <c r="F83" s="730" t="s">
        <v>560</v>
      </c>
    </row>
    <row r="84" spans="2:6">
      <c r="B84" s="300"/>
      <c r="C84" s="300" t="s">
        <v>635</v>
      </c>
      <c r="D84" s="710" t="s">
        <v>586</v>
      </c>
      <c r="E84" s="729" t="s">
        <v>586</v>
      </c>
      <c r="F84" s="730" t="s">
        <v>587</v>
      </c>
    </row>
    <row r="85" spans="2:6">
      <c r="B85" s="300" t="s">
        <v>403</v>
      </c>
      <c r="C85" s="713" t="s">
        <v>636</v>
      </c>
      <c r="D85" s="710">
        <v>1</v>
      </c>
      <c r="E85" s="729">
        <v>1</v>
      </c>
      <c r="F85" s="730" t="s">
        <v>560</v>
      </c>
    </row>
    <row r="86" spans="2:6">
      <c r="B86" s="297"/>
      <c r="C86" s="297"/>
      <c r="D86" s="711"/>
      <c r="E86" s="298"/>
      <c r="F86" s="720"/>
    </row>
    <row r="87" spans="2:6">
      <c r="B87" s="298" t="s">
        <v>637</v>
      </c>
      <c r="C87" s="297"/>
      <c r="D87" s="711"/>
      <c r="E87" s="298"/>
      <c r="F87" s="720"/>
    </row>
    <row r="88" spans="2:6">
      <c r="B88" s="300" t="s">
        <v>410</v>
      </c>
      <c r="C88" s="1018" t="s">
        <v>638</v>
      </c>
      <c r="D88" s="1019"/>
      <c r="E88" s="1019"/>
      <c r="F88" s="1020"/>
    </row>
    <row r="89" spans="2:6">
      <c r="B89" s="300"/>
      <c r="C89" s="300" t="s">
        <v>639</v>
      </c>
      <c r="D89" s="710">
        <v>3</v>
      </c>
      <c r="E89" s="717">
        <v>3</v>
      </c>
      <c r="F89" s="718" t="s">
        <v>560</v>
      </c>
    </row>
    <row r="90" spans="2:6">
      <c r="B90" s="300"/>
      <c r="C90" s="300" t="s">
        <v>640</v>
      </c>
      <c r="D90" s="710">
        <v>2</v>
      </c>
      <c r="E90" s="717">
        <v>2</v>
      </c>
      <c r="F90" s="718" t="s">
        <v>560</v>
      </c>
    </row>
    <row r="91" spans="2:6">
      <c r="B91" s="300" t="s">
        <v>415</v>
      </c>
      <c r="C91" s="1018" t="s">
        <v>641</v>
      </c>
      <c r="D91" s="1019"/>
      <c r="E91" s="1019"/>
      <c r="F91" s="1020"/>
    </row>
    <row r="92" spans="2:6">
      <c r="B92" s="300"/>
      <c r="C92" s="300" t="s">
        <v>642</v>
      </c>
      <c r="D92" s="710">
        <v>1</v>
      </c>
      <c r="E92" s="717">
        <v>1</v>
      </c>
      <c r="F92" s="718" t="s">
        <v>560</v>
      </c>
    </row>
    <row r="93" spans="2:6">
      <c r="B93" s="300"/>
      <c r="C93" s="300" t="s">
        <v>643</v>
      </c>
      <c r="D93" s="710">
        <v>2</v>
      </c>
      <c r="E93" s="717">
        <v>1</v>
      </c>
      <c r="F93" s="718" t="s">
        <v>560</v>
      </c>
    </row>
    <row r="94" spans="2:6">
      <c r="B94" s="300" t="s">
        <v>419</v>
      </c>
      <c r="C94" s="1018" t="s">
        <v>644</v>
      </c>
      <c r="D94" s="1019"/>
      <c r="E94" s="1019"/>
      <c r="F94" s="1020"/>
    </row>
    <row r="95" spans="2:6">
      <c r="B95" s="300"/>
      <c r="C95" s="300" t="s">
        <v>645</v>
      </c>
      <c r="D95" s="710">
        <v>1</v>
      </c>
      <c r="E95" s="717">
        <v>1</v>
      </c>
      <c r="F95" s="718" t="s">
        <v>560</v>
      </c>
    </row>
    <row r="96" spans="2:6">
      <c r="B96" s="300"/>
      <c r="C96" s="300" t="s">
        <v>646</v>
      </c>
      <c r="D96" s="710">
        <v>2</v>
      </c>
      <c r="E96" s="717">
        <v>1</v>
      </c>
      <c r="F96" s="718" t="s">
        <v>560</v>
      </c>
    </row>
    <row r="97" spans="2:6">
      <c r="B97" s="300" t="s">
        <v>424</v>
      </c>
      <c r="C97" s="1018" t="s">
        <v>647</v>
      </c>
      <c r="D97" s="1019"/>
      <c r="E97" s="1019"/>
      <c r="F97" s="1020"/>
    </row>
    <row r="98" spans="2:6">
      <c r="B98" s="712"/>
      <c r="C98" s="300" t="s">
        <v>648</v>
      </c>
      <c r="D98" s="710">
        <v>1</v>
      </c>
      <c r="E98" s="717">
        <v>1</v>
      </c>
      <c r="F98" s="718" t="s">
        <v>560</v>
      </c>
    </row>
    <row r="99" spans="2:6">
      <c r="B99" s="712"/>
      <c r="C99" s="300" t="s">
        <v>649</v>
      </c>
      <c r="D99" s="710">
        <v>1</v>
      </c>
      <c r="E99" s="717" t="s">
        <v>586</v>
      </c>
      <c r="F99" s="718" t="s">
        <v>587</v>
      </c>
    </row>
    <row r="100" spans="2:6">
      <c r="B100" s="712"/>
      <c r="C100" s="300" t="s">
        <v>650</v>
      </c>
      <c r="D100" s="710">
        <v>2</v>
      </c>
      <c r="E100" s="717">
        <v>2</v>
      </c>
      <c r="F100" s="718" t="s">
        <v>560</v>
      </c>
    </row>
    <row r="101" spans="2:6">
      <c r="B101" s="300" t="s">
        <v>431</v>
      </c>
      <c r="C101" s="1018" t="s">
        <v>651</v>
      </c>
      <c r="D101" s="1019"/>
      <c r="E101" s="1019"/>
      <c r="F101" s="1020"/>
    </row>
    <row r="102" spans="2:6">
      <c r="B102" s="712"/>
      <c r="C102" s="300" t="s">
        <v>652</v>
      </c>
      <c r="D102" s="710">
        <v>1</v>
      </c>
      <c r="E102" s="717">
        <v>1</v>
      </c>
      <c r="F102" s="718" t="s">
        <v>560</v>
      </c>
    </row>
    <row r="103" spans="2:6">
      <c r="B103" s="712"/>
      <c r="C103" s="300" t="s">
        <v>651</v>
      </c>
      <c r="D103" s="710">
        <v>1</v>
      </c>
      <c r="E103" s="717">
        <v>1</v>
      </c>
      <c r="F103" s="718" t="s">
        <v>560</v>
      </c>
    </row>
    <row r="104" spans="2:6">
      <c r="B104" s="712"/>
      <c r="C104" s="300" t="s">
        <v>653</v>
      </c>
      <c r="D104" s="710">
        <v>2</v>
      </c>
      <c r="E104" s="717">
        <v>2</v>
      </c>
      <c r="F104" s="718" t="s">
        <v>560</v>
      </c>
    </row>
    <row r="105" spans="2:6">
      <c r="B105" s="300" t="s">
        <v>436</v>
      </c>
      <c r="C105" s="1018" t="s">
        <v>654</v>
      </c>
      <c r="D105" s="1019"/>
      <c r="E105" s="1019"/>
      <c r="F105" s="1020"/>
    </row>
    <row r="106" spans="2:6">
      <c r="B106" s="712"/>
      <c r="C106" s="300" t="s">
        <v>655</v>
      </c>
      <c r="D106" s="710">
        <v>1</v>
      </c>
      <c r="E106" s="717">
        <v>1</v>
      </c>
      <c r="F106" s="718" t="s">
        <v>560</v>
      </c>
    </row>
    <row r="107" spans="2:6">
      <c r="B107" s="712"/>
      <c r="C107" s="300" t="s">
        <v>656</v>
      </c>
      <c r="D107" s="710">
        <v>1</v>
      </c>
      <c r="E107" s="717">
        <v>1</v>
      </c>
      <c r="F107" s="718" t="s">
        <v>560</v>
      </c>
    </row>
    <row r="108" spans="2:6">
      <c r="B108" s="712"/>
      <c r="C108" s="300" t="s">
        <v>657</v>
      </c>
      <c r="D108" s="710">
        <v>2</v>
      </c>
      <c r="E108" s="717">
        <v>2</v>
      </c>
      <c r="F108" s="718" t="s">
        <v>560</v>
      </c>
    </row>
    <row r="109" spans="2:6">
      <c r="B109" s="298" t="s">
        <v>658</v>
      </c>
      <c r="C109" s="297"/>
      <c r="D109" s="711"/>
      <c r="E109" s="298"/>
      <c r="F109" s="720"/>
    </row>
    <row r="110" spans="2:6">
      <c r="B110" s="713" t="s">
        <v>444</v>
      </c>
      <c r="C110" s="1023" t="s">
        <v>659</v>
      </c>
      <c r="D110" s="1021"/>
      <c r="E110" s="1021"/>
      <c r="F110" s="1022"/>
    </row>
    <row r="111" spans="2:6">
      <c r="B111" s="300"/>
      <c r="C111" s="300" t="s">
        <v>660</v>
      </c>
      <c r="D111" s="710">
        <v>1</v>
      </c>
      <c r="E111" s="717">
        <v>1</v>
      </c>
      <c r="F111" s="718" t="s">
        <v>560</v>
      </c>
    </row>
    <row r="112" spans="2:6">
      <c r="B112" s="300"/>
      <c r="C112" s="300" t="s">
        <v>661</v>
      </c>
      <c r="D112" s="710">
        <v>2</v>
      </c>
      <c r="E112" s="717">
        <v>2</v>
      </c>
      <c r="F112" s="718" t="s">
        <v>560</v>
      </c>
    </row>
    <row r="113" spans="2:6">
      <c r="B113" s="300"/>
      <c r="C113" s="300" t="s">
        <v>662</v>
      </c>
      <c r="D113" s="710">
        <v>2</v>
      </c>
      <c r="E113" s="717">
        <v>2</v>
      </c>
      <c r="F113" s="718" t="s">
        <v>560</v>
      </c>
    </row>
    <row r="114" spans="2:6">
      <c r="B114" s="713" t="s">
        <v>451</v>
      </c>
      <c r="C114" s="713" t="s">
        <v>663</v>
      </c>
      <c r="D114" s="710">
        <v>1</v>
      </c>
      <c r="E114" s="717">
        <v>1</v>
      </c>
      <c r="F114" s="718" t="s">
        <v>560</v>
      </c>
    </row>
    <row r="115" spans="2:6">
      <c r="B115" s="713" t="s">
        <v>454</v>
      </c>
      <c r="C115" s="713" t="s">
        <v>663</v>
      </c>
      <c r="D115" s="710" t="s">
        <v>586</v>
      </c>
      <c r="E115" s="717" t="s">
        <v>586</v>
      </c>
      <c r="F115" s="718" t="s">
        <v>587</v>
      </c>
    </row>
    <row r="116" spans="2:6">
      <c r="B116" s="713" t="s">
        <v>456</v>
      </c>
      <c r="C116" s="713" t="s">
        <v>664</v>
      </c>
      <c r="D116" s="710">
        <v>1</v>
      </c>
      <c r="E116" s="717">
        <v>1</v>
      </c>
      <c r="F116" s="718" t="s">
        <v>587</v>
      </c>
    </row>
    <row r="117" spans="2:6">
      <c r="B117" s="297"/>
      <c r="C117" s="297"/>
      <c r="D117" s="711"/>
      <c r="E117" s="298"/>
      <c r="F117" s="720"/>
    </row>
    <row r="118" spans="2:6">
      <c r="B118" s="298" t="s">
        <v>665</v>
      </c>
      <c r="C118" s="297"/>
      <c r="D118" s="711"/>
      <c r="E118" s="298"/>
      <c r="F118" s="720"/>
    </row>
    <row r="119" spans="2:6">
      <c r="B119" s="713" t="s">
        <v>463</v>
      </c>
      <c r="C119" s="713" t="s">
        <v>666</v>
      </c>
      <c r="D119" s="710" t="s">
        <v>586</v>
      </c>
      <c r="E119" s="717" t="s">
        <v>586</v>
      </c>
      <c r="F119" s="718" t="s">
        <v>587</v>
      </c>
    </row>
    <row r="120" spans="2:6">
      <c r="B120" s="713" t="s">
        <v>467</v>
      </c>
      <c r="C120" s="1018" t="s">
        <v>667</v>
      </c>
      <c r="D120" s="1019"/>
      <c r="E120" s="1019"/>
      <c r="F120" s="1020"/>
    </row>
    <row r="121" spans="2:6">
      <c r="B121" s="300"/>
      <c r="C121" s="300" t="s">
        <v>668</v>
      </c>
      <c r="D121" s="710">
        <v>1</v>
      </c>
      <c r="E121" s="717">
        <v>1</v>
      </c>
      <c r="F121" s="718" t="s">
        <v>560</v>
      </c>
    </row>
    <row r="122" spans="2:6">
      <c r="B122" s="300"/>
      <c r="C122" s="300" t="s">
        <v>669</v>
      </c>
      <c r="D122" s="710">
        <v>1</v>
      </c>
      <c r="E122" s="717">
        <v>1</v>
      </c>
      <c r="F122" s="718" t="s">
        <v>560</v>
      </c>
    </row>
    <row r="123" spans="2:6">
      <c r="B123" s="713" t="s">
        <v>670</v>
      </c>
      <c r="C123" s="1023" t="s">
        <v>671</v>
      </c>
      <c r="D123" s="1021"/>
      <c r="E123" s="1021"/>
      <c r="F123" s="1022"/>
    </row>
    <row r="124" spans="2:6">
      <c r="B124" s="300"/>
      <c r="C124" s="300" t="s">
        <v>672</v>
      </c>
      <c r="D124" s="710">
        <v>1</v>
      </c>
      <c r="E124" s="717">
        <v>1</v>
      </c>
      <c r="F124" s="718" t="s">
        <v>560</v>
      </c>
    </row>
    <row r="125" spans="2:6">
      <c r="B125" s="300"/>
      <c r="C125" s="300" t="s">
        <v>673</v>
      </c>
      <c r="D125" s="710">
        <v>2</v>
      </c>
      <c r="E125" s="717">
        <v>1</v>
      </c>
      <c r="F125" s="718" t="s">
        <v>560</v>
      </c>
    </row>
    <row r="126" spans="2:6">
      <c r="B126" s="713" t="s">
        <v>476</v>
      </c>
      <c r="C126" s="1018" t="s">
        <v>674</v>
      </c>
      <c r="D126" s="1019"/>
      <c r="E126" s="1019"/>
      <c r="F126" s="1020"/>
    </row>
    <row r="127" spans="2:6">
      <c r="B127" s="300"/>
      <c r="C127" s="300" t="s">
        <v>675</v>
      </c>
      <c r="D127" s="710">
        <v>1</v>
      </c>
      <c r="E127" s="717">
        <v>1</v>
      </c>
      <c r="F127" s="718" t="s">
        <v>560</v>
      </c>
    </row>
    <row r="128" spans="2:6">
      <c r="B128" s="300"/>
      <c r="C128" s="300" t="s">
        <v>676</v>
      </c>
      <c r="D128" s="710">
        <v>3</v>
      </c>
      <c r="E128" s="717">
        <v>3</v>
      </c>
      <c r="F128" s="718" t="s">
        <v>560</v>
      </c>
    </row>
    <row r="129" spans="2:6">
      <c r="B129" s="713" t="s">
        <v>481</v>
      </c>
      <c r="C129" s="1018" t="s">
        <v>677</v>
      </c>
      <c r="D129" s="1019"/>
      <c r="E129" s="1019"/>
      <c r="F129" s="1020"/>
    </row>
    <row r="130" spans="2:6">
      <c r="B130" s="300"/>
      <c r="C130" s="300" t="s">
        <v>678</v>
      </c>
      <c r="D130" s="710">
        <v>1</v>
      </c>
      <c r="E130" s="717">
        <v>1</v>
      </c>
      <c r="F130" s="718" t="s">
        <v>560</v>
      </c>
    </row>
    <row r="131" spans="2:6">
      <c r="B131" s="300"/>
      <c r="C131" s="300" t="s">
        <v>679</v>
      </c>
      <c r="D131" s="710">
        <v>1</v>
      </c>
      <c r="E131" s="717">
        <v>1</v>
      </c>
      <c r="F131" s="718" t="s">
        <v>560</v>
      </c>
    </row>
    <row r="132" spans="2:6">
      <c r="B132" s="713" t="s">
        <v>486</v>
      </c>
      <c r="C132" s="713" t="s">
        <v>680</v>
      </c>
      <c r="D132" s="710">
        <v>1</v>
      </c>
      <c r="E132" s="717" t="s">
        <v>586</v>
      </c>
      <c r="F132" s="718" t="s">
        <v>587</v>
      </c>
    </row>
    <row r="133" spans="2:6">
      <c r="B133" s="715" t="s">
        <v>681</v>
      </c>
      <c r="C133" s="715" t="s">
        <v>682</v>
      </c>
      <c r="D133" s="710">
        <v>2</v>
      </c>
      <c r="E133" s="717">
        <v>2</v>
      </c>
      <c r="F133" s="718" t="s">
        <v>560</v>
      </c>
    </row>
    <row r="134" spans="2:6">
      <c r="B134" s="715" t="s">
        <v>683</v>
      </c>
      <c r="C134" s="1021" t="s">
        <v>684</v>
      </c>
      <c r="D134" s="1021"/>
      <c r="E134" s="1021"/>
      <c r="F134" s="1022"/>
    </row>
    <row r="135" spans="2:6">
      <c r="B135" s="712"/>
      <c r="C135" s="300" t="s">
        <v>685</v>
      </c>
      <c r="D135" s="710">
        <v>1</v>
      </c>
      <c r="E135" s="717">
        <v>1</v>
      </c>
      <c r="F135" s="718" t="s">
        <v>560</v>
      </c>
    </row>
    <row r="136" spans="2:6">
      <c r="B136" s="712"/>
      <c r="C136" s="300" t="s">
        <v>686</v>
      </c>
      <c r="D136" s="710">
        <v>1</v>
      </c>
      <c r="E136" s="717">
        <v>1</v>
      </c>
      <c r="F136" s="718" t="s">
        <v>560</v>
      </c>
    </row>
    <row r="137" spans="2:6">
      <c r="B137" s="712"/>
      <c r="C137" s="712"/>
      <c r="D137" s="714"/>
      <c r="E137" s="731"/>
      <c r="F137" s="720"/>
    </row>
    <row r="138" spans="2:6">
      <c r="B138" s="298" t="s">
        <v>687</v>
      </c>
      <c r="C138" s="297"/>
      <c r="D138" s="711"/>
      <c r="E138" s="298"/>
      <c r="F138" s="720"/>
    </row>
    <row r="139" spans="2:6">
      <c r="B139" s="713" t="s">
        <v>688</v>
      </c>
      <c r="C139" s="713" t="s">
        <v>689</v>
      </c>
      <c r="D139" s="710">
        <v>3</v>
      </c>
      <c r="E139" s="717">
        <v>3</v>
      </c>
      <c r="F139" s="718" t="s">
        <v>560</v>
      </c>
    </row>
    <row r="140" spans="2:6">
      <c r="B140" s="713" t="s">
        <v>690</v>
      </c>
      <c r="C140" s="713" t="s">
        <v>691</v>
      </c>
      <c r="D140" s="710">
        <v>2</v>
      </c>
      <c r="E140" s="717">
        <v>2</v>
      </c>
      <c r="F140" s="718" t="s">
        <v>560</v>
      </c>
    </row>
    <row r="141" spans="2:6">
      <c r="B141" s="713" t="s">
        <v>692</v>
      </c>
      <c r="C141" s="713" t="s">
        <v>693</v>
      </c>
      <c r="D141" s="710">
        <v>1</v>
      </c>
      <c r="E141" s="717">
        <v>1</v>
      </c>
      <c r="F141" s="718" t="s">
        <v>560</v>
      </c>
    </row>
    <row r="142" spans="2:6">
      <c r="B142" s="713" t="s">
        <v>694</v>
      </c>
      <c r="C142" s="713" t="s">
        <v>695</v>
      </c>
      <c r="D142" s="710">
        <v>1</v>
      </c>
      <c r="E142" s="717">
        <v>1</v>
      </c>
      <c r="F142" s="718" t="s">
        <v>560</v>
      </c>
    </row>
    <row r="143" spans="2:6">
      <c r="B143" s="297"/>
      <c r="C143" s="297"/>
      <c r="D143" s="711"/>
      <c r="E143" s="298"/>
      <c r="F143" s="720"/>
    </row>
    <row r="144" spans="2:6">
      <c r="B144" s="298" t="s">
        <v>696</v>
      </c>
      <c r="C144" s="297"/>
      <c r="D144" s="711"/>
      <c r="E144" s="298"/>
      <c r="F144" s="720"/>
    </row>
    <row r="145" spans="2:6">
      <c r="B145" s="300" t="s">
        <v>697</v>
      </c>
      <c r="C145" s="300" t="s">
        <v>698</v>
      </c>
      <c r="D145" s="710">
        <v>1</v>
      </c>
      <c r="E145" s="717">
        <v>1</v>
      </c>
      <c r="F145" s="718" t="s">
        <v>560</v>
      </c>
    </row>
    <row r="146" spans="2:6">
      <c r="B146" s="300" t="s">
        <v>699</v>
      </c>
      <c r="C146" s="300" t="s">
        <v>700</v>
      </c>
      <c r="D146" s="710">
        <v>1</v>
      </c>
      <c r="E146" s="717">
        <v>1</v>
      </c>
      <c r="F146" s="718" t="s">
        <v>560</v>
      </c>
    </row>
    <row r="147" spans="2:6">
      <c r="B147" s="300" t="s">
        <v>699</v>
      </c>
      <c r="C147" s="300" t="s">
        <v>701</v>
      </c>
      <c r="D147" s="710">
        <v>1</v>
      </c>
      <c r="E147" s="717">
        <v>1</v>
      </c>
      <c r="F147" s="718" t="s">
        <v>560</v>
      </c>
    </row>
    <row r="148" spans="2:6">
      <c r="B148" s="300" t="s">
        <v>702</v>
      </c>
      <c r="C148" s="300" t="s">
        <v>703</v>
      </c>
      <c r="D148" s="710">
        <v>1</v>
      </c>
      <c r="E148" s="717">
        <v>1</v>
      </c>
      <c r="F148" s="718" t="s">
        <v>587</v>
      </c>
    </row>
    <row r="149" spans="2:6">
      <c r="B149" s="300" t="s">
        <v>704</v>
      </c>
      <c r="C149" s="300" t="s">
        <v>705</v>
      </c>
      <c r="D149" s="710">
        <v>1</v>
      </c>
      <c r="E149" s="717">
        <v>1</v>
      </c>
      <c r="F149" s="718" t="s">
        <v>560</v>
      </c>
    </row>
    <row r="150" spans="2:6">
      <c r="B150" s="300" t="s">
        <v>704</v>
      </c>
      <c r="C150" s="300" t="s">
        <v>706</v>
      </c>
      <c r="D150" s="710">
        <v>1</v>
      </c>
      <c r="E150" s="717">
        <v>1</v>
      </c>
      <c r="F150" s="718" t="s">
        <v>560</v>
      </c>
    </row>
    <row r="151" spans="2:6">
      <c r="B151" s="300" t="s">
        <v>707</v>
      </c>
      <c r="C151" s="300" t="s">
        <v>708</v>
      </c>
      <c r="D151" s="710">
        <v>1</v>
      </c>
      <c r="E151" s="717">
        <v>1</v>
      </c>
      <c r="F151" s="718" t="s">
        <v>560</v>
      </c>
    </row>
    <row r="152" spans="2:6">
      <c r="B152" s="300" t="s">
        <v>191</v>
      </c>
      <c r="C152" s="300" t="s">
        <v>709</v>
      </c>
      <c r="D152" s="710">
        <v>1</v>
      </c>
      <c r="E152" s="717">
        <v>1</v>
      </c>
      <c r="F152" s="718" t="s">
        <v>560</v>
      </c>
    </row>
    <row r="153" spans="2:6">
      <c r="B153" s="300" t="s">
        <v>192</v>
      </c>
      <c r="C153" s="300" t="s">
        <v>710</v>
      </c>
      <c r="D153" s="710">
        <v>1</v>
      </c>
      <c r="E153" s="717">
        <v>1</v>
      </c>
      <c r="F153" s="718" t="s">
        <v>560</v>
      </c>
    </row>
    <row r="154" spans="2:6">
      <c r="B154" s="297" t="s">
        <v>194</v>
      </c>
      <c r="C154" s="300" t="s">
        <v>711</v>
      </c>
      <c r="D154" s="710">
        <v>1</v>
      </c>
      <c r="E154" s="717">
        <v>1</v>
      </c>
      <c r="F154" s="718" t="s">
        <v>560</v>
      </c>
    </row>
    <row r="155" spans="2:6">
      <c r="B155" s="297" t="s">
        <v>712</v>
      </c>
      <c r="C155" s="300" t="s">
        <v>713</v>
      </c>
      <c r="D155" s="710">
        <v>1</v>
      </c>
      <c r="E155" s="717">
        <v>1</v>
      </c>
      <c r="F155" s="718" t="s">
        <v>560</v>
      </c>
    </row>
    <row r="156" spans="2:6">
      <c r="B156" s="297" t="s">
        <v>714</v>
      </c>
      <c r="C156" s="300" t="s">
        <v>715</v>
      </c>
      <c r="D156" s="710">
        <v>1</v>
      </c>
      <c r="E156" s="717">
        <v>1</v>
      </c>
      <c r="F156" s="718" t="s">
        <v>560</v>
      </c>
    </row>
    <row r="157" spans="2:6">
      <c r="B157" s="297" t="s">
        <v>716</v>
      </c>
      <c r="C157" s="300" t="s">
        <v>717</v>
      </c>
      <c r="D157" s="710">
        <v>1</v>
      </c>
      <c r="E157" s="717" t="s">
        <v>586</v>
      </c>
      <c r="F157" s="718" t="s">
        <v>587</v>
      </c>
    </row>
    <row r="158" spans="2:6">
      <c r="B158" s="297" t="s">
        <v>683</v>
      </c>
      <c r="C158" s="300" t="s">
        <v>718</v>
      </c>
      <c r="D158" s="710">
        <v>1</v>
      </c>
      <c r="E158" s="717">
        <v>1</v>
      </c>
      <c r="F158" s="718" t="s">
        <v>560</v>
      </c>
    </row>
  </sheetData>
  <mergeCells count="48">
    <mergeCell ref="C88:F88"/>
    <mergeCell ref="C91:F91"/>
    <mergeCell ref="C94:F94"/>
    <mergeCell ref="C97:F97"/>
    <mergeCell ref="C101:F101"/>
    <mergeCell ref="C67:F67"/>
    <mergeCell ref="B64:B66"/>
    <mergeCell ref="B73:B75"/>
    <mergeCell ref="C73:F73"/>
    <mergeCell ref="C81:F81"/>
    <mergeCell ref="C50:F50"/>
    <mergeCell ref="C56:F56"/>
    <mergeCell ref="B61:B63"/>
    <mergeCell ref="C61:F61"/>
    <mergeCell ref="C64:F64"/>
    <mergeCell ref="C24:F24"/>
    <mergeCell ref="C29:F29"/>
    <mergeCell ref="C35:F35"/>
    <mergeCell ref="C39:F39"/>
    <mergeCell ref="C44:F44"/>
    <mergeCell ref="B35:B38"/>
    <mergeCell ref="B3:B5"/>
    <mergeCell ref="F3:F5"/>
    <mergeCell ref="D3:D5"/>
    <mergeCell ref="C3:C5"/>
    <mergeCell ref="B29:B34"/>
    <mergeCell ref="E3:E5"/>
    <mergeCell ref="B7:B11"/>
    <mergeCell ref="B12:B14"/>
    <mergeCell ref="B15:B19"/>
    <mergeCell ref="B20:B23"/>
    <mergeCell ref="B24:B27"/>
    <mergeCell ref="C15:F15"/>
    <mergeCell ref="C12:F12"/>
    <mergeCell ref="C7:F7"/>
    <mergeCell ref="C20:F20"/>
    <mergeCell ref="B39:B42"/>
    <mergeCell ref="B44:B46"/>
    <mergeCell ref="B50:B55"/>
    <mergeCell ref="B56:B59"/>
    <mergeCell ref="B67:B69"/>
    <mergeCell ref="C129:F129"/>
    <mergeCell ref="C134:F134"/>
    <mergeCell ref="C105:F105"/>
    <mergeCell ref="C110:F110"/>
    <mergeCell ref="C123:F123"/>
    <mergeCell ref="C120:F120"/>
    <mergeCell ref="C126:F1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46"/>
  <sheetViews>
    <sheetView zoomScale="90" zoomScaleNormal="90" workbookViewId="0">
      <selection activeCell="K9" sqref="K9"/>
    </sheetView>
  </sheetViews>
  <sheetFormatPr defaultColWidth="8.85546875" defaultRowHeight="15"/>
  <cols>
    <col min="1" max="1" width="13.5703125" customWidth="1"/>
    <col min="2" max="2" width="7.28515625" customWidth="1"/>
    <col min="3" max="3" width="60.28515625" bestFit="1" customWidth="1"/>
    <col min="4" max="4" width="19.85546875" hidden="1" customWidth="1"/>
    <col min="5" max="5" width="27.140625" hidden="1" customWidth="1"/>
    <col min="6" max="6" width="22.5703125" hidden="1" customWidth="1"/>
    <col min="7" max="7" width="8.85546875" customWidth="1"/>
    <col min="8" max="8" width="11.140625" customWidth="1"/>
    <col min="9" max="18" width="8.85546875" customWidth="1"/>
    <col min="19" max="19" width="20.140625" customWidth="1"/>
    <col min="20" max="20" width="45.85546875" customWidth="1"/>
    <col min="21" max="21" width="46.28515625" customWidth="1"/>
    <col min="22" max="22" width="36.140625" customWidth="1"/>
    <col min="23" max="30" width="8.85546875" customWidth="1"/>
  </cols>
  <sheetData>
    <row r="1" spans="1:31" ht="15.75" thickBot="1">
      <c r="A1">
        <v>1</v>
      </c>
      <c r="B1">
        <v>2</v>
      </c>
      <c r="C1">
        <v>3</v>
      </c>
      <c r="D1">
        <v>4</v>
      </c>
      <c r="E1">
        <v>5</v>
      </c>
      <c r="F1">
        <v>6</v>
      </c>
      <c r="G1">
        <v>7</v>
      </c>
      <c r="H1">
        <v>8</v>
      </c>
    </row>
    <row r="2" spans="1:31" ht="15.75" thickBot="1">
      <c r="C2" s="54" t="s">
        <v>719</v>
      </c>
      <c r="D2" s="54"/>
      <c r="E2" s="54"/>
      <c r="F2" s="54"/>
      <c r="G2" s="54"/>
      <c r="H2" s="309" t="s">
        <v>25</v>
      </c>
      <c r="I2" s="292" t="s">
        <v>127</v>
      </c>
      <c r="J2" t="s">
        <v>123</v>
      </c>
    </row>
    <row r="3" spans="1:31" ht="15.75" thickBot="1">
      <c r="S3" t="s">
        <v>720</v>
      </c>
    </row>
    <row r="4" spans="1:31" ht="15.75" thickBot="1">
      <c r="S4" s="305" t="s">
        <v>552</v>
      </c>
      <c r="T4" s="306" t="s">
        <v>553</v>
      </c>
      <c r="U4" s="306" t="s">
        <v>721</v>
      </c>
      <c r="V4" s="307"/>
    </row>
    <row r="5" spans="1:31" ht="15.75" thickBot="1">
      <c r="C5" s="44" t="s">
        <v>722</v>
      </c>
      <c r="D5" s="47" t="s">
        <v>723</v>
      </c>
      <c r="E5" s="52" t="s">
        <v>724</v>
      </c>
      <c r="F5" s="47" t="s">
        <v>725</v>
      </c>
      <c r="H5" s="308" t="s">
        <v>726</v>
      </c>
      <c r="N5" s="1045" t="s">
        <v>727</v>
      </c>
      <c r="O5" s="1045"/>
      <c r="S5" s="296" t="s">
        <v>557</v>
      </c>
      <c r="T5" s="296"/>
      <c r="U5" s="709"/>
      <c r="V5" s="296"/>
      <c r="W5" s="707"/>
      <c r="X5" s="504"/>
      <c r="Y5" s="504"/>
      <c r="Z5" s="504"/>
      <c r="AA5" s="504"/>
      <c r="AB5" s="504"/>
      <c r="AC5" s="504"/>
      <c r="AD5" s="504"/>
    </row>
    <row r="6" spans="1:31" ht="15.75" thickBot="1">
      <c r="B6" s="123"/>
      <c r="C6" s="124" t="s">
        <v>251</v>
      </c>
      <c r="D6" s="51"/>
      <c r="E6" s="51"/>
      <c r="F6" s="51"/>
      <c r="H6" s="124"/>
      <c r="N6" s="296" t="s">
        <v>557</v>
      </c>
      <c r="O6" t="b">
        <f>N6=S5</f>
        <v>1</v>
      </c>
      <c r="S6" s="1037" t="s">
        <v>253</v>
      </c>
      <c r="T6" s="804" t="s">
        <v>558</v>
      </c>
      <c r="W6" s="707"/>
      <c r="X6" s="504"/>
      <c r="Y6" s="504"/>
      <c r="Z6" s="504"/>
      <c r="AA6" s="504"/>
      <c r="AB6" s="504"/>
      <c r="AC6" s="504"/>
      <c r="AD6" s="504"/>
    </row>
    <row r="7" spans="1:31">
      <c r="A7" s="112" t="s">
        <v>253</v>
      </c>
      <c r="B7" s="661" t="s">
        <v>253</v>
      </c>
      <c r="C7" s="661" t="s">
        <v>254</v>
      </c>
      <c r="D7" s="38">
        <f>Poeng!T10</f>
        <v>5</v>
      </c>
      <c r="E7" s="37"/>
      <c r="F7" s="38">
        <f>Poeng!AB10</f>
        <v>5</v>
      </c>
      <c r="H7" s="734">
        <f>SUMIF($R$7:$R$182,A7,$U$7:$U$182)</f>
        <v>0</v>
      </c>
      <c r="I7" s="311" t="str">
        <f>IF(F7=H7,"OK","FEIL")</f>
        <v>FEIL</v>
      </c>
      <c r="N7" s="299" t="s">
        <v>253</v>
      </c>
      <c r="O7" t="b">
        <f>N7=S6</f>
        <v>1</v>
      </c>
      <c r="R7" t="s">
        <v>255</v>
      </c>
      <c r="S7" s="1037"/>
      <c r="T7" s="858" t="s">
        <v>728</v>
      </c>
      <c r="U7" s="717">
        <v>1</v>
      </c>
      <c r="V7" s="718" t="s">
        <v>560</v>
      </c>
      <c r="W7" s="707"/>
      <c r="X7" s="504"/>
      <c r="Y7" s="504"/>
      <c r="Z7" s="504"/>
      <c r="AA7" s="504"/>
      <c r="AB7" s="504"/>
      <c r="AC7" s="504"/>
      <c r="AD7" s="504"/>
    </row>
    <row r="8" spans="1:31">
      <c r="A8" t="s">
        <v>255</v>
      </c>
      <c r="B8" s="35" t="s">
        <v>729</v>
      </c>
      <c r="C8" s="857" t="s">
        <v>728</v>
      </c>
      <c r="D8" s="36">
        <f>Poeng!T16</f>
        <v>3</v>
      </c>
      <c r="E8" s="35"/>
      <c r="F8" s="38">
        <f>Poeng!AB16</f>
        <v>3</v>
      </c>
      <c r="H8" s="136">
        <f t="shared" ref="H8:H36" si="0">SUMIF($R$7:$R$182,A8,$U$7:$U$182)</f>
        <v>1</v>
      </c>
      <c r="I8" s="311" t="str">
        <f t="shared" ref="I8:I36" si="1">IF(F8=H8,"OK","FEIL")</f>
        <v>FEIL</v>
      </c>
      <c r="N8" s="299" t="s">
        <v>260</v>
      </c>
      <c r="O8" t="b">
        <f t="shared" ref="O8:O72" si="2">N8=S8</f>
        <v>0</v>
      </c>
      <c r="R8" t="s">
        <v>256</v>
      </c>
      <c r="S8" s="1037"/>
      <c r="T8" s="859" t="s">
        <v>563</v>
      </c>
      <c r="U8" s="717">
        <v>1</v>
      </c>
      <c r="V8" s="718" t="s">
        <v>560</v>
      </c>
      <c r="W8" s="707"/>
      <c r="X8" s="504"/>
      <c r="Y8" s="504"/>
      <c r="Z8" s="504"/>
      <c r="AA8" s="504"/>
      <c r="AB8" s="504"/>
      <c r="AC8" s="504"/>
      <c r="AD8" s="504"/>
      <c r="AE8">
        <v>1</v>
      </c>
    </row>
    <row r="9" spans="1:31">
      <c r="A9" t="s">
        <v>256</v>
      </c>
      <c r="B9" s="35" t="s">
        <v>730</v>
      </c>
      <c r="C9" s="857" t="s">
        <v>563</v>
      </c>
      <c r="D9" s="36">
        <f>Poeng!T19</f>
        <v>7</v>
      </c>
      <c r="E9" s="35"/>
      <c r="F9" s="38">
        <f>Poeng!AB19</f>
        <v>7</v>
      </c>
      <c r="H9" s="136">
        <f t="shared" si="0"/>
        <v>1</v>
      </c>
      <c r="I9" s="311" t="str">
        <f t="shared" si="1"/>
        <v>FEIL</v>
      </c>
      <c r="N9" s="299" t="s">
        <v>188</v>
      </c>
      <c r="O9" t="b">
        <f t="shared" si="2"/>
        <v>0</v>
      </c>
      <c r="R9" t="s">
        <v>257</v>
      </c>
      <c r="S9" s="1037"/>
      <c r="T9" s="859" t="s">
        <v>559</v>
      </c>
      <c r="U9" s="717">
        <v>1</v>
      </c>
      <c r="V9" s="718" t="s">
        <v>560</v>
      </c>
      <c r="W9" s="707"/>
      <c r="X9" s="504"/>
      <c r="Y9" s="504"/>
      <c r="Z9" s="504"/>
      <c r="AA9" s="504"/>
      <c r="AB9" s="504"/>
      <c r="AC9" s="504"/>
      <c r="AD9" s="504"/>
      <c r="AE9">
        <v>2</v>
      </c>
    </row>
    <row r="10" spans="1:31">
      <c r="A10" t="s">
        <v>257</v>
      </c>
      <c r="B10" s="35" t="s">
        <v>731</v>
      </c>
      <c r="C10" s="857" t="s">
        <v>559</v>
      </c>
      <c r="D10" s="36">
        <f>Poeng!T26</f>
        <v>3</v>
      </c>
      <c r="E10" s="35"/>
      <c r="F10" s="38">
        <f>Poeng!AB26</f>
        <v>3</v>
      </c>
      <c r="H10" s="136">
        <f t="shared" si="0"/>
        <v>1</v>
      </c>
      <c r="I10" s="311" t="str">
        <f t="shared" si="1"/>
        <v>FEIL</v>
      </c>
      <c r="N10" s="299" t="s">
        <v>271</v>
      </c>
      <c r="O10" t="b">
        <f t="shared" si="2"/>
        <v>0</v>
      </c>
      <c r="R10" t="s">
        <v>258</v>
      </c>
      <c r="S10" s="1037"/>
      <c r="T10" s="859" t="s">
        <v>561</v>
      </c>
      <c r="U10" s="717">
        <v>1</v>
      </c>
      <c r="V10" s="718" t="s">
        <v>560</v>
      </c>
      <c r="W10" s="707"/>
      <c r="X10" s="504"/>
      <c r="Y10" s="504"/>
      <c r="Z10" s="504"/>
      <c r="AA10" s="504"/>
      <c r="AB10" s="504"/>
      <c r="AC10" s="504"/>
      <c r="AD10" s="504"/>
      <c r="AE10">
        <v>3</v>
      </c>
    </row>
    <row r="11" spans="1:31" ht="15" customHeight="1">
      <c r="A11" t="s">
        <v>258</v>
      </c>
      <c r="B11" s="35" t="s">
        <v>732</v>
      </c>
      <c r="C11" s="857" t="s">
        <v>561</v>
      </c>
      <c r="D11" s="36">
        <f>Poeng!T30</f>
        <v>3</v>
      </c>
      <c r="E11" s="35"/>
      <c r="F11" s="38">
        <f>Poeng!AB30</f>
        <v>3</v>
      </c>
      <c r="H11" s="136">
        <f t="shared" si="0"/>
        <v>1</v>
      </c>
      <c r="I11" s="311" t="str">
        <f t="shared" si="1"/>
        <v>FEIL</v>
      </c>
      <c r="N11" s="299" t="s">
        <v>279</v>
      </c>
      <c r="O11" t="b">
        <f t="shared" si="2"/>
        <v>0</v>
      </c>
      <c r="R11" t="s">
        <v>259</v>
      </c>
      <c r="S11" s="1044"/>
      <c r="T11" s="859" t="s">
        <v>562</v>
      </c>
      <c r="U11" s="717">
        <v>2</v>
      </c>
      <c r="V11" s="718" t="s">
        <v>560</v>
      </c>
      <c r="W11" s="707"/>
      <c r="X11" s="504"/>
      <c r="Y11" s="504"/>
      <c r="Z11" s="504"/>
      <c r="AA11" s="504"/>
      <c r="AB11" s="504"/>
      <c r="AC11" s="504"/>
      <c r="AD11" s="504"/>
      <c r="AE11">
        <v>4</v>
      </c>
    </row>
    <row r="12" spans="1:31">
      <c r="A12" t="s">
        <v>259</v>
      </c>
      <c r="B12" s="35" t="s">
        <v>733</v>
      </c>
      <c r="C12" s="857" t="s">
        <v>562</v>
      </c>
      <c r="D12" s="36">
        <f>Poeng!T34</f>
        <v>0</v>
      </c>
      <c r="E12" s="35"/>
      <c r="F12" s="38">
        <f>Poeng!AB34</f>
        <v>0</v>
      </c>
      <c r="H12" s="136">
        <f t="shared" si="0"/>
        <v>2</v>
      </c>
      <c r="I12" s="311" t="str">
        <f t="shared" si="1"/>
        <v>FEIL</v>
      </c>
      <c r="N12" s="297"/>
      <c r="O12" t="b">
        <f t="shared" si="2"/>
        <v>0</v>
      </c>
      <c r="S12" s="1033" t="s">
        <v>260</v>
      </c>
      <c r="T12" s="860" t="s">
        <v>564</v>
      </c>
      <c r="U12" s="805"/>
      <c r="V12" s="806"/>
      <c r="W12" s="707"/>
      <c r="X12" s="504"/>
      <c r="Y12" s="504"/>
      <c r="Z12" s="504"/>
      <c r="AA12" s="504"/>
      <c r="AB12" s="504"/>
      <c r="AC12" s="504"/>
      <c r="AD12" s="504"/>
      <c r="AE12">
        <v>5</v>
      </c>
    </row>
    <row r="13" spans="1:31" ht="15.75" thickBot="1">
      <c r="A13" s="112" t="s">
        <v>260</v>
      </c>
      <c r="B13" s="661" t="s">
        <v>260</v>
      </c>
      <c r="C13" s="661" t="s">
        <v>261</v>
      </c>
      <c r="D13" s="41">
        <f>Poeng!T35</f>
        <v>0</v>
      </c>
      <c r="E13" s="40"/>
      <c r="F13" s="38">
        <f>Poeng!AB35</f>
        <v>0</v>
      </c>
      <c r="H13" s="734">
        <f t="shared" si="0"/>
        <v>0</v>
      </c>
      <c r="I13" s="311" t="str">
        <f t="shared" si="1"/>
        <v>OK</v>
      </c>
      <c r="N13" s="298" t="s">
        <v>580</v>
      </c>
      <c r="O13" t="b">
        <f t="shared" si="2"/>
        <v>0</v>
      </c>
      <c r="R13" t="s">
        <v>262</v>
      </c>
      <c r="S13" s="1034"/>
      <c r="T13" s="859" t="s">
        <v>565</v>
      </c>
      <c r="U13" s="719">
        <v>2</v>
      </c>
      <c r="V13" s="718" t="s">
        <v>560</v>
      </c>
      <c r="W13" s="707"/>
      <c r="X13" s="504"/>
      <c r="Y13" s="504"/>
      <c r="Z13" s="504"/>
      <c r="AA13" s="504"/>
      <c r="AB13" s="504"/>
      <c r="AC13" s="504"/>
      <c r="AD13" s="504"/>
      <c r="AE13">
        <v>6</v>
      </c>
    </row>
    <row r="14" spans="1:31" ht="15.75" thickBot="1">
      <c r="A14" t="s">
        <v>262</v>
      </c>
      <c r="B14" s="35" t="s">
        <v>729</v>
      </c>
      <c r="C14" s="857" t="s">
        <v>565</v>
      </c>
      <c r="D14" s="42">
        <f>Poeng!T36</f>
        <v>21</v>
      </c>
      <c r="E14" s="42"/>
      <c r="F14" s="42">
        <f>SUM(F7:F13)</f>
        <v>21</v>
      </c>
      <c r="H14" s="136">
        <f t="shared" si="0"/>
        <v>2</v>
      </c>
      <c r="I14" s="311" t="str">
        <f t="shared" si="1"/>
        <v>FEIL</v>
      </c>
      <c r="N14" s="302" t="s">
        <v>288</v>
      </c>
      <c r="O14" t="b">
        <f t="shared" si="2"/>
        <v>0</v>
      </c>
      <c r="R14" t="s">
        <v>263</v>
      </c>
      <c r="S14" s="1035"/>
      <c r="T14" s="859" t="s">
        <v>566</v>
      </c>
      <c r="U14" s="719">
        <v>1</v>
      </c>
      <c r="V14" s="718" t="s">
        <v>560</v>
      </c>
      <c r="W14" s="707"/>
      <c r="X14" s="504"/>
      <c r="Y14" s="504"/>
      <c r="Z14" s="504"/>
      <c r="AA14" s="504"/>
      <c r="AB14" s="504"/>
      <c r="AC14" s="504"/>
      <c r="AD14" s="504"/>
      <c r="AE14">
        <v>7</v>
      </c>
    </row>
    <row r="15" spans="1:31" ht="15.75" thickBot="1">
      <c r="A15" t="s">
        <v>263</v>
      </c>
      <c r="B15" s="35" t="s">
        <v>730</v>
      </c>
      <c r="C15" s="857" t="s">
        <v>566</v>
      </c>
      <c r="H15" s="136">
        <f t="shared" si="0"/>
        <v>1</v>
      </c>
      <c r="I15" s="311" t="str">
        <f t="shared" si="1"/>
        <v>FEIL</v>
      </c>
      <c r="N15" s="303"/>
      <c r="O15" t="b">
        <f t="shared" si="2"/>
        <v>0</v>
      </c>
      <c r="S15" s="1033" t="s">
        <v>188</v>
      </c>
      <c r="T15" s="804" t="s">
        <v>567</v>
      </c>
      <c r="U15" s="805"/>
      <c r="V15" s="806"/>
      <c r="W15" s="707"/>
      <c r="AE15">
        <v>8</v>
      </c>
    </row>
    <row r="16" spans="1:31" ht="15.75" thickBot="1">
      <c r="A16" s="112" t="s">
        <v>188</v>
      </c>
      <c r="B16" s="661" t="s">
        <v>188</v>
      </c>
      <c r="C16" s="661" t="s">
        <v>264</v>
      </c>
      <c r="D16" s="39"/>
      <c r="E16" s="39"/>
      <c r="F16" s="39"/>
      <c r="H16" s="734">
        <f t="shared" si="0"/>
        <v>0</v>
      </c>
      <c r="I16" s="311" t="str">
        <f t="shared" si="1"/>
        <v>OK</v>
      </c>
      <c r="N16" s="304"/>
      <c r="O16" t="b">
        <f t="shared" si="2"/>
        <v>1</v>
      </c>
      <c r="R16" t="s">
        <v>265</v>
      </c>
      <c r="S16" s="1034"/>
      <c r="T16" s="299" t="s">
        <v>568</v>
      </c>
      <c r="U16" s="717">
        <v>1</v>
      </c>
      <c r="V16" s="718" t="s">
        <v>560</v>
      </c>
      <c r="W16" s="707"/>
      <c r="AE16">
        <v>9</v>
      </c>
    </row>
    <row r="17" spans="1:31">
      <c r="A17" t="s">
        <v>265</v>
      </c>
      <c r="B17" s="35" t="s">
        <v>729</v>
      </c>
      <c r="C17" s="732" t="s">
        <v>568</v>
      </c>
      <c r="D17" s="38">
        <f>Poeng!T39</f>
        <v>7</v>
      </c>
      <c r="E17" s="37"/>
      <c r="F17" s="38">
        <f>Poeng!AB39</f>
        <v>7</v>
      </c>
      <c r="H17" s="136">
        <f t="shared" si="0"/>
        <v>1</v>
      </c>
      <c r="I17" s="311" t="str">
        <f t="shared" si="1"/>
        <v>FEIL</v>
      </c>
      <c r="N17" s="302" t="s">
        <v>187</v>
      </c>
      <c r="O17" t="b">
        <f t="shared" si="2"/>
        <v>0</v>
      </c>
      <c r="R17" t="s">
        <v>266</v>
      </c>
      <c r="S17" s="1034"/>
      <c r="T17" s="299" t="s">
        <v>569</v>
      </c>
      <c r="U17" s="717">
        <v>1</v>
      </c>
      <c r="V17" s="718" t="s">
        <v>560</v>
      </c>
      <c r="W17" s="707"/>
      <c r="AE17">
        <v>10</v>
      </c>
    </row>
    <row r="18" spans="1:31">
      <c r="A18" t="s">
        <v>266</v>
      </c>
      <c r="B18" s="35" t="s">
        <v>730</v>
      </c>
      <c r="C18" s="732" t="s">
        <v>569</v>
      </c>
      <c r="D18" s="36">
        <f>Poeng!T46</f>
        <v>4</v>
      </c>
      <c r="E18" s="35"/>
      <c r="F18" s="38">
        <f>Poeng!AB46</f>
        <v>4</v>
      </c>
      <c r="H18" s="136">
        <f t="shared" si="0"/>
        <v>1</v>
      </c>
      <c r="I18" s="311" t="str">
        <f t="shared" si="1"/>
        <v>FEIL</v>
      </c>
      <c r="N18" s="303"/>
      <c r="O18" t="b">
        <f t="shared" si="2"/>
        <v>1</v>
      </c>
      <c r="R18" t="s">
        <v>267</v>
      </c>
      <c r="S18" s="1034"/>
      <c r="T18" s="299" t="s">
        <v>570</v>
      </c>
      <c r="U18" s="717">
        <v>2</v>
      </c>
      <c r="V18" s="718" t="s">
        <v>560</v>
      </c>
      <c r="W18" s="707"/>
      <c r="AE18">
        <v>11</v>
      </c>
    </row>
    <row r="19" spans="1:31">
      <c r="A19" t="s">
        <v>267</v>
      </c>
      <c r="B19" s="35" t="s">
        <v>731</v>
      </c>
      <c r="C19" s="791" t="s">
        <v>734</v>
      </c>
      <c r="D19" s="36">
        <f>Poeng!T51</f>
        <v>3</v>
      </c>
      <c r="E19" s="35"/>
      <c r="F19" s="38">
        <f>Poeng!AB51</f>
        <v>3</v>
      </c>
      <c r="H19" s="814">
        <f>IF(SUMIF($R$7:$R$182,A19,$U$7:$U$182)=2,1,SUMIF($R$7:$R$182,A19,$U$7:$U$182))</f>
        <v>1</v>
      </c>
      <c r="I19" s="311" t="str">
        <f t="shared" si="1"/>
        <v>FEIL</v>
      </c>
      <c r="J19" t="s">
        <v>735</v>
      </c>
      <c r="N19" s="304"/>
      <c r="O19" t="b">
        <f t="shared" si="2"/>
        <v>1</v>
      </c>
      <c r="R19" t="s">
        <v>269</v>
      </c>
      <c r="S19" s="1035"/>
      <c r="T19" s="299" t="s">
        <v>571</v>
      </c>
      <c r="U19" s="717">
        <v>3</v>
      </c>
      <c r="V19" s="718" t="s">
        <v>560</v>
      </c>
      <c r="W19" s="707"/>
      <c r="AE19">
        <v>12</v>
      </c>
    </row>
    <row r="20" spans="1:31" ht="15" customHeight="1">
      <c r="A20" t="s">
        <v>268</v>
      </c>
      <c r="B20" s="35" t="s">
        <v>732</v>
      </c>
      <c r="C20" s="791" t="s">
        <v>736</v>
      </c>
      <c r="D20" s="36">
        <f>Poeng!T55</f>
        <v>0</v>
      </c>
      <c r="E20" s="35"/>
      <c r="F20" s="38">
        <f>Poeng!AB55</f>
        <v>0</v>
      </c>
      <c r="H20" s="814">
        <f>IF(SUMIF($R$7:$R$182,A19,$U$7:$U$182)=2,1,0)</f>
        <v>1</v>
      </c>
      <c r="I20" s="311" t="str">
        <f t="shared" si="1"/>
        <v>FEIL</v>
      </c>
      <c r="J20" t="s">
        <v>735</v>
      </c>
      <c r="N20" s="300" t="s">
        <v>313</v>
      </c>
      <c r="O20" t="b">
        <f t="shared" si="2"/>
        <v>0</v>
      </c>
      <c r="S20" s="1033" t="s">
        <v>271</v>
      </c>
      <c r="T20" s="804" t="s">
        <v>572</v>
      </c>
      <c r="U20" s="805"/>
      <c r="V20" s="806"/>
      <c r="W20" s="707"/>
      <c r="AE20">
        <v>13</v>
      </c>
    </row>
    <row r="21" spans="1:31">
      <c r="A21" t="s">
        <v>269</v>
      </c>
      <c r="B21" s="35" t="s">
        <v>733</v>
      </c>
      <c r="C21" s="791" t="s">
        <v>737</v>
      </c>
      <c r="D21" s="36">
        <f>Poeng!T56</f>
        <v>3</v>
      </c>
      <c r="E21" s="35"/>
      <c r="F21" s="38">
        <f>Poeng!AB56</f>
        <v>3</v>
      </c>
      <c r="H21" s="814">
        <f>IF(SUMIF($R$7:$R$182,A21,$U$7:$U$182)=3,1,SUMIF($R$7:$R$182,A21,$U$7:$U$182))</f>
        <v>1</v>
      </c>
      <c r="I21" s="311" t="str">
        <f t="shared" si="1"/>
        <v>FEIL</v>
      </c>
      <c r="J21" t="s">
        <v>735</v>
      </c>
      <c r="N21" s="300" t="s">
        <v>738</v>
      </c>
      <c r="O21" t="b">
        <f t="shared" si="2"/>
        <v>0</v>
      </c>
      <c r="R21" t="s">
        <v>276</v>
      </c>
      <c r="S21" s="1034"/>
      <c r="T21" s="299" t="s">
        <v>573</v>
      </c>
      <c r="U21" s="717">
        <v>1</v>
      </c>
      <c r="V21" s="718" t="s">
        <v>560</v>
      </c>
      <c r="W21" s="707"/>
      <c r="AE21">
        <v>14</v>
      </c>
    </row>
    <row r="22" spans="1:31" ht="48.75" customHeight="1">
      <c r="A22" t="s">
        <v>270</v>
      </c>
      <c r="B22" s="35" t="s">
        <v>739</v>
      </c>
      <c r="C22" s="791" t="s">
        <v>740</v>
      </c>
      <c r="D22" s="36">
        <f>Poeng!T59</f>
        <v>2</v>
      </c>
      <c r="E22" s="35"/>
      <c r="F22" s="38">
        <f>Poeng!AB59</f>
        <v>2</v>
      </c>
      <c r="H22" s="814">
        <f>IF(SUMIF($R$7:$R$182,A21,$U$7:$U$182)=3,2,0)</f>
        <v>2</v>
      </c>
      <c r="I22" s="311" t="str">
        <f t="shared" si="1"/>
        <v>OK</v>
      </c>
      <c r="J22" t="s">
        <v>735</v>
      </c>
      <c r="N22" s="300" t="s">
        <v>319</v>
      </c>
      <c r="O22" t="b">
        <f t="shared" si="2"/>
        <v>0</v>
      </c>
      <c r="R22" t="s">
        <v>277</v>
      </c>
      <c r="S22" s="1034"/>
      <c r="T22" s="299" t="s">
        <v>574</v>
      </c>
      <c r="U22" s="717">
        <v>1</v>
      </c>
      <c r="V22" s="718" t="s">
        <v>560</v>
      </c>
      <c r="W22" s="707"/>
      <c r="AE22">
        <v>15</v>
      </c>
    </row>
    <row r="23" spans="1:31" ht="15" customHeight="1">
      <c r="A23" s="112" t="s">
        <v>271</v>
      </c>
      <c r="B23" s="661" t="s">
        <v>271</v>
      </c>
      <c r="C23" s="661" t="s">
        <v>272</v>
      </c>
      <c r="D23" s="53">
        <f>Poeng!T62</f>
        <v>0</v>
      </c>
      <c r="E23" s="35"/>
      <c r="F23" s="312">
        <f>Poeng!AB62</f>
        <v>0</v>
      </c>
      <c r="H23" s="734">
        <f t="shared" si="0"/>
        <v>0</v>
      </c>
      <c r="I23" s="311" t="str">
        <f t="shared" si="1"/>
        <v>OK</v>
      </c>
      <c r="N23" s="300" t="s">
        <v>323</v>
      </c>
      <c r="O23" t="b">
        <f t="shared" si="2"/>
        <v>0</v>
      </c>
      <c r="R23" t="s">
        <v>278</v>
      </c>
      <c r="S23" s="1035"/>
      <c r="T23" s="299" t="s">
        <v>575</v>
      </c>
      <c r="U23" s="717">
        <v>1</v>
      </c>
      <c r="V23" s="718" t="s">
        <v>560</v>
      </c>
      <c r="W23" s="707"/>
      <c r="AE23">
        <v>16</v>
      </c>
    </row>
    <row r="24" spans="1:31">
      <c r="A24" t="s">
        <v>276</v>
      </c>
      <c r="B24" s="35" t="s">
        <v>729</v>
      </c>
      <c r="C24" s="732" t="s">
        <v>573</v>
      </c>
      <c r="D24" s="36">
        <f>Poeng!T63</f>
        <v>0</v>
      </c>
      <c r="E24" s="35"/>
      <c r="F24" s="38">
        <f>Poeng!AB63</f>
        <v>0</v>
      </c>
      <c r="H24" s="136">
        <f t="shared" si="0"/>
        <v>1</v>
      </c>
      <c r="I24" s="311" t="str">
        <f t="shared" si="1"/>
        <v>FEIL</v>
      </c>
      <c r="N24" s="300" t="s">
        <v>741</v>
      </c>
      <c r="O24" t="b">
        <f t="shared" si="2"/>
        <v>0</v>
      </c>
      <c r="S24" s="1036" t="s">
        <v>279</v>
      </c>
      <c r="T24" s="805" t="s">
        <v>576</v>
      </c>
      <c r="U24" s="805"/>
      <c r="V24" s="806"/>
      <c r="W24" s="707"/>
      <c r="AE24">
        <v>17</v>
      </c>
    </row>
    <row r="25" spans="1:31" ht="73.5" customHeight="1" thickBot="1">
      <c r="A25" t="s">
        <v>277</v>
      </c>
      <c r="B25" s="35" t="s">
        <v>730</v>
      </c>
      <c r="C25" s="732" t="s">
        <v>574</v>
      </c>
      <c r="D25" s="41">
        <f>Poeng!T65</f>
        <v>0</v>
      </c>
      <c r="E25" s="40"/>
      <c r="F25" s="38">
        <f>Poeng!AB65</f>
        <v>0</v>
      </c>
      <c r="H25" s="136">
        <f t="shared" si="0"/>
        <v>1</v>
      </c>
      <c r="I25" s="311" t="str">
        <f t="shared" si="1"/>
        <v>FEIL</v>
      </c>
      <c r="N25" s="300" t="s">
        <v>327</v>
      </c>
      <c r="O25" t="b">
        <f t="shared" si="2"/>
        <v>0</v>
      </c>
      <c r="R25" t="s">
        <v>281</v>
      </c>
      <c r="S25" s="1037"/>
      <c r="T25" s="299" t="s">
        <v>577</v>
      </c>
      <c r="U25" s="717">
        <v>1</v>
      </c>
      <c r="V25" s="718" t="s">
        <v>560</v>
      </c>
      <c r="W25" s="707"/>
      <c r="AE25">
        <v>18</v>
      </c>
    </row>
    <row r="26" spans="1:31" ht="15.75" thickBot="1">
      <c r="A26" t="s">
        <v>278</v>
      </c>
      <c r="B26" s="35" t="s">
        <v>731</v>
      </c>
      <c r="C26" s="732" t="s">
        <v>575</v>
      </c>
      <c r="D26" s="42">
        <f>Poeng!T66</f>
        <v>19</v>
      </c>
      <c r="E26" s="42"/>
      <c r="F26" s="42">
        <f>SUM(F17:F25)</f>
        <v>19</v>
      </c>
      <c r="H26" s="136">
        <f t="shared" si="0"/>
        <v>1</v>
      </c>
      <c r="I26" s="311" t="str">
        <f t="shared" si="1"/>
        <v>FEIL</v>
      </c>
      <c r="N26" s="300" t="s">
        <v>742</v>
      </c>
      <c r="O26" t="b">
        <f t="shared" si="2"/>
        <v>0</v>
      </c>
      <c r="R26" t="s">
        <v>282</v>
      </c>
      <c r="S26" s="1037"/>
      <c r="T26" s="299" t="s">
        <v>578</v>
      </c>
      <c r="U26" s="717">
        <v>1</v>
      </c>
      <c r="V26" s="718" t="s">
        <v>560</v>
      </c>
      <c r="W26" s="707"/>
      <c r="AE26">
        <v>19</v>
      </c>
    </row>
    <row r="27" spans="1:31" ht="15.75" thickBot="1">
      <c r="A27" s="112" t="s">
        <v>279</v>
      </c>
      <c r="B27" s="661" t="s">
        <v>279</v>
      </c>
      <c r="C27" s="661" t="s">
        <v>280</v>
      </c>
      <c r="H27" s="734">
        <f t="shared" si="0"/>
        <v>0</v>
      </c>
      <c r="I27" s="311" t="str">
        <f t="shared" si="1"/>
        <v>OK</v>
      </c>
      <c r="N27" s="297"/>
      <c r="O27" t="b">
        <f t="shared" si="2"/>
        <v>1</v>
      </c>
      <c r="R27" t="s">
        <v>283</v>
      </c>
      <c r="S27" s="1037"/>
      <c r="T27" s="299" t="s">
        <v>579</v>
      </c>
      <c r="U27" s="717">
        <v>1</v>
      </c>
      <c r="V27" s="718" t="s">
        <v>560</v>
      </c>
      <c r="W27" s="707"/>
      <c r="AE27">
        <v>20</v>
      </c>
    </row>
    <row r="28" spans="1:31" ht="15.75" thickBot="1">
      <c r="A28" t="s">
        <v>281</v>
      </c>
      <c r="B28" s="35" t="s">
        <v>729</v>
      </c>
      <c r="C28" s="732" t="s">
        <v>577</v>
      </c>
      <c r="D28" s="39"/>
      <c r="E28" s="39"/>
      <c r="F28" s="39"/>
      <c r="H28" s="136">
        <f t="shared" si="0"/>
        <v>1</v>
      </c>
      <c r="I28" s="311" t="str">
        <f t="shared" si="1"/>
        <v>FEIL</v>
      </c>
      <c r="N28" s="298" t="s">
        <v>602</v>
      </c>
      <c r="O28" t="b">
        <f t="shared" si="2"/>
        <v>0</v>
      </c>
      <c r="S28" s="298" t="s">
        <v>580</v>
      </c>
      <c r="T28" s="297"/>
      <c r="U28" s="298"/>
      <c r="V28" s="720"/>
      <c r="W28" s="707"/>
      <c r="AE28">
        <v>21</v>
      </c>
    </row>
    <row r="29" spans="1:31">
      <c r="A29" t="s">
        <v>282</v>
      </c>
      <c r="B29" s="35" t="s">
        <v>730</v>
      </c>
      <c r="C29" s="732" t="s">
        <v>578</v>
      </c>
      <c r="D29" s="38">
        <f>Poeng!T69</f>
        <v>12</v>
      </c>
      <c r="E29" s="37"/>
      <c r="F29" s="38">
        <f>Poeng!AB69</f>
        <v>12</v>
      </c>
      <c r="H29" s="136">
        <f t="shared" si="0"/>
        <v>1</v>
      </c>
      <c r="I29" s="311" t="str">
        <f t="shared" si="1"/>
        <v>FEIL</v>
      </c>
      <c r="N29" s="300" t="s">
        <v>334</v>
      </c>
      <c r="O29" t="b">
        <f t="shared" si="2"/>
        <v>0</v>
      </c>
      <c r="S29" s="1024" t="s">
        <v>288</v>
      </c>
      <c r="T29" s="807" t="s">
        <v>581</v>
      </c>
      <c r="U29" s="818"/>
      <c r="V29" s="808"/>
      <c r="W29" s="707"/>
      <c r="AE29">
        <v>22</v>
      </c>
    </row>
    <row r="30" spans="1:31">
      <c r="A30" t="s">
        <v>283</v>
      </c>
      <c r="B30" s="35" t="s">
        <v>731</v>
      </c>
      <c r="C30" s="732" t="s">
        <v>579</v>
      </c>
      <c r="D30" s="36">
        <f>Poeng!T75</f>
        <v>2</v>
      </c>
      <c r="E30" s="35"/>
      <c r="F30" s="38">
        <f>Poeng!AB75</f>
        <v>2</v>
      </c>
      <c r="H30" s="136">
        <f t="shared" si="0"/>
        <v>1</v>
      </c>
      <c r="I30" s="311" t="str">
        <f t="shared" si="1"/>
        <v>FEIL</v>
      </c>
      <c r="N30" s="300" t="s">
        <v>172</v>
      </c>
      <c r="O30" t="b">
        <f t="shared" si="2"/>
        <v>0</v>
      </c>
      <c r="R30" t="s">
        <v>298</v>
      </c>
      <c r="S30" s="1025"/>
      <c r="T30" s="708" t="s">
        <v>582</v>
      </c>
      <c r="U30" s="721">
        <v>3</v>
      </c>
      <c r="V30" s="722" t="s">
        <v>560</v>
      </c>
      <c r="W30" s="707"/>
      <c r="AE30">
        <v>23</v>
      </c>
    </row>
    <row r="31" spans="1:31">
      <c r="B31" s="547" t="s">
        <v>743</v>
      </c>
      <c r="C31" s="547"/>
      <c r="D31" s="36">
        <f>Poeng!T79</f>
        <v>1</v>
      </c>
      <c r="E31" s="35"/>
      <c r="F31" s="38">
        <f>Poeng!AB79</f>
        <v>1</v>
      </c>
      <c r="H31" s="759">
        <f t="shared" si="0"/>
        <v>0</v>
      </c>
      <c r="I31" s="311" t="str">
        <f t="shared" si="1"/>
        <v>FEIL</v>
      </c>
      <c r="N31" s="300" t="s">
        <v>350</v>
      </c>
      <c r="O31" t="b">
        <f t="shared" si="2"/>
        <v>0</v>
      </c>
      <c r="R31" t="s">
        <v>299</v>
      </c>
      <c r="S31" s="1025"/>
      <c r="T31" s="708" t="s">
        <v>583</v>
      </c>
      <c r="U31" s="723">
        <v>1</v>
      </c>
      <c r="V31" s="724" t="s">
        <v>560</v>
      </c>
      <c r="W31" s="707"/>
      <c r="AE31">
        <v>24</v>
      </c>
    </row>
    <row r="32" spans="1:31" ht="15.75" customHeight="1" thickBot="1">
      <c r="B32" s="547" t="s">
        <v>744</v>
      </c>
      <c r="C32" s="547"/>
      <c r="D32" s="36">
        <f>Poeng!T82</f>
        <v>0</v>
      </c>
      <c r="E32" s="35"/>
      <c r="F32" s="38">
        <f>Poeng!AB82</f>
        <v>0</v>
      </c>
      <c r="H32" s="759">
        <f t="shared" si="0"/>
        <v>0</v>
      </c>
      <c r="I32" s="311" t="str">
        <f t="shared" si="1"/>
        <v>OK</v>
      </c>
      <c r="N32" s="300" t="s">
        <v>352</v>
      </c>
      <c r="O32" t="b">
        <f t="shared" si="2"/>
        <v>0</v>
      </c>
      <c r="R32" t="s">
        <v>300</v>
      </c>
      <c r="S32" s="1025"/>
      <c r="T32" s="708" t="s">
        <v>584</v>
      </c>
      <c r="U32" s="723">
        <v>1</v>
      </c>
      <c r="V32" s="724" t="s">
        <v>560</v>
      </c>
      <c r="W32" s="707"/>
      <c r="AE32">
        <v>25</v>
      </c>
    </row>
    <row r="33" spans="1:31" ht="15.75" thickBot="1">
      <c r="A33" t="s">
        <v>284</v>
      </c>
      <c r="B33" s="556"/>
      <c r="C33" s="555" t="s">
        <v>725</v>
      </c>
      <c r="D33" s="36">
        <f>Poeng!T83</f>
        <v>2</v>
      </c>
      <c r="E33" s="35"/>
      <c r="F33" s="38">
        <f>Poeng!AB83</f>
        <v>2</v>
      </c>
      <c r="H33" s="166">
        <f t="shared" si="0"/>
        <v>0</v>
      </c>
      <c r="I33" s="311" t="str">
        <f t="shared" si="1"/>
        <v>FEIL</v>
      </c>
      <c r="N33" s="300" t="s">
        <v>745</v>
      </c>
      <c r="O33" t="b">
        <f t="shared" si="2"/>
        <v>0</v>
      </c>
      <c r="R33" t="s">
        <v>301</v>
      </c>
      <c r="S33" s="1025"/>
      <c r="T33" s="708" t="s">
        <v>585</v>
      </c>
      <c r="U33" s="723">
        <v>1</v>
      </c>
      <c r="V33" s="724" t="s">
        <v>560</v>
      </c>
      <c r="W33" s="707"/>
      <c r="AE33">
        <v>26</v>
      </c>
    </row>
    <row r="34" spans="1:31" ht="15.75" thickBot="1">
      <c r="D34" s="36">
        <f>Poeng!T86</f>
        <v>3</v>
      </c>
      <c r="E34" s="35"/>
      <c r="F34" s="38">
        <f>Poeng!AB86</f>
        <v>3</v>
      </c>
      <c r="H34">
        <f t="shared" si="0"/>
        <v>0</v>
      </c>
      <c r="I34" s="311" t="str">
        <f t="shared" si="1"/>
        <v>FEIL</v>
      </c>
      <c r="N34" s="300" t="s">
        <v>356</v>
      </c>
      <c r="O34" t="b">
        <f t="shared" si="2"/>
        <v>0</v>
      </c>
      <c r="R34" t="s">
        <v>302</v>
      </c>
      <c r="S34" s="1026"/>
      <c r="T34" s="708" t="s">
        <v>588</v>
      </c>
      <c r="U34" s="717">
        <v>1</v>
      </c>
      <c r="V34" s="722" t="s">
        <v>560</v>
      </c>
      <c r="W34" s="707"/>
      <c r="AE34">
        <v>27</v>
      </c>
    </row>
    <row r="35" spans="1:31" ht="15.75" thickBot="1">
      <c r="B35" s="118"/>
      <c r="C35" s="39" t="s">
        <v>286</v>
      </c>
      <c r="D35" s="36">
        <f>Poeng!T90</f>
        <v>5</v>
      </c>
      <c r="E35" s="35"/>
      <c r="F35" s="38">
        <f>Poeng!AB90</f>
        <v>5</v>
      </c>
      <c r="H35" s="113">
        <f t="shared" si="0"/>
        <v>0</v>
      </c>
      <c r="I35" s="311" t="str">
        <f t="shared" si="1"/>
        <v>FEIL</v>
      </c>
      <c r="N35" s="300" t="s">
        <v>186</v>
      </c>
      <c r="O35" t="b">
        <f t="shared" si="2"/>
        <v>0</v>
      </c>
      <c r="S35" s="1024" t="s">
        <v>187</v>
      </c>
      <c r="T35" s="807" t="s">
        <v>589</v>
      </c>
      <c r="U35" s="818"/>
      <c r="V35" s="808"/>
      <c r="W35" s="707"/>
      <c r="AE35">
        <v>28</v>
      </c>
    </row>
    <row r="36" spans="1:31">
      <c r="A36" s="112" t="s">
        <v>288</v>
      </c>
      <c r="B36" s="662" t="s">
        <v>288</v>
      </c>
      <c r="C36" s="660" t="s">
        <v>289</v>
      </c>
      <c r="D36" s="36">
        <f>Poeng!T93</f>
        <v>2</v>
      </c>
      <c r="E36" s="35"/>
      <c r="F36" s="38">
        <f>Poeng!AB93</f>
        <v>2</v>
      </c>
      <c r="H36" s="766">
        <f t="shared" si="0"/>
        <v>0</v>
      </c>
      <c r="I36" s="311" t="str">
        <f t="shared" si="1"/>
        <v>FEIL</v>
      </c>
      <c r="N36" s="300" t="s">
        <v>364</v>
      </c>
      <c r="O36" t="b">
        <f t="shared" si="2"/>
        <v>0</v>
      </c>
      <c r="R36" t="s">
        <v>310</v>
      </c>
      <c r="S36" s="1025"/>
      <c r="T36" s="708" t="s">
        <v>590</v>
      </c>
      <c r="U36" s="717">
        <v>1</v>
      </c>
      <c r="V36" s="722"/>
      <c r="W36" s="707"/>
      <c r="AE36">
        <v>29</v>
      </c>
    </row>
    <row r="37" spans="1:31" ht="15.75" customHeight="1">
      <c r="A37" t="s">
        <v>296</v>
      </c>
      <c r="B37" t="s">
        <v>729</v>
      </c>
      <c r="N37" s="300" t="s">
        <v>368</v>
      </c>
      <c r="O37" t="b">
        <f t="shared" si="2"/>
        <v>0</v>
      </c>
      <c r="R37" t="s">
        <v>311</v>
      </c>
      <c r="S37" s="1025"/>
      <c r="T37" s="300" t="s">
        <v>591</v>
      </c>
      <c r="U37" s="717">
        <v>2</v>
      </c>
      <c r="V37" s="722" t="s">
        <v>560</v>
      </c>
      <c r="W37" s="707"/>
      <c r="AE37">
        <v>30</v>
      </c>
    </row>
    <row r="38" spans="1:31" ht="15.75" customHeight="1">
      <c r="A38" t="s">
        <v>298</v>
      </c>
      <c r="B38" s="135" t="s">
        <v>730</v>
      </c>
      <c r="C38" s="732" t="s">
        <v>582</v>
      </c>
      <c r="D38" s="36">
        <f>Poeng!T95</f>
        <v>0</v>
      </c>
      <c r="E38" s="35"/>
      <c r="F38" s="38">
        <f>Poeng!AB95</f>
        <v>0</v>
      </c>
      <c r="H38" s="175">
        <f>SUMIF($R$7:$R$182,A38,$U$7:$U$182)</f>
        <v>3</v>
      </c>
      <c r="I38" s="311" t="str">
        <f t="shared" ref="I38:I74" si="3">IF(F38=H38,"OK","FEIL")</f>
        <v>FEIL</v>
      </c>
      <c r="N38" s="300" t="s">
        <v>746</v>
      </c>
      <c r="O38" t="b">
        <f t="shared" si="2"/>
        <v>0</v>
      </c>
      <c r="R38" t="s">
        <v>312</v>
      </c>
      <c r="S38" s="1026"/>
      <c r="T38" s="300" t="s">
        <v>592</v>
      </c>
      <c r="U38" s="725">
        <v>1</v>
      </c>
      <c r="V38" s="722" t="s">
        <v>560</v>
      </c>
      <c r="W38" s="707"/>
      <c r="AE38">
        <v>31</v>
      </c>
    </row>
    <row r="39" spans="1:31" ht="15.75" thickBot="1">
      <c r="A39" t="s">
        <v>299</v>
      </c>
      <c r="B39" s="135" t="s">
        <v>731</v>
      </c>
      <c r="C39" s="732" t="s">
        <v>583</v>
      </c>
      <c r="D39" s="36">
        <f>Poeng!T96</f>
        <v>0</v>
      </c>
      <c r="E39" s="35"/>
      <c r="F39" s="38">
        <f>Poeng!AB96</f>
        <v>0</v>
      </c>
      <c r="H39" s="175">
        <f t="shared" ref="H39:H71" si="4">SUMIF($R$7:$R$182,A39,$U$7:$U$182)</f>
        <v>1</v>
      </c>
      <c r="I39" s="311" t="str">
        <f t="shared" si="3"/>
        <v>FEIL</v>
      </c>
      <c r="N39" s="301" t="s">
        <v>747</v>
      </c>
      <c r="O39" t="b">
        <f t="shared" si="2"/>
        <v>0</v>
      </c>
      <c r="S39" s="1024" t="s">
        <v>313</v>
      </c>
      <c r="T39" s="807" t="s">
        <v>593</v>
      </c>
      <c r="U39" s="818"/>
      <c r="V39" s="808"/>
      <c r="W39" s="707"/>
      <c r="AE39">
        <v>32</v>
      </c>
    </row>
    <row r="40" spans="1:31" ht="15.75" thickBot="1">
      <c r="A40" t="s">
        <v>300</v>
      </c>
      <c r="B40" s="135" t="s">
        <v>732</v>
      </c>
      <c r="C40" s="732" t="s">
        <v>584</v>
      </c>
      <c r="D40" s="42">
        <f>Poeng!T97</f>
        <v>27</v>
      </c>
      <c r="E40" s="42"/>
      <c r="F40" s="42">
        <f>SUM(F29:F39)</f>
        <v>27</v>
      </c>
      <c r="H40" s="175">
        <f t="shared" si="4"/>
        <v>1</v>
      </c>
      <c r="I40" s="311" t="str">
        <f t="shared" si="3"/>
        <v>FEIL</v>
      </c>
      <c r="N40" s="297"/>
      <c r="O40" t="b">
        <f t="shared" si="2"/>
        <v>1</v>
      </c>
      <c r="R40" t="s">
        <v>316</v>
      </c>
      <c r="S40" s="1025"/>
      <c r="T40" s="708" t="s">
        <v>594</v>
      </c>
      <c r="U40" s="717">
        <v>1</v>
      </c>
      <c r="V40" s="722" t="s">
        <v>560</v>
      </c>
      <c r="W40" s="707"/>
      <c r="AE40">
        <v>33</v>
      </c>
    </row>
    <row r="41" spans="1:31" ht="15.75" thickBot="1">
      <c r="A41" t="s">
        <v>301</v>
      </c>
      <c r="B41" s="135" t="s">
        <v>733</v>
      </c>
      <c r="C41" s="732" t="s">
        <v>585</v>
      </c>
      <c r="H41" s="175">
        <f t="shared" si="4"/>
        <v>1</v>
      </c>
      <c r="I41" s="311" t="str">
        <f t="shared" si="3"/>
        <v>FEIL</v>
      </c>
      <c r="N41" s="298" t="s">
        <v>624</v>
      </c>
      <c r="O41" t="b">
        <f t="shared" si="2"/>
        <v>0</v>
      </c>
      <c r="R41" t="s">
        <v>317</v>
      </c>
      <c r="S41" s="1025"/>
      <c r="T41" s="300" t="s">
        <v>595</v>
      </c>
      <c r="U41" s="717">
        <v>1</v>
      </c>
      <c r="V41" s="722" t="s">
        <v>560</v>
      </c>
      <c r="W41" s="707"/>
      <c r="AE41">
        <v>34</v>
      </c>
    </row>
    <row r="42" spans="1:31" ht="15.75" thickBot="1">
      <c r="A42" t="s">
        <v>302</v>
      </c>
      <c r="B42" s="135" t="s">
        <v>739</v>
      </c>
      <c r="C42" s="732" t="s">
        <v>588</v>
      </c>
      <c r="D42" s="39"/>
      <c r="E42" s="39"/>
      <c r="F42" s="39"/>
      <c r="H42" s="175">
        <f t="shared" si="4"/>
        <v>1</v>
      </c>
      <c r="I42" s="311" t="str">
        <f t="shared" si="3"/>
        <v>FEIL</v>
      </c>
      <c r="N42" s="300" t="s">
        <v>375</v>
      </c>
      <c r="O42" t="b">
        <f t="shared" si="2"/>
        <v>0</v>
      </c>
      <c r="R42" t="s">
        <v>318</v>
      </c>
      <c r="S42" s="1026"/>
      <c r="T42" s="300" t="s">
        <v>596</v>
      </c>
      <c r="U42" s="717">
        <v>1</v>
      </c>
      <c r="V42" s="722" t="s">
        <v>560</v>
      </c>
      <c r="W42" s="707"/>
      <c r="AE42">
        <v>35</v>
      </c>
    </row>
    <row r="43" spans="1:31">
      <c r="A43" s="112" t="s">
        <v>187</v>
      </c>
      <c r="B43" s="663" t="s">
        <v>187</v>
      </c>
      <c r="C43" s="661" t="s">
        <v>304</v>
      </c>
      <c r="D43" s="36">
        <f>Poeng!T100</f>
        <v>3</v>
      </c>
      <c r="E43" s="35"/>
      <c r="F43" s="38">
        <f>Poeng!AB100</f>
        <v>3</v>
      </c>
      <c r="H43" s="766">
        <f t="shared" si="4"/>
        <v>0</v>
      </c>
      <c r="I43" s="311" t="str">
        <f t="shared" si="3"/>
        <v>FEIL</v>
      </c>
      <c r="N43" s="300" t="s">
        <v>379</v>
      </c>
      <c r="O43" t="b">
        <f t="shared" si="2"/>
        <v>0</v>
      </c>
      <c r="R43" t="s">
        <v>322</v>
      </c>
      <c r="S43" s="300" t="s">
        <v>319</v>
      </c>
      <c r="T43" s="713" t="s">
        <v>597</v>
      </c>
      <c r="U43" s="721">
        <v>3</v>
      </c>
      <c r="V43" s="722" t="s">
        <v>560</v>
      </c>
      <c r="W43" s="707"/>
      <c r="AE43">
        <v>36</v>
      </c>
    </row>
    <row r="44" spans="1:31" ht="15.75" customHeight="1">
      <c r="B44" s="135" t="s">
        <v>729</v>
      </c>
      <c r="C44" s="754" t="s">
        <v>748</v>
      </c>
      <c r="D44" s="36">
        <f>Poeng!T103</f>
        <v>10</v>
      </c>
      <c r="E44" s="35"/>
      <c r="F44" s="38">
        <f>Poeng!AB103</f>
        <v>10</v>
      </c>
      <c r="H44" s="175">
        <f t="shared" si="4"/>
        <v>0</v>
      </c>
      <c r="I44" s="311" t="str">
        <f t="shared" si="3"/>
        <v>FEIL</v>
      </c>
      <c r="N44" s="300" t="s">
        <v>749</v>
      </c>
      <c r="O44" t="b">
        <f t="shared" si="2"/>
        <v>0</v>
      </c>
      <c r="S44" s="1027" t="s">
        <v>323</v>
      </c>
      <c r="T44" s="807" t="s">
        <v>598</v>
      </c>
      <c r="U44" s="818"/>
      <c r="V44" s="808"/>
      <c r="W44" s="707"/>
      <c r="AE44">
        <v>37</v>
      </c>
    </row>
    <row r="45" spans="1:31" ht="15.75" customHeight="1">
      <c r="A45" t="s">
        <v>310</v>
      </c>
      <c r="B45" s="135" t="s">
        <v>730</v>
      </c>
      <c r="C45" s="732" t="s">
        <v>590</v>
      </c>
      <c r="D45" s="53">
        <f>Poeng!T106</f>
        <v>0</v>
      </c>
      <c r="E45" s="35"/>
      <c r="F45" s="38">
        <f>Poeng!AB106</f>
        <v>0</v>
      </c>
      <c r="H45" s="175">
        <f t="shared" si="4"/>
        <v>1</v>
      </c>
      <c r="I45" s="311" t="str">
        <f t="shared" si="3"/>
        <v>FEIL</v>
      </c>
      <c r="N45" s="300" t="s">
        <v>750</v>
      </c>
      <c r="O45" t="b">
        <f t="shared" si="2"/>
        <v>0</v>
      </c>
      <c r="R45" t="s">
        <v>325</v>
      </c>
      <c r="S45" s="1028"/>
      <c r="T45" s="708" t="s">
        <v>599</v>
      </c>
      <c r="U45" s="721">
        <v>2</v>
      </c>
      <c r="V45" s="726" t="s">
        <v>560</v>
      </c>
      <c r="W45" s="707"/>
      <c r="AE45">
        <v>38</v>
      </c>
    </row>
    <row r="46" spans="1:31" ht="15.75" customHeight="1">
      <c r="A46" t="s">
        <v>311</v>
      </c>
      <c r="B46" s="137" t="s">
        <v>731</v>
      </c>
      <c r="C46" s="732" t="s">
        <v>591</v>
      </c>
      <c r="D46" s="53">
        <f>Poeng!T107</f>
        <v>0</v>
      </c>
      <c r="E46" s="35"/>
      <c r="F46" s="38">
        <f>Poeng!AB107</f>
        <v>0</v>
      </c>
      <c r="H46" s="175">
        <f t="shared" si="4"/>
        <v>2</v>
      </c>
      <c r="I46" s="311" t="str">
        <f t="shared" si="3"/>
        <v>FEIL</v>
      </c>
      <c r="N46" s="300" t="s">
        <v>751</v>
      </c>
      <c r="O46" t="b">
        <f t="shared" si="2"/>
        <v>0</v>
      </c>
      <c r="R46" t="s">
        <v>326</v>
      </c>
      <c r="S46" s="1029"/>
      <c r="T46" s="300" t="s">
        <v>600</v>
      </c>
      <c r="U46" s="721">
        <v>1</v>
      </c>
      <c r="V46" s="726" t="s">
        <v>560</v>
      </c>
      <c r="W46" s="707"/>
      <c r="AE46">
        <v>39</v>
      </c>
    </row>
    <row r="47" spans="1:31" ht="15.75" customHeight="1">
      <c r="A47" t="s">
        <v>312</v>
      </c>
      <c r="B47" s="137" t="s">
        <v>732</v>
      </c>
      <c r="C47" s="732" t="s">
        <v>592</v>
      </c>
      <c r="D47" s="53">
        <f>Poeng!T108</f>
        <v>0</v>
      </c>
      <c r="E47" s="35"/>
      <c r="F47" s="38">
        <f>Poeng!AB108</f>
        <v>0</v>
      </c>
      <c r="H47" s="175">
        <f t="shared" si="4"/>
        <v>1</v>
      </c>
      <c r="I47" s="311" t="str">
        <f t="shared" si="3"/>
        <v>FEIL</v>
      </c>
      <c r="N47" s="300" t="s">
        <v>752</v>
      </c>
      <c r="O47" t="b">
        <f t="shared" si="2"/>
        <v>0</v>
      </c>
      <c r="R47" t="s">
        <v>329</v>
      </c>
      <c r="S47" s="300" t="s">
        <v>327</v>
      </c>
      <c r="T47" s="713" t="s">
        <v>601</v>
      </c>
      <c r="U47" s="717" t="s">
        <v>586</v>
      </c>
      <c r="V47" s="722" t="s">
        <v>560</v>
      </c>
      <c r="W47" s="707"/>
      <c r="AE47">
        <v>40</v>
      </c>
    </row>
    <row r="48" spans="1:31" ht="15.75" thickBot="1">
      <c r="A48" s="112" t="s">
        <v>313</v>
      </c>
      <c r="B48" s="663" t="s">
        <v>313</v>
      </c>
      <c r="C48" s="661" t="s">
        <v>314</v>
      </c>
      <c r="D48" s="53">
        <f>Poeng!T109</f>
        <v>0</v>
      </c>
      <c r="E48" s="55"/>
      <c r="F48" s="38">
        <f>Poeng!AB109</f>
        <v>0</v>
      </c>
      <c r="H48" s="766">
        <f t="shared" si="4"/>
        <v>0</v>
      </c>
      <c r="I48" s="311" t="str">
        <f t="shared" si="3"/>
        <v>OK</v>
      </c>
      <c r="N48" s="300" t="s">
        <v>753</v>
      </c>
      <c r="O48" t="b">
        <f t="shared" si="2"/>
        <v>0</v>
      </c>
      <c r="S48" s="297"/>
      <c r="T48" s="297"/>
      <c r="U48" s="298"/>
      <c r="V48" s="720"/>
      <c r="W48" s="707"/>
      <c r="AE48">
        <v>41</v>
      </c>
    </row>
    <row r="49" spans="1:31" ht="15.75" thickBot="1">
      <c r="A49" t="s">
        <v>316</v>
      </c>
      <c r="B49" s="135" t="s">
        <v>729</v>
      </c>
      <c r="C49" s="732" t="s">
        <v>594</v>
      </c>
      <c r="D49" s="42">
        <f>Poeng!T110</f>
        <v>13</v>
      </c>
      <c r="E49" s="42"/>
      <c r="F49" s="42">
        <f>SUM(F43:F48)</f>
        <v>13</v>
      </c>
      <c r="H49" s="175">
        <f t="shared" si="4"/>
        <v>1</v>
      </c>
      <c r="I49" s="311" t="str">
        <f t="shared" si="3"/>
        <v>FEIL</v>
      </c>
      <c r="N49" s="297"/>
      <c r="O49" t="b">
        <f t="shared" si="2"/>
        <v>0</v>
      </c>
      <c r="S49" s="298" t="s">
        <v>602</v>
      </c>
      <c r="T49" s="297"/>
      <c r="U49" s="298"/>
      <c r="V49" s="720"/>
      <c r="W49" s="707"/>
      <c r="AE49">
        <v>42</v>
      </c>
    </row>
    <row r="50" spans="1:31" ht="15.75" thickBot="1">
      <c r="A50" t="s">
        <v>317</v>
      </c>
      <c r="B50" s="135" t="s">
        <v>730</v>
      </c>
      <c r="C50" s="732" t="s">
        <v>595</v>
      </c>
      <c r="H50" s="175">
        <f t="shared" si="4"/>
        <v>1</v>
      </c>
      <c r="I50" s="311" t="str">
        <f t="shared" si="3"/>
        <v>FEIL</v>
      </c>
      <c r="N50" s="298" t="s">
        <v>629</v>
      </c>
      <c r="O50" t="b">
        <f t="shared" si="2"/>
        <v>0</v>
      </c>
      <c r="S50" s="1027" t="s">
        <v>334</v>
      </c>
      <c r="T50" s="807" t="s">
        <v>603</v>
      </c>
      <c r="U50" s="818"/>
      <c r="V50" s="808"/>
      <c r="W50" s="707"/>
      <c r="AE50">
        <v>43</v>
      </c>
    </row>
    <row r="51" spans="1:31" ht="15.75" thickBot="1">
      <c r="A51" t="s">
        <v>318</v>
      </c>
      <c r="B51" s="137" t="s">
        <v>731</v>
      </c>
      <c r="C51" s="732" t="s">
        <v>754</v>
      </c>
      <c r="D51" s="39"/>
      <c r="E51" s="39"/>
      <c r="F51" s="39"/>
      <c r="H51" s="175">
        <f t="shared" si="4"/>
        <v>1</v>
      </c>
      <c r="I51" s="311" t="str">
        <f t="shared" si="3"/>
        <v>FEIL</v>
      </c>
      <c r="N51" s="300" t="s">
        <v>387</v>
      </c>
      <c r="O51" t="b">
        <f t="shared" si="2"/>
        <v>0</v>
      </c>
      <c r="R51" t="s">
        <v>336</v>
      </c>
      <c r="S51" s="1028"/>
      <c r="T51" s="708" t="s">
        <v>604</v>
      </c>
      <c r="U51" s="717" t="s">
        <v>586</v>
      </c>
      <c r="V51" s="718" t="s">
        <v>560</v>
      </c>
      <c r="W51" s="707"/>
      <c r="AE51">
        <v>44</v>
      </c>
    </row>
    <row r="52" spans="1:31">
      <c r="B52" s="548" t="s">
        <v>738</v>
      </c>
      <c r="C52" s="549"/>
      <c r="D52" s="38">
        <f>Poeng!T113</f>
        <v>5</v>
      </c>
      <c r="E52" s="37"/>
      <c r="F52" s="38">
        <f>Poeng!AB113</f>
        <v>5</v>
      </c>
      <c r="H52" s="767">
        <f t="shared" si="4"/>
        <v>0</v>
      </c>
      <c r="I52" s="311" t="str">
        <f t="shared" si="3"/>
        <v>FEIL</v>
      </c>
      <c r="N52" s="300" t="s">
        <v>391</v>
      </c>
      <c r="O52" t="b">
        <f t="shared" si="2"/>
        <v>0</v>
      </c>
      <c r="R52" t="s">
        <v>337</v>
      </c>
      <c r="S52" s="1028"/>
      <c r="T52" s="300" t="s">
        <v>605</v>
      </c>
      <c r="U52" s="717">
        <v>1</v>
      </c>
      <c r="V52" s="718" t="s">
        <v>560</v>
      </c>
      <c r="W52" s="707"/>
      <c r="AE52">
        <v>45</v>
      </c>
    </row>
    <row r="53" spans="1:31">
      <c r="A53" s="112" t="s">
        <v>319</v>
      </c>
      <c r="B53" s="663" t="s">
        <v>319</v>
      </c>
      <c r="C53" s="661" t="s">
        <v>320</v>
      </c>
      <c r="D53" s="36">
        <f>Poeng!T115</f>
        <v>1</v>
      </c>
      <c r="E53" s="35"/>
      <c r="F53" s="38">
        <f>Poeng!AB115</f>
        <v>1</v>
      </c>
      <c r="H53" s="766">
        <f t="shared" si="4"/>
        <v>0</v>
      </c>
      <c r="I53" s="311" t="str">
        <f t="shared" si="3"/>
        <v>FEIL</v>
      </c>
      <c r="N53" s="300" t="s">
        <v>394</v>
      </c>
      <c r="O53" t="b">
        <f t="shared" si="2"/>
        <v>0</v>
      </c>
      <c r="R53" t="s">
        <v>338</v>
      </c>
      <c r="S53" s="1028"/>
      <c r="T53" s="300" t="s">
        <v>606</v>
      </c>
      <c r="U53" s="717">
        <v>22</v>
      </c>
      <c r="V53" s="718" t="s">
        <v>560</v>
      </c>
      <c r="W53" s="707"/>
      <c r="AE53">
        <v>46</v>
      </c>
    </row>
    <row r="54" spans="1:31">
      <c r="B54" s="135" t="s">
        <v>729</v>
      </c>
      <c r="C54" s="754" t="s">
        <v>755</v>
      </c>
      <c r="D54" s="36">
        <f>Poeng!T117</f>
        <v>2</v>
      </c>
      <c r="E54" s="35"/>
      <c r="F54" s="38">
        <f>Poeng!AB117</f>
        <v>2</v>
      </c>
      <c r="H54" s="175">
        <f t="shared" si="4"/>
        <v>0</v>
      </c>
      <c r="I54" s="311" t="str">
        <f t="shared" si="3"/>
        <v>FEIL</v>
      </c>
      <c r="N54" s="300" t="s">
        <v>403</v>
      </c>
      <c r="O54" t="b">
        <f t="shared" si="2"/>
        <v>0</v>
      </c>
      <c r="R54" t="s">
        <v>340</v>
      </c>
      <c r="S54" s="1028"/>
      <c r="T54" s="300" t="s">
        <v>607</v>
      </c>
      <c r="U54" s="717">
        <v>1</v>
      </c>
      <c r="V54" s="718" t="s">
        <v>560</v>
      </c>
      <c r="W54" s="707"/>
      <c r="AE54">
        <v>47</v>
      </c>
    </row>
    <row r="55" spans="1:31" ht="15.75" thickBot="1">
      <c r="A55" t="s">
        <v>322</v>
      </c>
      <c r="B55" s="135" t="s">
        <v>730</v>
      </c>
      <c r="C55" s="732" t="s">
        <v>597</v>
      </c>
      <c r="D55" s="36">
        <f>Poeng!T121</f>
        <v>1</v>
      </c>
      <c r="E55" s="35"/>
      <c r="F55" s="38">
        <f>Poeng!AB121</f>
        <v>1</v>
      </c>
      <c r="H55" s="175">
        <f t="shared" si="4"/>
        <v>3</v>
      </c>
      <c r="I55" s="311" t="str">
        <f t="shared" si="3"/>
        <v>FEIL</v>
      </c>
      <c r="N55" s="297"/>
      <c r="O55" t="b">
        <f t="shared" si="2"/>
        <v>1</v>
      </c>
      <c r="R55" t="s">
        <v>342</v>
      </c>
      <c r="S55" s="1029"/>
      <c r="T55" s="300" t="s">
        <v>608</v>
      </c>
      <c r="U55" s="717" t="s">
        <v>586</v>
      </c>
      <c r="V55" s="718" t="s">
        <v>560</v>
      </c>
      <c r="W55" s="707"/>
      <c r="AE55">
        <v>48</v>
      </c>
    </row>
    <row r="56" spans="1:31" ht="15.75" thickBot="1">
      <c r="A56" s="112" t="s">
        <v>323</v>
      </c>
      <c r="B56" s="663" t="s">
        <v>323</v>
      </c>
      <c r="C56" s="661" t="s">
        <v>324</v>
      </c>
      <c r="D56" s="42">
        <f>Poeng!T123</f>
        <v>9</v>
      </c>
      <c r="E56" s="42"/>
      <c r="F56" s="42">
        <f>SUM(F52:F55)</f>
        <v>9</v>
      </c>
      <c r="H56" s="766">
        <f t="shared" si="4"/>
        <v>0</v>
      </c>
      <c r="I56" s="311" t="str">
        <f t="shared" si="3"/>
        <v>FEIL</v>
      </c>
      <c r="N56" s="298" t="s">
        <v>637</v>
      </c>
      <c r="O56" t="b">
        <f t="shared" si="2"/>
        <v>0</v>
      </c>
      <c r="S56" s="1027" t="s">
        <v>343</v>
      </c>
      <c r="T56" s="809" t="s">
        <v>609</v>
      </c>
      <c r="U56" s="810"/>
      <c r="V56" s="811"/>
      <c r="W56" s="707"/>
      <c r="AE56">
        <v>49</v>
      </c>
    </row>
    <row r="57" spans="1:31" ht="15.75" thickBot="1">
      <c r="A57" t="s">
        <v>325</v>
      </c>
      <c r="B57" s="135" t="s">
        <v>729</v>
      </c>
      <c r="C57" s="732" t="s">
        <v>756</v>
      </c>
      <c r="H57" s="175">
        <f t="shared" si="4"/>
        <v>2</v>
      </c>
      <c r="I57" s="311" t="str">
        <f t="shared" si="3"/>
        <v>FEIL</v>
      </c>
      <c r="N57" s="300" t="s">
        <v>410</v>
      </c>
      <c r="O57" t="b">
        <f t="shared" si="2"/>
        <v>0</v>
      </c>
      <c r="R57" t="s">
        <v>172</v>
      </c>
      <c r="S57" s="1028"/>
      <c r="T57" s="300" t="s">
        <v>610</v>
      </c>
      <c r="U57" s="717">
        <v>1</v>
      </c>
      <c r="V57" s="727" t="s">
        <v>560</v>
      </c>
      <c r="W57" s="707"/>
      <c r="AE57">
        <v>50</v>
      </c>
    </row>
    <row r="58" spans="1:31" ht="15.75" thickBot="1">
      <c r="A58" t="s">
        <v>326</v>
      </c>
      <c r="B58" s="135" t="s">
        <v>730</v>
      </c>
      <c r="C58" s="732" t="s">
        <v>757</v>
      </c>
      <c r="D58" s="39"/>
      <c r="E58" s="39"/>
      <c r="F58" s="39"/>
      <c r="H58" s="175">
        <f t="shared" si="4"/>
        <v>1</v>
      </c>
      <c r="I58" s="311" t="str">
        <f t="shared" si="3"/>
        <v>FEIL</v>
      </c>
      <c r="N58" s="300" t="s">
        <v>419</v>
      </c>
      <c r="O58" t="b">
        <f t="shared" si="2"/>
        <v>0</v>
      </c>
      <c r="R58" t="s">
        <v>350</v>
      </c>
      <c r="S58" s="1028"/>
      <c r="T58" s="300" t="s">
        <v>611</v>
      </c>
      <c r="U58" s="717">
        <v>1</v>
      </c>
      <c r="V58" s="727" t="s">
        <v>560</v>
      </c>
      <c r="W58" s="707"/>
      <c r="AE58">
        <v>51</v>
      </c>
    </row>
    <row r="59" spans="1:31">
      <c r="B59" s="548" t="s">
        <v>741</v>
      </c>
      <c r="C59" s="547"/>
      <c r="D59" s="38">
        <f>Poeng!T126</f>
        <v>5</v>
      </c>
      <c r="E59" s="37"/>
      <c r="F59" s="38">
        <f>Poeng!AB126</f>
        <v>5</v>
      </c>
      <c r="H59" s="767">
        <f t="shared" si="4"/>
        <v>0</v>
      </c>
      <c r="I59" s="311" t="str">
        <f t="shared" si="3"/>
        <v>FEIL</v>
      </c>
      <c r="N59" s="300"/>
      <c r="R59" t="s">
        <v>351</v>
      </c>
      <c r="S59" s="1029"/>
      <c r="T59" s="300" t="s">
        <v>612</v>
      </c>
      <c r="U59" s="717" t="s">
        <v>586</v>
      </c>
      <c r="V59" s="727" t="s">
        <v>560</v>
      </c>
      <c r="W59" s="707"/>
      <c r="AE59">
        <v>52</v>
      </c>
    </row>
    <row r="60" spans="1:31">
      <c r="A60" s="112" t="s">
        <v>327</v>
      </c>
      <c r="B60" s="663" t="s">
        <v>327</v>
      </c>
      <c r="C60" s="661" t="s">
        <v>328</v>
      </c>
      <c r="D60" s="38">
        <f>Poeng!T130</f>
        <v>3</v>
      </c>
      <c r="E60" s="37"/>
      <c r="F60" s="38">
        <f>Poeng!AB130</f>
        <v>3</v>
      </c>
      <c r="H60" s="766">
        <f t="shared" si="4"/>
        <v>0</v>
      </c>
      <c r="I60" s="311" t="str">
        <f t="shared" si="3"/>
        <v>FEIL</v>
      </c>
      <c r="N60" s="300" t="s">
        <v>424</v>
      </c>
      <c r="O60" t="b">
        <f t="shared" si="2"/>
        <v>0</v>
      </c>
      <c r="R60" t="s">
        <v>354</v>
      </c>
      <c r="S60" s="300" t="s">
        <v>352</v>
      </c>
      <c r="T60" s="716" t="s">
        <v>613</v>
      </c>
      <c r="U60" s="717">
        <v>1</v>
      </c>
      <c r="V60" s="727" t="s">
        <v>560</v>
      </c>
      <c r="W60" s="707"/>
      <c r="AE60">
        <v>53</v>
      </c>
    </row>
    <row r="61" spans="1:31">
      <c r="A61" t="s">
        <v>329</v>
      </c>
      <c r="B61" s="158" t="s">
        <v>729</v>
      </c>
      <c r="C61" s="732" t="s">
        <v>758</v>
      </c>
      <c r="D61" s="38">
        <f>Poeng!T134</f>
        <v>3</v>
      </c>
      <c r="E61" s="35"/>
      <c r="F61" s="38">
        <f>Poeng!AB134</f>
        <v>3</v>
      </c>
      <c r="H61" s="175">
        <f t="shared" si="4"/>
        <v>0</v>
      </c>
      <c r="I61" s="311" t="str">
        <f t="shared" si="3"/>
        <v>FEIL</v>
      </c>
      <c r="N61" s="297"/>
      <c r="O61" t="b">
        <f t="shared" si="2"/>
        <v>0</v>
      </c>
      <c r="S61" s="1027" t="s">
        <v>356</v>
      </c>
      <c r="T61" s="804" t="s">
        <v>614</v>
      </c>
      <c r="U61" s="805"/>
      <c r="V61" s="806"/>
      <c r="W61" s="707"/>
      <c r="AE61">
        <v>54</v>
      </c>
    </row>
    <row r="62" spans="1:31" ht="15.75" thickBot="1">
      <c r="B62" s="550" t="s">
        <v>742</v>
      </c>
      <c r="C62" s="551"/>
      <c r="D62" s="38">
        <f>Poeng!T138</f>
        <v>4</v>
      </c>
      <c r="E62" s="35"/>
      <c r="F62" s="38">
        <f>Poeng!AB138</f>
        <v>4</v>
      </c>
      <c r="H62" s="767">
        <f t="shared" si="4"/>
        <v>0</v>
      </c>
      <c r="I62" s="311" t="str">
        <f t="shared" si="3"/>
        <v>FEIL</v>
      </c>
      <c r="N62" s="297"/>
      <c r="R62" t="s">
        <v>358</v>
      </c>
      <c r="S62" s="1028"/>
      <c r="T62" s="300" t="s">
        <v>615</v>
      </c>
      <c r="U62" s="723" t="s">
        <v>586</v>
      </c>
      <c r="V62" s="728" t="s">
        <v>587</v>
      </c>
      <c r="W62" s="707"/>
      <c r="AE62">
        <v>55</v>
      </c>
    </row>
    <row r="63" spans="1:31" ht="15.75" thickBot="1">
      <c r="A63" t="s">
        <v>330</v>
      </c>
      <c r="B63" s="165"/>
      <c r="C63" s="42" t="s">
        <v>725</v>
      </c>
      <c r="D63" s="38">
        <f>Poeng!T144</f>
        <v>3</v>
      </c>
      <c r="E63" s="35"/>
      <c r="F63" s="38">
        <f>Poeng!AB144</f>
        <v>3</v>
      </c>
      <c r="H63" s="186">
        <f t="shared" si="4"/>
        <v>0</v>
      </c>
      <c r="I63" s="311" t="str">
        <f t="shared" si="3"/>
        <v>FEIL</v>
      </c>
      <c r="N63" s="298" t="s">
        <v>658</v>
      </c>
      <c r="O63" t="b">
        <f t="shared" si="2"/>
        <v>0</v>
      </c>
      <c r="R63" t="s">
        <v>359</v>
      </c>
      <c r="S63" s="1029"/>
      <c r="T63" s="300" t="s">
        <v>616</v>
      </c>
      <c r="U63" s="723" t="s">
        <v>586</v>
      </c>
      <c r="V63" s="728" t="s">
        <v>587</v>
      </c>
      <c r="W63" s="707"/>
      <c r="AE63">
        <v>56</v>
      </c>
    </row>
    <row r="64" spans="1:31" ht="15.75" thickBot="1">
      <c r="D64" s="38">
        <f>Poeng!T148</f>
        <v>3</v>
      </c>
      <c r="E64" s="35"/>
      <c r="F64" s="38">
        <f>Poeng!AB148</f>
        <v>3</v>
      </c>
      <c r="H64">
        <f t="shared" si="4"/>
        <v>0</v>
      </c>
      <c r="I64" s="311" t="str">
        <f t="shared" si="3"/>
        <v>FEIL</v>
      </c>
      <c r="N64" s="300" t="s">
        <v>444</v>
      </c>
      <c r="O64" t="b">
        <f t="shared" si="2"/>
        <v>0</v>
      </c>
      <c r="S64" s="1027" t="s">
        <v>186</v>
      </c>
      <c r="T64" s="804" t="s">
        <v>617</v>
      </c>
      <c r="U64" s="805"/>
      <c r="V64" s="806"/>
      <c r="W64" s="707"/>
      <c r="AE64">
        <v>57</v>
      </c>
    </row>
    <row r="65" spans="1:31" ht="15.75" thickBot="1">
      <c r="B65" s="118"/>
      <c r="C65" s="39" t="s">
        <v>332</v>
      </c>
      <c r="D65" s="42">
        <f>Poeng!T152</f>
        <v>21</v>
      </c>
      <c r="E65" s="42"/>
      <c r="F65" s="42">
        <f>SUM(F59:F64)</f>
        <v>21</v>
      </c>
      <c r="H65" s="113">
        <f t="shared" si="4"/>
        <v>0</v>
      </c>
      <c r="I65" s="311" t="str">
        <f t="shared" si="3"/>
        <v>FEIL</v>
      </c>
      <c r="N65" s="300" t="s">
        <v>759</v>
      </c>
      <c r="O65" t="b">
        <f t="shared" si="2"/>
        <v>0</v>
      </c>
      <c r="R65" t="s">
        <v>361</v>
      </c>
      <c r="S65" s="1028"/>
      <c r="T65" s="300" t="s">
        <v>618</v>
      </c>
      <c r="U65" s="717">
        <v>1</v>
      </c>
      <c r="V65" s="718" t="s">
        <v>560</v>
      </c>
      <c r="W65" s="707"/>
      <c r="AE65">
        <v>58</v>
      </c>
    </row>
    <row r="66" spans="1:31" ht="15.75" thickBot="1">
      <c r="A66" s="112" t="s">
        <v>334</v>
      </c>
      <c r="B66" s="662" t="s">
        <v>334</v>
      </c>
      <c r="C66" s="660" t="s">
        <v>335</v>
      </c>
      <c r="H66" s="122">
        <f t="shared" si="4"/>
        <v>0</v>
      </c>
      <c r="I66" s="311" t="str">
        <f t="shared" si="3"/>
        <v>OK</v>
      </c>
      <c r="N66" s="300" t="s">
        <v>451</v>
      </c>
      <c r="O66" t="b">
        <f t="shared" si="2"/>
        <v>0</v>
      </c>
      <c r="R66" t="s">
        <v>362</v>
      </c>
      <c r="S66" s="1029"/>
      <c r="T66" s="300" t="s">
        <v>619</v>
      </c>
      <c r="U66" s="717">
        <v>2</v>
      </c>
      <c r="V66" s="718" t="s">
        <v>560</v>
      </c>
      <c r="W66" s="707"/>
      <c r="AE66">
        <v>59</v>
      </c>
    </row>
    <row r="67" spans="1:31" ht="15.75" thickBot="1">
      <c r="A67" t="s">
        <v>336</v>
      </c>
      <c r="B67" s="135" t="s">
        <v>729</v>
      </c>
      <c r="C67" s="732" t="s">
        <v>604</v>
      </c>
      <c r="D67" s="39"/>
      <c r="E67" s="39"/>
      <c r="F67" s="39"/>
      <c r="H67" s="139">
        <f t="shared" si="4"/>
        <v>0</v>
      </c>
      <c r="I67" s="311" t="str">
        <f t="shared" si="3"/>
        <v>OK</v>
      </c>
      <c r="N67" s="300" t="s">
        <v>454</v>
      </c>
      <c r="O67" t="b">
        <f t="shared" si="2"/>
        <v>0</v>
      </c>
      <c r="S67" s="1027" t="s">
        <v>364</v>
      </c>
      <c r="T67" s="804" t="s">
        <v>620</v>
      </c>
      <c r="U67" s="805"/>
      <c r="V67" s="806"/>
      <c r="W67" s="707"/>
      <c r="AE67">
        <v>60</v>
      </c>
    </row>
    <row r="68" spans="1:31" ht="15" customHeight="1">
      <c r="A68" t="s">
        <v>337</v>
      </c>
      <c r="B68" s="135" t="s">
        <v>730</v>
      </c>
      <c r="C68" s="732" t="s">
        <v>605</v>
      </c>
      <c r="D68" s="38">
        <f>Poeng!T155</f>
        <v>5</v>
      </c>
      <c r="E68" s="37"/>
      <c r="F68" s="38">
        <f>Poeng!AB155</f>
        <v>5</v>
      </c>
      <c r="H68" s="139">
        <f t="shared" si="4"/>
        <v>1</v>
      </c>
      <c r="I68" s="311" t="str">
        <f t="shared" si="3"/>
        <v>FEIL</v>
      </c>
      <c r="N68" s="300" t="s">
        <v>456</v>
      </c>
      <c r="O68" t="b">
        <f t="shared" si="2"/>
        <v>0</v>
      </c>
      <c r="R68" t="s">
        <v>366</v>
      </c>
      <c r="S68" s="1028"/>
      <c r="T68" s="300" t="s">
        <v>621</v>
      </c>
      <c r="U68" s="717" t="s">
        <v>586</v>
      </c>
      <c r="V68" s="718" t="s">
        <v>587</v>
      </c>
      <c r="W68" s="707"/>
      <c r="AE68">
        <v>61</v>
      </c>
    </row>
    <row r="69" spans="1:31">
      <c r="A69" t="s">
        <v>338</v>
      </c>
      <c r="B69" s="135" t="s">
        <v>731</v>
      </c>
      <c r="C69" s="732" t="s">
        <v>606</v>
      </c>
      <c r="D69" s="36">
        <f>Poeng!T159</f>
        <v>0</v>
      </c>
      <c r="E69" s="35"/>
      <c r="F69" s="38">
        <f>Poeng!AB159</f>
        <v>0</v>
      </c>
      <c r="H69" s="139">
        <f t="shared" si="4"/>
        <v>22</v>
      </c>
      <c r="I69" s="311" t="str">
        <f t="shared" si="3"/>
        <v>FEIL</v>
      </c>
      <c r="N69" s="297"/>
      <c r="O69" t="b">
        <f t="shared" si="2"/>
        <v>1</v>
      </c>
      <c r="R69" t="s">
        <v>367</v>
      </c>
      <c r="S69" s="1029"/>
      <c r="T69" s="300" t="s">
        <v>622</v>
      </c>
      <c r="U69" s="717" t="s">
        <v>586</v>
      </c>
      <c r="V69" s="718" t="s">
        <v>587</v>
      </c>
      <c r="W69" s="707"/>
      <c r="AE69">
        <v>62</v>
      </c>
    </row>
    <row r="70" spans="1:31">
      <c r="A70" t="s">
        <v>340</v>
      </c>
      <c r="B70" s="135" t="s">
        <v>732</v>
      </c>
      <c r="C70" s="732" t="s">
        <v>607</v>
      </c>
      <c r="D70" s="36">
        <f>Poeng!T160</f>
        <v>1</v>
      </c>
      <c r="E70" s="35"/>
      <c r="F70" s="38">
        <f>Poeng!AB160</f>
        <v>1</v>
      </c>
      <c r="H70" s="139">
        <f t="shared" si="4"/>
        <v>1</v>
      </c>
      <c r="I70" s="311" t="str">
        <f t="shared" si="3"/>
        <v>OK</v>
      </c>
      <c r="N70" s="298" t="s">
        <v>665</v>
      </c>
      <c r="O70" t="b">
        <f t="shared" si="2"/>
        <v>0</v>
      </c>
      <c r="R70" t="s">
        <v>370</v>
      </c>
      <c r="S70" s="300" t="s">
        <v>368</v>
      </c>
      <c r="T70" s="713" t="s">
        <v>623</v>
      </c>
      <c r="U70" s="717" t="s">
        <v>586</v>
      </c>
      <c r="V70" s="718" t="s">
        <v>560</v>
      </c>
      <c r="W70" s="707"/>
      <c r="AE70">
        <v>63</v>
      </c>
    </row>
    <row r="71" spans="1:31" ht="15.75" thickBot="1">
      <c r="A71" t="s">
        <v>342</v>
      </c>
      <c r="B71" s="135" t="s">
        <v>733</v>
      </c>
      <c r="C71" s="732" t="s">
        <v>608</v>
      </c>
      <c r="D71" s="36">
        <f>Poeng!T164</f>
        <v>1</v>
      </c>
      <c r="E71" s="35"/>
      <c r="F71" s="38">
        <f>Poeng!AB164</f>
        <v>1</v>
      </c>
      <c r="H71" s="139">
        <f t="shared" si="4"/>
        <v>0</v>
      </c>
      <c r="I71" s="311" t="str">
        <f t="shared" si="3"/>
        <v>FEIL</v>
      </c>
      <c r="N71" s="300" t="s">
        <v>463</v>
      </c>
      <c r="O71" t="b">
        <f t="shared" si="2"/>
        <v>0</v>
      </c>
      <c r="S71" s="297"/>
      <c r="T71" s="297"/>
      <c r="U71" s="298"/>
      <c r="V71" s="720"/>
      <c r="W71" s="707"/>
      <c r="AE71">
        <v>64</v>
      </c>
    </row>
    <row r="72" spans="1:31" ht="15.75" thickBot="1">
      <c r="A72" s="112" t="s">
        <v>343</v>
      </c>
      <c r="B72" s="663" t="s">
        <v>343</v>
      </c>
      <c r="C72" s="661" t="s">
        <v>345</v>
      </c>
      <c r="D72" s="42">
        <f>Poeng!T166</f>
        <v>7</v>
      </c>
      <c r="E72" s="42"/>
      <c r="F72" s="42">
        <f>SUM(F68:F71)</f>
        <v>7</v>
      </c>
      <c r="H72" s="768">
        <f t="shared" ref="H72:H135" si="5">SUMIF($R$7:$R$182,A72,$U$7:$U$182)</f>
        <v>0</v>
      </c>
      <c r="I72" s="311" t="str">
        <f t="shared" si="3"/>
        <v>FEIL</v>
      </c>
      <c r="N72" s="300" t="s">
        <v>467</v>
      </c>
      <c r="O72" t="b">
        <f t="shared" si="2"/>
        <v>0</v>
      </c>
      <c r="S72" s="298" t="s">
        <v>624</v>
      </c>
      <c r="T72" s="297"/>
      <c r="U72" s="298"/>
      <c r="V72" s="720"/>
      <c r="W72" s="707"/>
      <c r="AE72">
        <v>65</v>
      </c>
    </row>
    <row r="73" spans="1:31" ht="15.75" thickBot="1">
      <c r="A73" t="s">
        <v>172</v>
      </c>
      <c r="B73" s="135" t="s">
        <v>729</v>
      </c>
      <c r="C73" s="732" t="s">
        <v>610</v>
      </c>
      <c r="H73" s="139">
        <f t="shared" si="5"/>
        <v>1</v>
      </c>
      <c r="I73" s="311" t="str">
        <f t="shared" si="3"/>
        <v>FEIL</v>
      </c>
      <c r="N73" s="300" t="s">
        <v>476</v>
      </c>
      <c r="O73" t="b">
        <f t="shared" ref="O73:O97" si="6">N73=S73</f>
        <v>0</v>
      </c>
      <c r="S73" s="1027" t="s">
        <v>375</v>
      </c>
      <c r="T73" s="804" t="s">
        <v>625</v>
      </c>
      <c r="U73" s="805"/>
      <c r="V73" s="805"/>
      <c r="W73" s="707"/>
      <c r="AE73">
        <v>66</v>
      </c>
    </row>
    <row r="74" spans="1:31" ht="15.75" thickBot="1">
      <c r="A74" t="s">
        <v>350</v>
      </c>
      <c r="B74" s="135" t="s">
        <v>730</v>
      </c>
      <c r="C74" s="732" t="s">
        <v>611</v>
      </c>
      <c r="D74" s="39"/>
      <c r="E74" s="39"/>
      <c r="F74" s="39"/>
      <c r="H74" s="139">
        <f t="shared" si="5"/>
        <v>1</v>
      </c>
      <c r="I74" s="311" t="str">
        <f t="shared" si="3"/>
        <v>FEIL</v>
      </c>
      <c r="N74" s="300" t="s">
        <v>481</v>
      </c>
      <c r="O74" t="b">
        <f t="shared" si="6"/>
        <v>0</v>
      </c>
      <c r="R74" t="s">
        <v>377</v>
      </c>
      <c r="S74" s="1028"/>
      <c r="T74" s="300" t="s">
        <v>626</v>
      </c>
      <c r="U74" s="717">
        <v>2</v>
      </c>
      <c r="V74" s="726" t="s">
        <v>560</v>
      </c>
      <c r="W74" s="707"/>
      <c r="AE74">
        <v>67</v>
      </c>
    </row>
    <row r="75" spans="1:31">
      <c r="A75" t="s">
        <v>351</v>
      </c>
      <c r="B75" s="137" t="s">
        <v>731</v>
      </c>
      <c r="C75" s="732" t="s">
        <v>612</v>
      </c>
      <c r="D75" s="38">
        <f>Poeng!T169</f>
        <v>2</v>
      </c>
      <c r="E75" s="37"/>
      <c r="F75" s="38">
        <f>Poeng!AB169</f>
        <v>2</v>
      </c>
      <c r="H75" s="139">
        <f t="shared" si="5"/>
        <v>0</v>
      </c>
      <c r="I75" s="311" t="str">
        <f t="shared" ref="I75:I107" si="7">IF(F75=H75,"OK","FEIL")</f>
        <v>FEIL</v>
      </c>
      <c r="N75" s="300" t="s">
        <v>486</v>
      </c>
      <c r="O75" t="b">
        <f t="shared" si="6"/>
        <v>0</v>
      </c>
      <c r="R75" t="s">
        <v>378</v>
      </c>
      <c r="S75" s="1029"/>
      <c r="T75" s="300" t="s">
        <v>627</v>
      </c>
      <c r="U75" s="729">
        <v>1</v>
      </c>
      <c r="V75" s="730" t="s">
        <v>560</v>
      </c>
      <c r="W75" s="707"/>
      <c r="AE75">
        <v>68</v>
      </c>
    </row>
    <row r="76" spans="1:31">
      <c r="A76" s="112" t="s">
        <v>352</v>
      </c>
      <c r="B76" s="755" t="s">
        <v>352</v>
      </c>
      <c r="C76" s="661" t="s">
        <v>353</v>
      </c>
      <c r="D76" s="36">
        <f>Poeng!T171</f>
        <v>2</v>
      </c>
      <c r="E76" s="35"/>
      <c r="F76" s="38">
        <f>Poeng!AB171</f>
        <v>2</v>
      </c>
      <c r="H76" s="768">
        <f t="shared" si="5"/>
        <v>0</v>
      </c>
      <c r="I76" s="311" t="str">
        <f t="shared" si="7"/>
        <v>FEIL</v>
      </c>
      <c r="N76" s="300"/>
      <c r="R76" t="s">
        <v>382</v>
      </c>
      <c r="S76" s="300" t="s">
        <v>379</v>
      </c>
      <c r="T76" s="713" t="s">
        <v>628</v>
      </c>
      <c r="U76" s="729">
        <v>10</v>
      </c>
      <c r="V76" s="730" t="s">
        <v>560</v>
      </c>
      <c r="W76" s="707"/>
      <c r="AE76">
        <v>69</v>
      </c>
    </row>
    <row r="77" spans="1:31">
      <c r="A77" t="s">
        <v>354</v>
      </c>
      <c r="B77" s="135" t="s">
        <v>729</v>
      </c>
      <c r="C77" s="732" t="s">
        <v>760</v>
      </c>
      <c r="D77" s="36">
        <f>Poeng!T175</f>
        <v>3</v>
      </c>
      <c r="E77" s="35"/>
      <c r="F77" s="38">
        <f>Poeng!AB175</f>
        <v>3</v>
      </c>
      <c r="H77" s="139">
        <f t="shared" si="5"/>
        <v>1</v>
      </c>
      <c r="I77" s="311"/>
      <c r="N77" s="297"/>
      <c r="O77" t="b">
        <f t="shared" si="6"/>
        <v>1</v>
      </c>
      <c r="S77" s="297"/>
      <c r="T77" s="297"/>
      <c r="U77" s="298"/>
      <c r="V77" s="720"/>
      <c r="W77" s="707"/>
      <c r="AE77">
        <v>70</v>
      </c>
    </row>
    <row r="78" spans="1:31">
      <c r="A78" t="s">
        <v>355</v>
      </c>
      <c r="B78" s="135" t="s">
        <v>730</v>
      </c>
      <c r="C78" s="732" t="s">
        <v>761</v>
      </c>
      <c r="D78" s="36">
        <f>Poeng!T179</f>
        <v>4</v>
      </c>
      <c r="E78" s="35"/>
      <c r="F78" s="38">
        <f>Poeng!AB179</f>
        <v>4</v>
      </c>
      <c r="H78" s="812">
        <f>H77</f>
        <v>1</v>
      </c>
      <c r="I78" s="311" t="str">
        <f t="shared" si="7"/>
        <v>FEIL</v>
      </c>
      <c r="N78" s="298" t="s">
        <v>687</v>
      </c>
      <c r="O78" t="b">
        <f t="shared" si="6"/>
        <v>0</v>
      </c>
      <c r="S78" s="298" t="s">
        <v>629</v>
      </c>
      <c r="T78" s="297"/>
      <c r="U78" s="298"/>
      <c r="V78" s="720"/>
      <c r="W78" s="707"/>
      <c r="AE78">
        <v>71</v>
      </c>
    </row>
    <row r="79" spans="1:31">
      <c r="B79" s="548" t="s">
        <v>745</v>
      </c>
      <c r="C79" s="547"/>
      <c r="D79" s="36">
        <f>Poeng!T183</f>
        <v>2</v>
      </c>
      <c r="E79" s="35"/>
      <c r="F79" s="38">
        <f>Poeng!AB183</f>
        <v>2</v>
      </c>
      <c r="H79" s="761">
        <f t="shared" si="5"/>
        <v>0</v>
      </c>
      <c r="I79" s="311" t="str">
        <f t="shared" si="7"/>
        <v>FEIL</v>
      </c>
      <c r="N79" s="300" t="s">
        <v>688</v>
      </c>
      <c r="O79" t="b">
        <f t="shared" si="6"/>
        <v>0</v>
      </c>
      <c r="R79" t="s">
        <v>389</v>
      </c>
      <c r="S79" s="300" t="s">
        <v>387</v>
      </c>
      <c r="T79" s="713" t="s">
        <v>630</v>
      </c>
      <c r="U79" s="729">
        <v>5</v>
      </c>
      <c r="V79" s="730" t="s">
        <v>560</v>
      </c>
      <c r="W79" s="707"/>
      <c r="AE79">
        <v>72</v>
      </c>
    </row>
    <row r="80" spans="1:31">
      <c r="A80" s="112" t="s">
        <v>356</v>
      </c>
      <c r="B80" s="663" t="s">
        <v>356</v>
      </c>
      <c r="C80" s="661" t="s">
        <v>357</v>
      </c>
      <c r="D80" s="36">
        <f>Poeng!T187</f>
        <v>1</v>
      </c>
      <c r="E80" s="35"/>
      <c r="F80" s="38">
        <f>Poeng!AB187</f>
        <v>1</v>
      </c>
      <c r="H80" s="768">
        <f t="shared" si="5"/>
        <v>0</v>
      </c>
      <c r="I80" s="311" t="str">
        <f t="shared" si="7"/>
        <v>FEIL</v>
      </c>
      <c r="N80" s="300"/>
      <c r="R80" t="s">
        <v>393</v>
      </c>
      <c r="S80" s="300" t="s">
        <v>391</v>
      </c>
      <c r="T80" s="713" t="s">
        <v>631</v>
      </c>
      <c r="U80" s="729">
        <v>1</v>
      </c>
      <c r="V80" s="730" t="s">
        <v>560</v>
      </c>
      <c r="W80" s="707"/>
      <c r="AE80">
        <v>73</v>
      </c>
    </row>
    <row r="81" spans="1:31">
      <c r="A81" t="s">
        <v>358</v>
      </c>
      <c r="B81" s="135" t="s">
        <v>729</v>
      </c>
      <c r="C81" s="732" t="s">
        <v>615</v>
      </c>
      <c r="D81" s="36">
        <f>Poeng!T189</f>
        <v>2</v>
      </c>
      <c r="E81" s="35"/>
      <c r="F81" s="38">
        <f>Poeng!AB189</f>
        <v>2</v>
      </c>
      <c r="H81" s="139">
        <f t="shared" si="5"/>
        <v>0</v>
      </c>
      <c r="I81" s="311" t="str">
        <f t="shared" si="7"/>
        <v>FEIL</v>
      </c>
      <c r="N81" s="300"/>
      <c r="S81" s="300" t="s">
        <v>394</v>
      </c>
      <c r="T81" s="804" t="s">
        <v>632</v>
      </c>
      <c r="U81" s="805"/>
      <c r="V81" s="805"/>
      <c r="W81" s="707"/>
      <c r="AE81">
        <v>74</v>
      </c>
    </row>
    <row r="82" spans="1:31" ht="15.75" thickBot="1">
      <c r="A82" t="s">
        <v>359</v>
      </c>
      <c r="B82" s="135" t="s">
        <v>730</v>
      </c>
      <c r="C82" s="732" t="s">
        <v>616</v>
      </c>
      <c r="D82" s="36">
        <f>Poeng!T192</f>
        <v>3</v>
      </c>
      <c r="E82" s="55"/>
      <c r="F82" s="38">
        <f>Poeng!AB192</f>
        <v>3</v>
      </c>
      <c r="H82" s="139">
        <f t="shared" si="5"/>
        <v>0</v>
      </c>
      <c r="I82" s="311" t="str">
        <f t="shared" si="7"/>
        <v>FEIL</v>
      </c>
      <c r="N82" s="300" t="s">
        <v>690</v>
      </c>
      <c r="O82" t="b">
        <f t="shared" si="6"/>
        <v>0</v>
      </c>
      <c r="R82" t="s">
        <v>400</v>
      </c>
      <c r="S82" s="300"/>
      <c r="T82" s="300" t="s">
        <v>633</v>
      </c>
      <c r="U82" s="729" t="s">
        <v>586</v>
      </c>
      <c r="V82" s="730" t="s">
        <v>560</v>
      </c>
      <c r="W82" s="707"/>
      <c r="AE82">
        <v>75</v>
      </c>
    </row>
    <row r="83" spans="1:31" ht="15.75" thickBot="1">
      <c r="A83" s="112" t="s">
        <v>186</v>
      </c>
      <c r="B83" s="663" t="s">
        <v>186</v>
      </c>
      <c r="C83" s="661" t="s">
        <v>360</v>
      </c>
      <c r="D83" s="42">
        <f>Poeng!T197</f>
        <v>19</v>
      </c>
      <c r="E83" s="42"/>
      <c r="F83" s="42">
        <f>SUM(F75:F82)</f>
        <v>19</v>
      </c>
      <c r="H83" s="768">
        <f t="shared" si="5"/>
        <v>0</v>
      </c>
      <c r="I83" s="311" t="str">
        <f t="shared" si="7"/>
        <v>FEIL</v>
      </c>
      <c r="N83" s="300" t="s">
        <v>762</v>
      </c>
      <c r="O83" t="b">
        <f t="shared" si="6"/>
        <v>0</v>
      </c>
      <c r="R83" t="s">
        <v>401</v>
      </c>
      <c r="S83" s="300"/>
      <c r="T83" s="300" t="s">
        <v>634</v>
      </c>
      <c r="U83" s="729" t="s">
        <v>586</v>
      </c>
      <c r="V83" s="730" t="s">
        <v>560</v>
      </c>
      <c r="W83" s="707"/>
      <c r="AE83">
        <v>76</v>
      </c>
    </row>
    <row r="84" spans="1:31" ht="15.75" thickBot="1">
      <c r="A84" t="s">
        <v>361</v>
      </c>
      <c r="B84" s="135" t="s">
        <v>729</v>
      </c>
      <c r="C84" s="732" t="s">
        <v>763</v>
      </c>
      <c r="H84" s="139">
        <f t="shared" si="5"/>
        <v>1</v>
      </c>
      <c r="I84" s="311" t="str">
        <f t="shared" si="7"/>
        <v>FEIL</v>
      </c>
      <c r="N84" s="300" t="s">
        <v>692</v>
      </c>
      <c r="O84" t="b">
        <f t="shared" si="6"/>
        <v>0</v>
      </c>
      <c r="R84" t="s">
        <v>402</v>
      </c>
      <c r="S84" s="300"/>
      <c r="T84" s="300" t="s">
        <v>635</v>
      </c>
      <c r="U84" s="729" t="s">
        <v>586</v>
      </c>
      <c r="V84" s="730" t="s">
        <v>560</v>
      </c>
      <c r="W84" s="707"/>
      <c r="AE84">
        <v>77</v>
      </c>
    </row>
    <row r="85" spans="1:31" ht="15.75" thickBot="1">
      <c r="A85" t="s">
        <v>362</v>
      </c>
      <c r="B85" s="135" t="s">
        <v>730</v>
      </c>
      <c r="C85" s="791" t="s">
        <v>764</v>
      </c>
      <c r="D85" s="39"/>
      <c r="E85" s="39"/>
      <c r="F85" s="39"/>
      <c r="H85" s="812">
        <f>IF(SUMIF($R$7:$R$182,A85,$U$7:$U$182)=2,1,SUMIF($R$7:$R$182,A85,$U$7:$U$182))</f>
        <v>1</v>
      </c>
      <c r="I85" s="311" t="str">
        <f t="shared" si="7"/>
        <v>FEIL</v>
      </c>
      <c r="J85" t="s">
        <v>765</v>
      </c>
      <c r="N85" s="300" t="s">
        <v>694</v>
      </c>
      <c r="O85" t="b">
        <f t="shared" si="6"/>
        <v>0</v>
      </c>
      <c r="R85" t="s">
        <v>405</v>
      </c>
      <c r="S85" s="300" t="s">
        <v>403</v>
      </c>
      <c r="T85" s="713" t="s">
        <v>636</v>
      </c>
      <c r="U85" s="729">
        <v>1</v>
      </c>
      <c r="V85" s="730" t="s">
        <v>560</v>
      </c>
      <c r="W85" s="707"/>
      <c r="AE85">
        <v>78</v>
      </c>
    </row>
    <row r="86" spans="1:31">
      <c r="A86" t="s">
        <v>363</v>
      </c>
      <c r="B86" s="135" t="s">
        <v>731</v>
      </c>
      <c r="C86" s="791" t="s">
        <v>766</v>
      </c>
      <c r="D86" s="36">
        <f>Poeng!T200</f>
        <v>3</v>
      </c>
      <c r="E86" s="35"/>
      <c r="F86" s="38">
        <f>Poeng!AB200</f>
        <v>3</v>
      </c>
      <c r="H86" s="812">
        <f>IF(SUMIF($R$7:$R$182,A85,$U$7:$U$182)=2,1,0)</f>
        <v>1</v>
      </c>
      <c r="I86" s="311" t="str">
        <f t="shared" si="7"/>
        <v>FEIL</v>
      </c>
      <c r="J86" t="s">
        <v>765</v>
      </c>
      <c r="N86" s="297"/>
      <c r="O86" t="b">
        <f t="shared" si="6"/>
        <v>1</v>
      </c>
      <c r="S86" s="297"/>
      <c r="T86" s="297"/>
      <c r="U86" s="298"/>
      <c r="V86" s="720"/>
      <c r="W86" s="707"/>
      <c r="AE86">
        <v>79</v>
      </c>
    </row>
    <row r="87" spans="1:31" ht="15" customHeight="1">
      <c r="A87" s="112" t="s">
        <v>364</v>
      </c>
      <c r="B87" s="663" t="s">
        <v>364</v>
      </c>
      <c r="C87" s="661" t="s">
        <v>365</v>
      </c>
      <c r="D87" s="36">
        <f>Poeng!T204</f>
        <v>2</v>
      </c>
      <c r="E87" s="35"/>
      <c r="F87" s="38">
        <f>Poeng!AB204</f>
        <v>2</v>
      </c>
      <c r="H87" s="768">
        <f t="shared" si="5"/>
        <v>0</v>
      </c>
      <c r="I87" s="311" t="str">
        <f t="shared" si="7"/>
        <v>FEIL</v>
      </c>
      <c r="N87" s="297"/>
      <c r="O87" t="b">
        <f t="shared" si="6"/>
        <v>0</v>
      </c>
      <c r="S87" s="298" t="s">
        <v>637</v>
      </c>
      <c r="T87" s="297"/>
      <c r="U87" s="298"/>
      <c r="V87" s="720"/>
      <c r="W87" s="707"/>
      <c r="AE87">
        <v>80</v>
      </c>
    </row>
    <row r="88" spans="1:31">
      <c r="A88" t="s">
        <v>366</v>
      </c>
      <c r="B88" s="135" t="s">
        <v>729</v>
      </c>
      <c r="C88" s="732" t="s">
        <v>621</v>
      </c>
      <c r="D88" s="36">
        <f>Poeng!T207</f>
        <v>0</v>
      </c>
      <c r="E88" s="35"/>
      <c r="F88" s="38">
        <f>Poeng!AB207</f>
        <v>0</v>
      </c>
      <c r="H88" s="139">
        <f t="shared" si="5"/>
        <v>0</v>
      </c>
      <c r="I88" s="311" t="str">
        <f t="shared" si="7"/>
        <v>OK</v>
      </c>
      <c r="N88" s="298" t="s">
        <v>696</v>
      </c>
      <c r="O88" t="b">
        <f t="shared" si="6"/>
        <v>0</v>
      </c>
      <c r="S88" s="300" t="s">
        <v>410</v>
      </c>
      <c r="T88" s="804" t="s">
        <v>638</v>
      </c>
      <c r="U88" s="805"/>
      <c r="V88" s="806"/>
      <c r="W88" s="707"/>
      <c r="AE88">
        <v>81</v>
      </c>
    </row>
    <row r="89" spans="1:31">
      <c r="A89" t="s">
        <v>367</v>
      </c>
      <c r="B89" s="135" t="s">
        <v>730</v>
      </c>
      <c r="C89" s="732" t="s">
        <v>622</v>
      </c>
      <c r="D89" s="36">
        <f>Poeng!T208</f>
        <v>1</v>
      </c>
      <c r="E89" s="35"/>
      <c r="F89" s="38">
        <f>Poeng!AB208</f>
        <v>1</v>
      </c>
      <c r="H89" s="139">
        <f t="shared" si="5"/>
        <v>0</v>
      </c>
      <c r="I89" s="311" t="str">
        <f t="shared" si="7"/>
        <v>FEIL</v>
      </c>
      <c r="N89" s="300" t="s">
        <v>279</v>
      </c>
      <c r="O89" t="b">
        <f t="shared" si="6"/>
        <v>0</v>
      </c>
      <c r="R89" t="s">
        <v>413</v>
      </c>
      <c r="S89" s="300"/>
      <c r="T89" s="300" t="s">
        <v>639</v>
      </c>
      <c r="U89" s="717">
        <v>3</v>
      </c>
      <c r="V89" s="718" t="s">
        <v>560</v>
      </c>
      <c r="W89" s="707"/>
      <c r="AE89">
        <v>82</v>
      </c>
    </row>
    <row r="90" spans="1:31" ht="15.75" thickBot="1">
      <c r="A90" s="112" t="s">
        <v>368</v>
      </c>
      <c r="B90" s="663" t="s">
        <v>368</v>
      </c>
      <c r="C90" s="661" t="s">
        <v>369</v>
      </c>
      <c r="D90" s="36">
        <f>Poeng!T211</f>
        <v>1</v>
      </c>
      <c r="E90" s="35"/>
      <c r="F90" s="38">
        <f>Poeng!AB211</f>
        <v>1</v>
      </c>
      <c r="H90" s="768">
        <f t="shared" si="5"/>
        <v>0</v>
      </c>
      <c r="I90" s="311" t="str">
        <f t="shared" si="7"/>
        <v>FEIL</v>
      </c>
      <c r="N90" s="300" t="s">
        <v>187</v>
      </c>
      <c r="O90" t="b">
        <f t="shared" si="6"/>
        <v>0</v>
      </c>
      <c r="R90" t="s">
        <v>414</v>
      </c>
      <c r="S90" s="300"/>
      <c r="T90" s="300" t="s">
        <v>640</v>
      </c>
      <c r="U90" s="717">
        <v>2</v>
      </c>
      <c r="V90" s="718" t="s">
        <v>560</v>
      </c>
      <c r="W90" s="707"/>
      <c r="AE90">
        <v>83</v>
      </c>
    </row>
    <row r="91" spans="1:31" ht="15.75" thickBot="1">
      <c r="A91" t="s">
        <v>370</v>
      </c>
      <c r="B91" s="137" t="s">
        <v>729</v>
      </c>
      <c r="C91" s="732" t="s">
        <v>767</v>
      </c>
      <c r="D91" s="42">
        <f>Poeng!T214</f>
        <v>7</v>
      </c>
      <c r="E91" s="42"/>
      <c r="F91" s="42">
        <f>SUM(F86:F90)</f>
        <v>7</v>
      </c>
      <c r="H91" s="139">
        <f t="shared" si="5"/>
        <v>0</v>
      </c>
      <c r="I91" s="311" t="str">
        <f t="shared" si="7"/>
        <v>FEIL</v>
      </c>
      <c r="N91" s="300" t="s">
        <v>749</v>
      </c>
      <c r="O91" t="b">
        <f t="shared" si="6"/>
        <v>0</v>
      </c>
      <c r="S91" s="300" t="s">
        <v>415</v>
      </c>
      <c r="T91" s="804" t="s">
        <v>641</v>
      </c>
      <c r="U91" s="805"/>
      <c r="V91" s="806"/>
      <c r="W91" s="707"/>
      <c r="AE91">
        <v>84</v>
      </c>
    </row>
    <row r="92" spans="1:31" ht="15.75" thickBot="1">
      <c r="B92" s="548" t="s">
        <v>746</v>
      </c>
      <c r="C92" s="547"/>
      <c r="H92" s="761">
        <f t="shared" si="5"/>
        <v>0</v>
      </c>
      <c r="I92" s="311" t="str">
        <f t="shared" si="7"/>
        <v>OK</v>
      </c>
      <c r="N92" s="300" t="s">
        <v>750</v>
      </c>
      <c r="O92" t="b">
        <f t="shared" si="6"/>
        <v>0</v>
      </c>
      <c r="R92" t="s">
        <v>417</v>
      </c>
      <c r="S92" s="300"/>
      <c r="T92" s="300" t="s">
        <v>642</v>
      </c>
      <c r="U92" s="717">
        <v>1</v>
      </c>
      <c r="V92" s="718" t="s">
        <v>560</v>
      </c>
      <c r="W92" s="707"/>
      <c r="AE92">
        <v>85</v>
      </c>
    </row>
    <row r="93" spans="1:31" ht="15.75" thickBot="1">
      <c r="B93" s="548" t="s">
        <v>747</v>
      </c>
      <c r="C93" s="547"/>
      <c r="D93" s="39"/>
      <c r="E93" s="39"/>
      <c r="F93" s="39"/>
      <c r="H93" s="761">
        <f t="shared" si="5"/>
        <v>0</v>
      </c>
      <c r="I93" s="311" t="str">
        <f t="shared" si="7"/>
        <v>OK</v>
      </c>
      <c r="N93" s="300" t="s">
        <v>387</v>
      </c>
      <c r="O93" t="b">
        <f t="shared" si="6"/>
        <v>0</v>
      </c>
      <c r="R93" t="s">
        <v>418</v>
      </c>
      <c r="S93" s="300"/>
      <c r="T93" s="300" t="s">
        <v>643</v>
      </c>
      <c r="U93" s="717">
        <v>2</v>
      </c>
      <c r="V93" s="718" t="s">
        <v>560</v>
      </c>
      <c r="W93" s="707"/>
      <c r="AE93">
        <v>86</v>
      </c>
    </row>
    <row r="94" spans="1:31" ht="15.75" thickBot="1">
      <c r="A94" t="s">
        <v>371</v>
      </c>
      <c r="B94" s="165"/>
      <c r="C94" s="42" t="s">
        <v>725</v>
      </c>
      <c r="D94" s="38">
        <f>Poeng!T217</f>
        <v>1</v>
      </c>
      <c r="E94" s="37"/>
      <c r="F94" s="38">
        <f>Poeng!AB217</f>
        <v>1</v>
      </c>
      <c r="H94" s="186">
        <f t="shared" si="5"/>
        <v>0</v>
      </c>
      <c r="I94" s="311" t="str">
        <f t="shared" si="7"/>
        <v>FEIL</v>
      </c>
      <c r="N94" s="300" t="s">
        <v>410</v>
      </c>
      <c r="O94" t="b">
        <f t="shared" si="6"/>
        <v>0</v>
      </c>
      <c r="S94" s="300" t="s">
        <v>419</v>
      </c>
      <c r="T94" s="804" t="s">
        <v>644</v>
      </c>
      <c r="U94" s="805"/>
      <c r="V94" s="806"/>
      <c r="W94" s="707"/>
      <c r="AE94">
        <v>87</v>
      </c>
    </row>
    <row r="95" spans="1:31" ht="15.75" thickBot="1">
      <c r="D95" s="36">
        <f>Poeng!T218</f>
        <v>1</v>
      </c>
      <c r="E95" s="35"/>
      <c r="F95" s="38">
        <f>Poeng!AB218</f>
        <v>1</v>
      </c>
      <c r="H95">
        <f t="shared" si="5"/>
        <v>0</v>
      </c>
      <c r="I95" s="311" t="str">
        <f t="shared" si="7"/>
        <v>FEIL</v>
      </c>
      <c r="N95" s="300" t="s">
        <v>419</v>
      </c>
      <c r="O95" t="b">
        <f t="shared" si="6"/>
        <v>0</v>
      </c>
      <c r="R95" t="s">
        <v>422</v>
      </c>
      <c r="S95" s="300"/>
      <c r="T95" s="300" t="s">
        <v>645</v>
      </c>
      <c r="U95" s="717">
        <v>1</v>
      </c>
      <c r="V95" s="718" t="s">
        <v>560</v>
      </c>
      <c r="W95" s="707"/>
      <c r="AE95">
        <v>88</v>
      </c>
    </row>
    <row r="96" spans="1:31" ht="15.75" thickBot="1">
      <c r="B96" s="118"/>
      <c r="C96" s="39" t="s">
        <v>373</v>
      </c>
      <c r="D96" s="36">
        <f>Poeng!T219</f>
        <v>1</v>
      </c>
      <c r="E96" s="35"/>
      <c r="F96" s="38">
        <f>Poeng!AB219</f>
        <v>1</v>
      </c>
      <c r="H96" s="113">
        <f t="shared" si="5"/>
        <v>0</v>
      </c>
      <c r="I96" s="311" t="str">
        <f t="shared" si="7"/>
        <v>FEIL</v>
      </c>
      <c r="N96" s="300" t="s">
        <v>444</v>
      </c>
      <c r="O96" t="b">
        <f t="shared" si="6"/>
        <v>0</v>
      </c>
      <c r="R96" t="s">
        <v>423</v>
      </c>
      <c r="S96" s="300"/>
      <c r="T96" s="300" t="s">
        <v>646</v>
      </c>
      <c r="U96" s="717">
        <v>2</v>
      </c>
      <c r="V96" s="718" t="s">
        <v>560</v>
      </c>
      <c r="W96" s="707"/>
      <c r="AE96">
        <v>89</v>
      </c>
    </row>
    <row r="97" spans="1:31">
      <c r="A97" s="112" t="s">
        <v>375</v>
      </c>
      <c r="B97" s="662" t="s">
        <v>375</v>
      </c>
      <c r="C97" s="660" t="s">
        <v>768</v>
      </c>
      <c r="D97" s="36">
        <f>Poeng!T220</f>
        <v>1</v>
      </c>
      <c r="E97" s="35"/>
      <c r="F97" s="38">
        <f>Poeng!AB220</f>
        <v>1</v>
      </c>
      <c r="H97" s="122">
        <f t="shared" si="5"/>
        <v>0</v>
      </c>
      <c r="I97" s="311" t="str">
        <f t="shared" si="7"/>
        <v>FEIL</v>
      </c>
      <c r="N97" t="s">
        <v>759</v>
      </c>
      <c r="O97" t="b">
        <f t="shared" si="6"/>
        <v>0</v>
      </c>
      <c r="S97" s="300" t="s">
        <v>424</v>
      </c>
      <c r="T97" s="804" t="s">
        <v>647</v>
      </c>
      <c r="U97" s="805"/>
      <c r="V97" s="806"/>
      <c r="W97" s="707"/>
      <c r="AE97">
        <v>90</v>
      </c>
    </row>
    <row r="98" spans="1:31">
      <c r="A98" t="s">
        <v>377</v>
      </c>
      <c r="B98" s="135" t="s">
        <v>729</v>
      </c>
      <c r="C98" s="732" t="s">
        <v>626</v>
      </c>
      <c r="D98" s="36">
        <f>Poeng!T221</f>
        <v>2</v>
      </c>
      <c r="E98" s="35"/>
      <c r="F98" s="38">
        <f>Poeng!AB221</f>
        <v>2</v>
      </c>
      <c r="H98" s="139">
        <f t="shared" si="5"/>
        <v>2</v>
      </c>
      <c r="I98" s="311" t="str">
        <f t="shared" si="7"/>
        <v>OK</v>
      </c>
      <c r="R98" t="s">
        <v>427</v>
      </c>
      <c r="S98" s="712"/>
      <c r="T98" s="300" t="s">
        <v>648</v>
      </c>
      <c r="U98" s="717">
        <v>1</v>
      </c>
      <c r="V98" s="718" t="s">
        <v>560</v>
      </c>
      <c r="W98" s="707"/>
      <c r="AE98">
        <v>91</v>
      </c>
    </row>
    <row r="99" spans="1:31">
      <c r="A99" t="s">
        <v>378</v>
      </c>
      <c r="B99" s="135" t="s">
        <v>730</v>
      </c>
      <c r="C99" s="732" t="s">
        <v>627</v>
      </c>
      <c r="D99" s="36">
        <f>Poeng!T222</f>
        <v>1</v>
      </c>
      <c r="E99" s="35"/>
      <c r="F99" s="38">
        <f>Poeng!AB222</f>
        <v>1</v>
      </c>
      <c r="H99" s="139">
        <f t="shared" si="5"/>
        <v>1</v>
      </c>
      <c r="I99" s="311" t="str">
        <f t="shared" si="7"/>
        <v>OK</v>
      </c>
      <c r="R99" t="s">
        <v>428</v>
      </c>
      <c r="S99" s="712"/>
      <c r="T99" s="300" t="s">
        <v>649</v>
      </c>
      <c r="U99" s="717">
        <v>1</v>
      </c>
      <c r="V99" s="718" t="s">
        <v>560</v>
      </c>
      <c r="W99" s="707"/>
      <c r="AE99">
        <v>92</v>
      </c>
    </row>
    <row r="100" spans="1:31">
      <c r="A100" s="112" t="s">
        <v>379</v>
      </c>
      <c r="B100" s="663" t="s">
        <v>379</v>
      </c>
      <c r="C100" s="661" t="s">
        <v>769</v>
      </c>
      <c r="D100" s="36">
        <f>Poeng!T223</f>
        <v>1</v>
      </c>
      <c r="E100" s="35"/>
      <c r="F100" s="38">
        <f>Poeng!AB223</f>
        <v>1</v>
      </c>
      <c r="H100" s="768">
        <f t="shared" si="5"/>
        <v>0</v>
      </c>
      <c r="I100" s="311" t="str">
        <f t="shared" si="7"/>
        <v>FEIL</v>
      </c>
      <c r="R100" t="s">
        <v>429</v>
      </c>
      <c r="S100" s="712"/>
      <c r="T100" s="300" t="s">
        <v>650</v>
      </c>
      <c r="U100" s="717">
        <v>2</v>
      </c>
      <c r="V100" s="718" t="s">
        <v>560</v>
      </c>
      <c r="W100" s="707"/>
      <c r="AE100">
        <v>93</v>
      </c>
    </row>
    <row r="101" spans="1:31">
      <c r="B101" s="135" t="s">
        <v>729</v>
      </c>
      <c r="C101" s="732" t="s">
        <v>770</v>
      </c>
      <c r="D101" s="36">
        <f>Poeng!T224</f>
        <v>1</v>
      </c>
      <c r="E101" s="35"/>
      <c r="F101" s="38">
        <f>Poeng!AB224</f>
        <v>1</v>
      </c>
      <c r="H101" s="139">
        <f t="shared" si="5"/>
        <v>0</v>
      </c>
      <c r="I101" s="311" t="str">
        <f t="shared" si="7"/>
        <v>FEIL</v>
      </c>
      <c r="S101" s="300" t="s">
        <v>431</v>
      </c>
      <c r="T101" s="804" t="s">
        <v>651</v>
      </c>
      <c r="U101" s="805"/>
      <c r="V101" s="806"/>
      <c r="W101" s="707"/>
      <c r="AE101">
        <v>94</v>
      </c>
    </row>
    <row r="102" spans="1:31">
      <c r="A102" t="s">
        <v>382</v>
      </c>
      <c r="B102" s="135" t="s">
        <v>730</v>
      </c>
      <c r="C102" s="732" t="s">
        <v>771</v>
      </c>
      <c r="D102" s="36">
        <f>Poeng!T225</f>
        <v>1</v>
      </c>
      <c r="E102" s="35"/>
      <c r="F102" s="38">
        <f>D102-E102</f>
        <v>1</v>
      </c>
      <c r="H102" s="139">
        <f t="shared" si="5"/>
        <v>10</v>
      </c>
      <c r="I102" s="311" t="str">
        <f t="shared" si="7"/>
        <v>FEIL</v>
      </c>
      <c r="R102" t="s">
        <v>433</v>
      </c>
      <c r="S102" s="712"/>
      <c r="T102" s="300" t="s">
        <v>652</v>
      </c>
      <c r="U102" s="717">
        <v>1</v>
      </c>
      <c r="V102" s="718" t="s">
        <v>560</v>
      </c>
      <c r="W102" s="707"/>
      <c r="AE102">
        <v>95</v>
      </c>
    </row>
    <row r="103" spans="1:31">
      <c r="B103" s="548" t="s">
        <v>772</v>
      </c>
      <c r="C103" s="547"/>
      <c r="D103" s="36">
        <f>Poeng!T226</f>
        <v>1</v>
      </c>
      <c r="E103" s="35"/>
      <c r="F103" s="38">
        <f t="shared" ref="F103:F106" si="8">D103-E103</f>
        <v>1</v>
      </c>
      <c r="H103" s="761">
        <f t="shared" si="5"/>
        <v>0</v>
      </c>
      <c r="I103" s="311"/>
      <c r="R103" t="s">
        <v>434</v>
      </c>
      <c r="S103" s="712"/>
      <c r="T103" s="300" t="s">
        <v>651</v>
      </c>
      <c r="U103" s="717">
        <v>1</v>
      </c>
      <c r="V103" s="718" t="s">
        <v>560</v>
      </c>
      <c r="W103" s="707"/>
      <c r="AE103">
        <v>96</v>
      </c>
    </row>
    <row r="104" spans="1:31">
      <c r="B104" s="548" t="s">
        <v>751</v>
      </c>
      <c r="C104" s="547"/>
      <c r="D104" s="36">
        <f>Poeng!T227</f>
        <v>1</v>
      </c>
      <c r="E104" s="35"/>
      <c r="F104" s="38">
        <f t="shared" si="8"/>
        <v>1</v>
      </c>
      <c r="H104" s="761">
        <f t="shared" si="5"/>
        <v>0</v>
      </c>
      <c r="I104" s="311"/>
      <c r="R104" t="s">
        <v>435</v>
      </c>
      <c r="S104" s="712"/>
      <c r="T104" s="300" t="s">
        <v>653</v>
      </c>
      <c r="U104" s="717">
        <v>1</v>
      </c>
      <c r="V104" s="718" t="s">
        <v>560</v>
      </c>
      <c r="W104" s="707"/>
      <c r="AE104">
        <v>97</v>
      </c>
    </row>
    <row r="105" spans="1:31">
      <c r="B105" s="548" t="s">
        <v>752</v>
      </c>
      <c r="C105" s="547"/>
      <c r="D105" s="36">
        <f>Poeng!T228</f>
        <v>1</v>
      </c>
      <c r="E105" s="35"/>
      <c r="F105" s="38">
        <f t="shared" si="8"/>
        <v>1</v>
      </c>
      <c r="H105" s="761">
        <f t="shared" si="5"/>
        <v>0</v>
      </c>
      <c r="I105" s="311"/>
      <c r="S105" s="300" t="s">
        <v>436</v>
      </c>
      <c r="T105" s="804" t="s">
        <v>654</v>
      </c>
      <c r="U105" s="805"/>
      <c r="V105" s="806"/>
      <c r="W105" s="707"/>
      <c r="AE105">
        <v>98</v>
      </c>
    </row>
    <row r="106" spans="1:31" ht="15.75" thickBot="1">
      <c r="B106" s="552" t="s">
        <v>753</v>
      </c>
      <c r="C106" s="553"/>
      <c r="D106" s="36">
        <f>Poeng!T229</f>
        <v>1</v>
      </c>
      <c r="E106" s="35"/>
      <c r="F106" s="38">
        <f t="shared" si="8"/>
        <v>1</v>
      </c>
      <c r="H106" s="761">
        <f t="shared" si="5"/>
        <v>0</v>
      </c>
      <c r="I106" s="311"/>
      <c r="R106" t="s">
        <v>437</v>
      </c>
      <c r="S106" s="712"/>
      <c r="T106" s="300" t="s">
        <v>655</v>
      </c>
      <c r="U106" s="717">
        <v>1</v>
      </c>
      <c r="V106" s="718" t="s">
        <v>560</v>
      </c>
      <c r="W106" s="707"/>
      <c r="AE106">
        <v>99</v>
      </c>
    </row>
    <row r="107" spans="1:31" ht="15.75" thickBot="1">
      <c r="A107" t="s">
        <v>383</v>
      </c>
      <c r="B107" s="165"/>
      <c r="C107" s="42" t="s">
        <v>725</v>
      </c>
      <c r="D107" s="42">
        <f>Poeng!T231</f>
        <v>10</v>
      </c>
      <c r="E107" s="42"/>
      <c r="F107" s="42">
        <f>IF(SUM(F94:F106)&gt;10,10,SUM(F94:F106))</f>
        <v>10</v>
      </c>
      <c r="H107" s="186">
        <f t="shared" si="5"/>
        <v>0</v>
      </c>
      <c r="I107" s="311" t="str">
        <f t="shared" si="7"/>
        <v>FEIL</v>
      </c>
      <c r="R107" t="s">
        <v>438</v>
      </c>
      <c r="S107" s="712"/>
      <c r="T107" s="300" t="s">
        <v>656</v>
      </c>
      <c r="U107" s="717">
        <v>1</v>
      </c>
      <c r="V107" s="718" t="s">
        <v>560</v>
      </c>
      <c r="W107" s="707"/>
      <c r="AE107">
        <v>100</v>
      </c>
    </row>
    <row r="108" spans="1:31" ht="15.75" thickBot="1">
      <c r="H108">
        <f t="shared" si="5"/>
        <v>0</v>
      </c>
      <c r="R108" t="s">
        <v>439</v>
      </c>
      <c r="S108" s="712"/>
      <c r="T108" s="300" t="s">
        <v>657</v>
      </c>
      <c r="U108" s="717">
        <v>1</v>
      </c>
      <c r="V108" s="718" t="s">
        <v>560</v>
      </c>
      <c r="W108" s="707"/>
      <c r="AE108">
        <v>101</v>
      </c>
    </row>
    <row r="109" spans="1:31" ht="15.75" thickBot="1">
      <c r="B109" s="118"/>
      <c r="C109" s="39" t="s">
        <v>385</v>
      </c>
      <c r="H109" s="113">
        <f t="shared" si="5"/>
        <v>0</v>
      </c>
      <c r="S109" s="298" t="s">
        <v>658</v>
      </c>
      <c r="T109" s="297"/>
      <c r="U109" s="298"/>
      <c r="V109" s="720"/>
      <c r="W109" s="707"/>
      <c r="AE109">
        <v>102</v>
      </c>
    </row>
    <row r="110" spans="1:31" ht="15" customHeight="1">
      <c r="A110" s="112" t="s">
        <v>387</v>
      </c>
      <c r="B110" s="662" t="s">
        <v>387</v>
      </c>
      <c r="C110" s="660" t="s">
        <v>388</v>
      </c>
      <c r="H110" s="766">
        <f t="shared" si="5"/>
        <v>0</v>
      </c>
      <c r="S110" s="713" t="s">
        <v>444</v>
      </c>
      <c r="T110" s="716" t="s">
        <v>659</v>
      </c>
      <c r="U110" s="715"/>
      <c r="V110" s="819"/>
      <c r="W110" s="707"/>
      <c r="AE110">
        <v>103</v>
      </c>
    </row>
    <row r="111" spans="1:31" ht="15" customHeight="1">
      <c r="A111" t="s">
        <v>389</v>
      </c>
      <c r="B111" s="135" t="s">
        <v>729</v>
      </c>
      <c r="C111" s="732" t="s">
        <v>773</v>
      </c>
      <c r="H111" s="139">
        <f t="shared" si="5"/>
        <v>5</v>
      </c>
      <c r="R111" t="s">
        <v>446</v>
      </c>
      <c r="S111" s="300"/>
      <c r="T111" s="300" t="s">
        <v>660</v>
      </c>
      <c r="U111" s="717">
        <v>1</v>
      </c>
      <c r="V111" s="718" t="s">
        <v>560</v>
      </c>
      <c r="W111" s="707"/>
      <c r="AE111">
        <v>104</v>
      </c>
    </row>
    <row r="112" spans="1:31" ht="15" customHeight="1">
      <c r="A112" s="112" t="s">
        <v>391</v>
      </c>
      <c r="B112" s="663" t="s">
        <v>391</v>
      </c>
      <c r="C112" s="661" t="s">
        <v>392</v>
      </c>
      <c r="H112" s="768">
        <f t="shared" si="5"/>
        <v>0</v>
      </c>
      <c r="R112" t="s">
        <v>448</v>
      </c>
      <c r="S112" s="300"/>
      <c r="T112" s="300" t="s">
        <v>661</v>
      </c>
      <c r="U112" s="717">
        <v>2</v>
      </c>
      <c r="V112" s="718" t="s">
        <v>560</v>
      </c>
      <c r="W112" s="707"/>
      <c r="AE112">
        <v>105</v>
      </c>
    </row>
    <row r="113" spans="1:31" ht="15" customHeight="1">
      <c r="A113" t="s">
        <v>393</v>
      </c>
      <c r="B113" s="137" t="s">
        <v>729</v>
      </c>
      <c r="C113" s="732" t="s">
        <v>774</v>
      </c>
      <c r="H113" s="139">
        <f t="shared" si="5"/>
        <v>1</v>
      </c>
      <c r="R113" t="s">
        <v>449</v>
      </c>
      <c r="S113" s="300"/>
      <c r="T113" s="300" t="s">
        <v>662</v>
      </c>
      <c r="U113" s="717">
        <v>2</v>
      </c>
      <c r="V113" s="718" t="s">
        <v>560</v>
      </c>
      <c r="W113" s="707"/>
      <c r="AE113">
        <v>106</v>
      </c>
    </row>
    <row r="114" spans="1:31" ht="15" customHeight="1">
      <c r="A114" s="112" t="s">
        <v>394</v>
      </c>
      <c r="B114" s="663" t="s">
        <v>394</v>
      </c>
      <c r="C114" s="661" t="s">
        <v>395</v>
      </c>
      <c r="H114" s="768">
        <f t="shared" si="5"/>
        <v>0</v>
      </c>
      <c r="R114" t="s">
        <v>453</v>
      </c>
      <c r="S114" s="713" t="s">
        <v>451</v>
      </c>
      <c r="T114" s="713" t="s">
        <v>663</v>
      </c>
      <c r="U114" s="717">
        <v>1</v>
      </c>
      <c r="V114" s="718" t="s">
        <v>560</v>
      </c>
      <c r="W114" s="707"/>
      <c r="AE114">
        <v>107</v>
      </c>
    </row>
    <row r="115" spans="1:31" ht="15" customHeight="1">
      <c r="A115" t="s">
        <v>400</v>
      </c>
      <c r="B115" s="135" t="s">
        <v>729</v>
      </c>
      <c r="C115" s="732" t="s">
        <v>633</v>
      </c>
      <c r="H115" s="139">
        <f t="shared" si="5"/>
        <v>0</v>
      </c>
      <c r="R115" t="s">
        <v>455</v>
      </c>
      <c r="S115" s="713" t="s">
        <v>454</v>
      </c>
      <c r="T115" s="713" t="s">
        <v>663</v>
      </c>
      <c r="U115" s="717" t="s">
        <v>586</v>
      </c>
      <c r="V115" s="718" t="s">
        <v>560</v>
      </c>
      <c r="W115" s="707"/>
      <c r="AE115">
        <v>108</v>
      </c>
    </row>
    <row r="116" spans="1:31" ht="15.75" customHeight="1">
      <c r="A116" t="s">
        <v>401</v>
      </c>
      <c r="B116" s="135" t="s">
        <v>730</v>
      </c>
      <c r="C116" s="732" t="s">
        <v>775</v>
      </c>
      <c r="H116" s="139">
        <f t="shared" si="5"/>
        <v>0</v>
      </c>
      <c r="R116" t="s">
        <v>458</v>
      </c>
      <c r="S116" s="713" t="s">
        <v>456</v>
      </c>
      <c r="T116" s="713" t="s">
        <v>664</v>
      </c>
      <c r="U116" s="717" t="s">
        <v>586</v>
      </c>
      <c r="V116" s="718" t="s">
        <v>560</v>
      </c>
      <c r="W116" s="707"/>
      <c r="AE116">
        <v>109</v>
      </c>
    </row>
    <row r="117" spans="1:31" ht="15" customHeight="1">
      <c r="A117" t="s">
        <v>402</v>
      </c>
      <c r="B117" s="137" t="s">
        <v>731</v>
      </c>
      <c r="C117" s="732" t="s">
        <v>635</v>
      </c>
      <c r="H117" s="139">
        <f t="shared" si="5"/>
        <v>0</v>
      </c>
      <c r="S117" s="297"/>
      <c r="T117" s="297"/>
      <c r="U117" s="298"/>
      <c r="V117" s="720"/>
      <c r="W117" s="707"/>
      <c r="AE117">
        <v>110</v>
      </c>
    </row>
    <row r="118" spans="1:31" ht="15" customHeight="1">
      <c r="A118" s="112" t="s">
        <v>403</v>
      </c>
      <c r="B118" s="663" t="s">
        <v>403</v>
      </c>
      <c r="C118" s="661" t="s">
        <v>404</v>
      </c>
      <c r="H118" s="768">
        <f t="shared" si="5"/>
        <v>0</v>
      </c>
      <c r="S118" s="298" t="s">
        <v>665</v>
      </c>
      <c r="T118" s="297"/>
      <c r="U118" s="298"/>
      <c r="V118" s="720"/>
      <c r="W118" s="707"/>
      <c r="AE118">
        <v>111</v>
      </c>
    </row>
    <row r="119" spans="1:31" ht="15" customHeight="1" thickBot="1">
      <c r="A119" t="s">
        <v>405</v>
      </c>
      <c r="B119" s="189" t="s">
        <v>729</v>
      </c>
      <c r="C119" s="732" t="s">
        <v>636</v>
      </c>
      <c r="H119" s="139">
        <f t="shared" si="5"/>
        <v>1</v>
      </c>
      <c r="R119" t="s">
        <v>465</v>
      </c>
      <c r="S119" s="713" t="s">
        <v>463</v>
      </c>
      <c r="T119" s="713" t="s">
        <v>666</v>
      </c>
      <c r="U119" s="717">
        <v>2</v>
      </c>
      <c r="V119" s="718" t="s">
        <v>560</v>
      </c>
      <c r="W119" s="707"/>
      <c r="AE119">
        <v>112</v>
      </c>
    </row>
    <row r="120" spans="1:31" ht="15" customHeight="1" thickBot="1">
      <c r="A120" t="s">
        <v>406</v>
      </c>
      <c r="B120" s="165"/>
      <c r="C120" s="42" t="s">
        <v>725</v>
      </c>
      <c r="H120" s="186">
        <f t="shared" si="5"/>
        <v>0</v>
      </c>
      <c r="S120" s="713" t="s">
        <v>467</v>
      </c>
      <c r="T120" s="804" t="s">
        <v>667</v>
      </c>
      <c r="U120" s="805"/>
      <c r="V120" s="806"/>
      <c r="W120" s="707"/>
      <c r="AE120">
        <v>113</v>
      </c>
    </row>
    <row r="121" spans="1:31" ht="15.75" thickBot="1">
      <c r="H121">
        <f t="shared" si="5"/>
        <v>0</v>
      </c>
      <c r="R121" t="s">
        <v>470</v>
      </c>
      <c r="S121" s="300"/>
      <c r="T121" s="300" t="s">
        <v>668</v>
      </c>
      <c r="U121" s="717">
        <v>1</v>
      </c>
      <c r="V121" s="718" t="s">
        <v>560</v>
      </c>
      <c r="W121" s="707"/>
      <c r="AE121">
        <v>114</v>
      </c>
    </row>
    <row r="122" spans="1:31" ht="15.75" thickBot="1">
      <c r="B122" s="123"/>
      <c r="C122" s="124" t="s">
        <v>408</v>
      </c>
      <c r="H122" s="113">
        <f t="shared" si="5"/>
        <v>0</v>
      </c>
      <c r="R122" t="s">
        <v>471</v>
      </c>
      <c r="S122" s="300"/>
      <c r="T122" s="300" t="s">
        <v>669</v>
      </c>
      <c r="U122" s="717">
        <v>1</v>
      </c>
      <c r="V122" s="718" t="s">
        <v>560</v>
      </c>
      <c r="W122" s="707"/>
      <c r="AE122">
        <v>115</v>
      </c>
    </row>
    <row r="123" spans="1:31">
      <c r="A123" s="112" t="s">
        <v>410</v>
      </c>
      <c r="B123" s="684" t="s">
        <v>410</v>
      </c>
      <c r="C123" s="685" t="s">
        <v>776</v>
      </c>
      <c r="H123" s="766">
        <f t="shared" si="5"/>
        <v>0</v>
      </c>
      <c r="S123" s="713" t="s">
        <v>670</v>
      </c>
      <c r="T123" s="716" t="s">
        <v>671</v>
      </c>
      <c r="U123" s="715"/>
      <c r="V123" s="819"/>
      <c r="W123" s="707"/>
      <c r="AE123">
        <v>116</v>
      </c>
    </row>
    <row r="124" spans="1:31">
      <c r="A124" s="112"/>
      <c r="B124" s="137" t="s">
        <v>729</v>
      </c>
      <c r="C124" s="754" t="s">
        <v>777</v>
      </c>
      <c r="H124" s="139">
        <f t="shared" si="5"/>
        <v>0</v>
      </c>
      <c r="R124" t="s">
        <v>474</v>
      </c>
      <c r="S124" s="300"/>
      <c r="T124" s="300" t="s">
        <v>672</v>
      </c>
      <c r="U124" s="717" t="s">
        <v>586</v>
      </c>
      <c r="V124" s="718" t="s">
        <v>560</v>
      </c>
      <c r="W124" s="707"/>
      <c r="AE124">
        <v>117</v>
      </c>
    </row>
    <row r="125" spans="1:31">
      <c r="A125" t="s">
        <v>413</v>
      </c>
      <c r="B125" s="137" t="s">
        <v>730</v>
      </c>
      <c r="C125" s="732" t="s">
        <v>639</v>
      </c>
      <c r="H125" s="139">
        <f t="shared" si="5"/>
        <v>3</v>
      </c>
      <c r="R125" t="s">
        <v>475</v>
      </c>
      <c r="S125" s="300"/>
      <c r="T125" s="300" t="s">
        <v>673</v>
      </c>
      <c r="U125" s="717" t="s">
        <v>586</v>
      </c>
      <c r="V125" s="718" t="s">
        <v>560</v>
      </c>
      <c r="W125" s="707"/>
      <c r="AE125">
        <v>118</v>
      </c>
    </row>
    <row r="126" spans="1:31">
      <c r="A126" t="s">
        <v>414</v>
      </c>
      <c r="B126" s="137" t="s">
        <v>731</v>
      </c>
      <c r="C126" s="732" t="s">
        <v>640</v>
      </c>
      <c r="H126" s="139">
        <f t="shared" si="5"/>
        <v>2</v>
      </c>
      <c r="S126" s="713" t="s">
        <v>476</v>
      </c>
      <c r="T126" s="804" t="s">
        <v>674</v>
      </c>
      <c r="U126" s="805"/>
      <c r="V126" s="806"/>
      <c r="W126" s="707"/>
      <c r="AE126">
        <v>119</v>
      </c>
    </row>
    <row r="127" spans="1:31">
      <c r="A127" s="112" t="s">
        <v>415</v>
      </c>
      <c r="B127" s="663" t="s">
        <v>415</v>
      </c>
      <c r="C127" s="661" t="s">
        <v>778</v>
      </c>
      <c r="H127" s="768">
        <f t="shared" si="5"/>
        <v>0</v>
      </c>
      <c r="R127" t="s">
        <v>479</v>
      </c>
      <c r="S127" s="300"/>
      <c r="T127" s="300" t="s">
        <v>675</v>
      </c>
      <c r="U127" s="717">
        <v>1</v>
      </c>
      <c r="V127" s="718" t="s">
        <v>560</v>
      </c>
      <c r="W127" s="707"/>
      <c r="AE127">
        <v>120</v>
      </c>
    </row>
    <row r="128" spans="1:31">
      <c r="A128" s="112"/>
      <c r="B128" s="137" t="s">
        <v>729</v>
      </c>
      <c r="C128" s="754" t="s">
        <v>779</v>
      </c>
      <c r="H128" s="139">
        <f t="shared" si="5"/>
        <v>0</v>
      </c>
      <c r="R128" t="s">
        <v>480</v>
      </c>
      <c r="S128" s="300"/>
      <c r="T128" s="300" t="s">
        <v>676</v>
      </c>
      <c r="U128" s="717">
        <v>3</v>
      </c>
      <c r="V128" s="718" t="s">
        <v>560</v>
      </c>
      <c r="W128" s="707"/>
      <c r="AE128">
        <v>121</v>
      </c>
    </row>
    <row r="129" spans="1:31">
      <c r="A129" t="s">
        <v>417</v>
      </c>
      <c r="B129" s="137" t="s">
        <v>730</v>
      </c>
      <c r="C129" s="732" t="s">
        <v>642</v>
      </c>
      <c r="H129" s="139">
        <f t="shared" si="5"/>
        <v>1</v>
      </c>
      <c r="S129" s="713" t="s">
        <v>481</v>
      </c>
      <c r="T129" s="804" t="s">
        <v>677</v>
      </c>
      <c r="U129" s="805"/>
      <c r="V129" s="806"/>
      <c r="W129" s="707"/>
      <c r="AE129">
        <v>122</v>
      </c>
    </row>
    <row r="130" spans="1:31">
      <c r="A130" t="s">
        <v>418</v>
      </c>
      <c r="B130" s="137" t="s">
        <v>731</v>
      </c>
      <c r="C130" s="732" t="s">
        <v>643</v>
      </c>
      <c r="H130" s="139">
        <f t="shared" si="5"/>
        <v>2</v>
      </c>
      <c r="R130" t="s">
        <v>484</v>
      </c>
      <c r="S130" s="300"/>
      <c r="T130" s="300" t="s">
        <v>678</v>
      </c>
      <c r="U130" s="717">
        <v>1</v>
      </c>
      <c r="V130" s="718" t="s">
        <v>560</v>
      </c>
      <c r="W130" s="707"/>
      <c r="AE130">
        <v>123</v>
      </c>
    </row>
    <row r="131" spans="1:31">
      <c r="A131" s="112" t="s">
        <v>419</v>
      </c>
      <c r="B131" s="663" t="s">
        <v>419</v>
      </c>
      <c r="C131" s="661" t="s">
        <v>780</v>
      </c>
      <c r="H131" s="768">
        <f t="shared" si="5"/>
        <v>0</v>
      </c>
      <c r="R131" t="s">
        <v>485</v>
      </c>
      <c r="S131" s="300"/>
      <c r="T131" s="300" t="s">
        <v>679</v>
      </c>
      <c r="U131" s="717">
        <v>1</v>
      </c>
      <c r="V131" s="718" t="s">
        <v>560</v>
      </c>
      <c r="W131" s="707"/>
      <c r="AE131">
        <v>124</v>
      </c>
    </row>
    <row r="132" spans="1:31">
      <c r="B132" s="137" t="s">
        <v>729</v>
      </c>
      <c r="C132" s="754" t="s">
        <v>781</v>
      </c>
      <c r="H132" s="139">
        <f t="shared" si="5"/>
        <v>0</v>
      </c>
      <c r="R132" t="s">
        <v>488</v>
      </c>
      <c r="S132" s="713" t="s">
        <v>486</v>
      </c>
      <c r="T132" s="713" t="s">
        <v>680</v>
      </c>
      <c r="U132" s="717">
        <v>1</v>
      </c>
      <c r="V132" s="718" t="s">
        <v>560</v>
      </c>
      <c r="W132" s="707"/>
      <c r="AE132">
        <v>125</v>
      </c>
    </row>
    <row r="133" spans="1:31">
      <c r="A133" t="s">
        <v>422</v>
      </c>
      <c r="B133" s="137" t="s">
        <v>730</v>
      </c>
      <c r="C133" s="732" t="s">
        <v>645</v>
      </c>
      <c r="H133" s="139">
        <f t="shared" si="5"/>
        <v>1</v>
      </c>
      <c r="R133" t="s">
        <v>491</v>
      </c>
      <c r="S133" s="715" t="s">
        <v>681</v>
      </c>
      <c r="T133" s="715" t="s">
        <v>682</v>
      </c>
      <c r="U133" s="717">
        <v>2</v>
      </c>
      <c r="V133" s="718" t="s">
        <v>560</v>
      </c>
      <c r="W133" s="707"/>
      <c r="AE133">
        <v>126</v>
      </c>
    </row>
    <row r="134" spans="1:31">
      <c r="A134" t="s">
        <v>423</v>
      </c>
      <c r="B134" s="137" t="s">
        <v>731</v>
      </c>
      <c r="C134" s="732" t="s">
        <v>646</v>
      </c>
      <c r="H134" s="139">
        <f t="shared" si="5"/>
        <v>2</v>
      </c>
      <c r="S134" s="715" t="s">
        <v>683</v>
      </c>
      <c r="T134" s="715" t="s">
        <v>684</v>
      </c>
      <c r="U134" s="715"/>
      <c r="V134" s="819"/>
      <c r="W134" s="707"/>
      <c r="AE134">
        <v>127</v>
      </c>
    </row>
    <row r="135" spans="1:31">
      <c r="A135" s="112" t="s">
        <v>424</v>
      </c>
      <c r="B135" s="663" t="s">
        <v>424</v>
      </c>
      <c r="C135" s="661" t="s">
        <v>782</v>
      </c>
      <c r="H135" s="768">
        <f t="shared" si="5"/>
        <v>0</v>
      </c>
      <c r="R135" t="s">
        <v>494</v>
      </c>
      <c r="S135" s="712"/>
      <c r="T135" s="300" t="s">
        <v>685</v>
      </c>
      <c r="U135" s="717">
        <v>1</v>
      </c>
      <c r="V135" s="718" t="s">
        <v>560</v>
      </c>
      <c r="W135" s="707"/>
      <c r="AE135">
        <v>128</v>
      </c>
    </row>
    <row r="136" spans="1:31">
      <c r="B136" s="137" t="s">
        <v>729</v>
      </c>
      <c r="C136" s="754" t="s">
        <v>783</v>
      </c>
      <c r="H136" s="139">
        <f t="shared" ref="H136:H198" si="9">SUMIF($R$7:$R$182,A136,$U$7:$U$182)</f>
        <v>0</v>
      </c>
      <c r="R136" t="s">
        <v>495</v>
      </c>
      <c r="S136" s="712"/>
      <c r="T136" s="300" t="s">
        <v>686</v>
      </c>
      <c r="U136" s="717">
        <v>1</v>
      </c>
      <c r="V136" s="718" t="s">
        <v>560</v>
      </c>
      <c r="W136" s="707"/>
      <c r="AE136">
        <v>129</v>
      </c>
    </row>
    <row r="137" spans="1:31">
      <c r="A137" t="s">
        <v>427</v>
      </c>
      <c r="B137" s="137" t="s">
        <v>730</v>
      </c>
      <c r="C137" s="732" t="s">
        <v>648</v>
      </c>
      <c r="H137" s="139">
        <f t="shared" si="9"/>
        <v>1</v>
      </c>
      <c r="S137" s="712"/>
      <c r="T137" s="712"/>
      <c r="U137" s="731"/>
      <c r="V137" s="720"/>
      <c r="W137" s="707"/>
      <c r="AE137">
        <v>130</v>
      </c>
    </row>
    <row r="138" spans="1:31">
      <c r="A138" t="s">
        <v>428</v>
      </c>
      <c r="B138" s="137" t="s">
        <v>731</v>
      </c>
      <c r="C138" s="732" t="s">
        <v>649</v>
      </c>
      <c r="H138" s="139">
        <f t="shared" si="9"/>
        <v>1</v>
      </c>
      <c r="S138" s="298" t="s">
        <v>687</v>
      </c>
      <c r="T138" s="297"/>
      <c r="U138" s="298"/>
      <c r="V138" s="720"/>
      <c r="W138" s="707"/>
      <c r="AE138">
        <v>131</v>
      </c>
    </row>
    <row r="139" spans="1:31">
      <c r="A139" t="s">
        <v>429</v>
      </c>
      <c r="B139" s="137" t="s">
        <v>732</v>
      </c>
      <c r="C139" s="791" t="s">
        <v>784</v>
      </c>
      <c r="H139" s="812">
        <f>IF(SUMIF($R$7:$R$182,A139,$U$7:$U$182)=2,1,SUMIF($R$7:$R$182,A139,$U$7:$U$182))</f>
        <v>1</v>
      </c>
      <c r="I139" t="s">
        <v>785</v>
      </c>
      <c r="R139" t="s">
        <v>504</v>
      </c>
      <c r="S139" s="713" t="s">
        <v>688</v>
      </c>
      <c r="T139" s="713" t="s">
        <v>689</v>
      </c>
      <c r="U139" s="717">
        <v>3</v>
      </c>
      <c r="V139" s="718" t="s">
        <v>560</v>
      </c>
      <c r="W139" s="707"/>
      <c r="AE139">
        <v>132</v>
      </c>
    </row>
    <row r="140" spans="1:31">
      <c r="A140" t="s">
        <v>430</v>
      </c>
      <c r="B140" s="137" t="s">
        <v>733</v>
      </c>
      <c r="C140" s="791" t="s">
        <v>786</v>
      </c>
      <c r="H140" s="812">
        <f>IF(SUMIF($R$7:$R$182,A139,$U$7:$U$182)=2,1,0)</f>
        <v>1</v>
      </c>
      <c r="I140" t="s">
        <v>785</v>
      </c>
      <c r="R140" t="s">
        <v>510</v>
      </c>
      <c r="S140" s="713" t="s">
        <v>690</v>
      </c>
      <c r="T140" s="713" t="s">
        <v>691</v>
      </c>
      <c r="U140" s="717">
        <v>2</v>
      </c>
      <c r="V140" s="718" t="s">
        <v>560</v>
      </c>
      <c r="W140" s="707"/>
      <c r="AE140">
        <v>133</v>
      </c>
    </row>
    <row r="141" spans="1:31">
      <c r="A141" s="112" t="s">
        <v>431</v>
      </c>
      <c r="B141" s="663" t="s">
        <v>431</v>
      </c>
      <c r="C141" s="661" t="s">
        <v>787</v>
      </c>
      <c r="H141" s="768">
        <f t="shared" si="9"/>
        <v>0</v>
      </c>
      <c r="R141" t="s">
        <v>514</v>
      </c>
      <c r="S141" s="713" t="s">
        <v>692</v>
      </c>
      <c r="T141" s="713" t="s">
        <v>693</v>
      </c>
      <c r="U141" s="717">
        <v>1</v>
      </c>
      <c r="V141" s="718" t="s">
        <v>560</v>
      </c>
      <c r="W141" s="707"/>
      <c r="AE141">
        <v>134</v>
      </c>
    </row>
    <row r="142" spans="1:31">
      <c r="A142" t="s">
        <v>433</v>
      </c>
      <c r="B142" s="137" t="s">
        <v>729</v>
      </c>
      <c r="C142" s="732" t="s">
        <v>652</v>
      </c>
      <c r="H142" s="139">
        <f t="shared" si="9"/>
        <v>1</v>
      </c>
      <c r="R142" t="s">
        <v>518</v>
      </c>
      <c r="S142" s="713" t="s">
        <v>694</v>
      </c>
      <c r="T142" s="713" t="s">
        <v>695</v>
      </c>
      <c r="U142" s="717">
        <v>1</v>
      </c>
      <c r="V142" s="718" t="s">
        <v>560</v>
      </c>
      <c r="W142" s="707"/>
      <c r="AE142">
        <v>135</v>
      </c>
    </row>
    <row r="143" spans="1:31">
      <c r="A143" t="s">
        <v>434</v>
      </c>
      <c r="B143" s="137" t="s">
        <v>730</v>
      </c>
      <c r="C143" s="732" t="s">
        <v>651</v>
      </c>
      <c r="H143" s="139">
        <f t="shared" si="9"/>
        <v>1</v>
      </c>
      <c r="S143" s="297"/>
      <c r="T143" s="297"/>
      <c r="U143" s="298"/>
      <c r="V143" s="720"/>
      <c r="W143" s="707"/>
      <c r="AE143">
        <v>136</v>
      </c>
    </row>
    <row r="144" spans="1:31">
      <c r="A144" t="s">
        <v>435</v>
      </c>
      <c r="B144" s="137" t="s">
        <v>731</v>
      </c>
      <c r="C144" s="732" t="s">
        <v>653</v>
      </c>
      <c r="H144" s="139">
        <f t="shared" si="9"/>
        <v>1</v>
      </c>
      <c r="S144" s="298" t="s">
        <v>696</v>
      </c>
      <c r="T144" s="297"/>
      <c r="U144" s="298"/>
      <c r="V144" s="720"/>
      <c r="W144" s="707"/>
      <c r="AE144">
        <v>137</v>
      </c>
    </row>
    <row r="145" spans="1:31">
      <c r="A145" s="112" t="s">
        <v>436</v>
      </c>
      <c r="B145" s="663" t="s">
        <v>436</v>
      </c>
      <c r="C145" s="661" t="s">
        <v>788</v>
      </c>
      <c r="H145" s="768">
        <f t="shared" si="9"/>
        <v>0</v>
      </c>
      <c r="R145" t="s">
        <v>524</v>
      </c>
      <c r="S145" s="300" t="s">
        <v>697</v>
      </c>
      <c r="T145" s="300" t="s">
        <v>698</v>
      </c>
      <c r="U145" s="717">
        <v>1</v>
      </c>
      <c r="V145" s="718" t="s">
        <v>560</v>
      </c>
      <c r="W145" s="707"/>
      <c r="AE145">
        <v>138</v>
      </c>
    </row>
    <row r="146" spans="1:31">
      <c r="A146" t="s">
        <v>437</v>
      </c>
      <c r="B146" s="137" t="s">
        <v>729</v>
      </c>
      <c r="C146" s="732" t="s">
        <v>655</v>
      </c>
      <c r="H146" s="139">
        <f t="shared" si="9"/>
        <v>1</v>
      </c>
      <c r="R146" t="s">
        <v>526</v>
      </c>
      <c r="S146" s="300" t="s">
        <v>699</v>
      </c>
      <c r="T146" s="300" t="s">
        <v>700</v>
      </c>
      <c r="U146" s="717"/>
      <c r="V146" s="718" t="s">
        <v>560</v>
      </c>
      <c r="W146" s="707"/>
      <c r="AE146">
        <v>139</v>
      </c>
    </row>
    <row r="147" spans="1:31">
      <c r="A147" t="s">
        <v>438</v>
      </c>
      <c r="B147" s="137" t="s">
        <v>730</v>
      </c>
      <c r="C147" s="732" t="s">
        <v>656</v>
      </c>
      <c r="H147" s="139">
        <f t="shared" si="9"/>
        <v>1</v>
      </c>
      <c r="R147" t="s">
        <v>528</v>
      </c>
      <c r="S147" s="300" t="s">
        <v>699</v>
      </c>
      <c r="T147" s="300" t="s">
        <v>701</v>
      </c>
      <c r="U147" s="717">
        <v>1</v>
      </c>
      <c r="V147" s="718" t="s">
        <v>560</v>
      </c>
      <c r="W147" s="707"/>
      <c r="AE147">
        <v>140</v>
      </c>
    </row>
    <row r="148" spans="1:31" ht="15.75" thickBot="1">
      <c r="A148" t="s">
        <v>439</v>
      </c>
      <c r="B148" s="159" t="s">
        <v>731</v>
      </c>
      <c r="C148" s="757" t="s">
        <v>789</v>
      </c>
      <c r="H148" s="139">
        <f t="shared" si="9"/>
        <v>1</v>
      </c>
      <c r="R148" t="s">
        <v>530</v>
      </c>
      <c r="S148" s="300" t="s">
        <v>702</v>
      </c>
      <c r="T148" s="300" t="s">
        <v>703</v>
      </c>
      <c r="U148" s="717">
        <v>1</v>
      </c>
      <c r="V148" s="718" t="s">
        <v>560</v>
      </c>
      <c r="W148" s="707"/>
      <c r="AE148">
        <v>141</v>
      </c>
    </row>
    <row r="149" spans="1:31" ht="15.75" thickBot="1">
      <c r="A149" t="s">
        <v>440</v>
      </c>
      <c r="B149" s="556"/>
      <c r="C149" s="555" t="s">
        <v>725</v>
      </c>
      <c r="H149" s="186">
        <f t="shared" si="9"/>
        <v>0</v>
      </c>
      <c r="R149" t="s">
        <v>532</v>
      </c>
      <c r="S149" s="300" t="s">
        <v>704</v>
      </c>
      <c r="T149" s="300" t="s">
        <v>705</v>
      </c>
      <c r="U149" s="717">
        <v>4</v>
      </c>
      <c r="V149" s="718" t="s">
        <v>560</v>
      </c>
      <c r="W149" s="707"/>
      <c r="AE149">
        <v>142</v>
      </c>
    </row>
    <row r="150" spans="1:31" ht="15.75" thickBot="1">
      <c r="H150">
        <f t="shared" si="9"/>
        <v>0</v>
      </c>
      <c r="R150" t="s">
        <v>534</v>
      </c>
      <c r="S150" s="300" t="s">
        <v>704</v>
      </c>
      <c r="T150" s="300" t="s">
        <v>706</v>
      </c>
      <c r="U150" s="717">
        <v>1</v>
      </c>
      <c r="V150" s="718" t="s">
        <v>560</v>
      </c>
      <c r="W150" s="707"/>
      <c r="AE150">
        <v>143</v>
      </c>
    </row>
    <row r="151" spans="1:31" ht="15.75" thickBot="1">
      <c r="B151" s="118"/>
      <c r="C151" s="39" t="s">
        <v>442</v>
      </c>
      <c r="H151" s="113">
        <f t="shared" si="9"/>
        <v>0</v>
      </c>
      <c r="R151" t="s">
        <v>536</v>
      </c>
      <c r="S151" s="300" t="s">
        <v>707</v>
      </c>
      <c r="T151" s="300" t="s">
        <v>708</v>
      </c>
      <c r="U151" s="717">
        <v>1</v>
      </c>
      <c r="V151" s="718" t="s">
        <v>560</v>
      </c>
      <c r="W151" s="707"/>
      <c r="AE151">
        <v>144</v>
      </c>
    </row>
    <row r="152" spans="1:31">
      <c r="A152" s="112" t="s">
        <v>444</v>
      </c>
      <c r="B152" s="662" t="s">
        <v>444</v>
      </c>
      <c r="C152" s="660" t="s">
        <v>445</v>
      </c>
      <c r="H152" s="766">
        <f t="shared" si="9"/>
        <v>0</v>
      </c>
      <c r="R152" t="s">
        <v>538</v>
      </c>
      <c r="S152" s="300" t="s">
        <v>191</v>
      </c>
      <c r="T152" s="300" t="s">
        <v>709</v>
      </c>
      <c r="U152" s="717">
        <v>1</v>
      </c>
      <c r="V152" s="718" t="s">
        <v>560</v>
      </c>
      <c r="W152" s="707"/>
      <c r="AE152">
        <v>145</v>
      </c>
    </row>
    <row r="153" spans="1:31">
      <c r="A153" t="s">
        <v>446</v>
      </c>
      <c r="B153" s="135" t="s">
        <v>729</v>
      </c>
      <c r="C153" s="732" t="s">
        <v>660</v>
      </c>
      <c r="H153" s="139">
        <f t="shared" si="9"/>
        <v>1</v>
      </c>
      <c r="R153" t="s">
        <v>540</v>
      </c>
      <c r="S153" s="300" t="s">
        <v>192</v>
      </c>
      <c r="T153" s="300" t="s">
        <v>710</v>
      </c>
      <c r="U153" s="717">
        <v>1</v>
      </c>
      <c r="V153" s="718" t="s">
        <v>560</v>
      </c>
      <c r="W153" s="707"/>
      <c r="AE153">
        <v>146</v>
      </c>
    </row>
    <row r="154" spans="1:31">
      <c r="A154" t="s">
        <v>448</v>
      </c>
      <c r="B154" s="135" t="s">
        <v>730</v>
      </c>
      <c r="C154" s="732" t="s">
        <v>661</v>
      </c>
      <c r="H154" s="139">
        <f t="shared" si="9"/>
        <v>2</v>
      </c>
      <c r="R154" t="s">
        <v>542</v>
      </c>
      <c r="S154" s="297" t="s">
        <v>194</v>
      </c>
      <c r="T154" s="300" t="s">
        <v>711</v>
      </c>
      <c r="U154" s="717">
        <v>1</v>
      </c>
      <c r="V154" s="718" t="s">
        <v>560</v>
      </c>
      <c r="W154" s="707"/>
      <c r="AE154">
        <v>147</v>
      </c>
    </row>
    <row r="155" spans="1:31">
      <c r="A155" t="s">
        <v>449</v>
      </c>
      <c r="B155" s="135" t="s">
        <v>731</v>
      </c>
      <c r="C155" s="732" t="s">
        <v>662</v>
      </c>
      <c r="H155" s="139">
        <f t="shared" si="9"/>
        <v>2</v>
      </c>
      <c r="R155" t="s">
        <v>543</v>
      </c>
      <c r="S155" s="297" t="s">
        <v>712</v>
      </c>
      <c r="T155" s="300" t="s">
        <v>713</v>
      </c>
      <c r="U155" s="717">
        <v>1</v>
      </c>
      <c r="V155" s="718" t="s">
        <v>560</v>
      </c>
      <c r="W155" s="707"/>
      <c r="AE155">
        <v>148</v>
      </c>
    </row>
    <row r="156" spans="1:31">
      <c r="B156" s="548" t="s">
        <v>759</v>
      </c>
      <c r="C156" s="549"/>
      <c r="H156" s="761">
        <f t="shared" si="9"/>
        <v>0</v>
      </c>
      <c r="R156" t="s">
        <v>544</v>
      </c>
      <c r="S156" s="297" t="s">
        <v>714</v>
      </c>
      <c r="T156" s="300" t="s">
        <v>715</v>
      </c>
      <c r="U156" s="717">
        <v>1</v>
      </c>
      <c r="V156" s="718" t="s">
        <v>560</v>
      </c>
      <c r="W156" s="707"/>
      <c r="AE156">
        <v>149</v>
      </c>
    </row>
    <row r="157" spans="1:31">
      <c r="A157" s="112" t="s">
        <v>451</v>
      </c>
      <c r="B157" s="663" t="s">
        <v>451</v>
      </c>
      <c r="C157" s="661" t="s">
        <v>790</v>
      </c>
      <c r="H157" s="139">
        <f t="shared" si="9"/>
        <v>0</v>
      </c>
      <c r="R157" t="s">
        <v>545</v>
      </c>
      <c r="S157" s="297" t="s">
        <v>716</v>
      </c>
      <c r="T157" s="300" t="s">
        <v>717</v>
      </c>
      <c r="U157" s="717">
        <v>1</v>
      </c>
      <c r="V157" s="718" t="s">
        <v>560</v>
      </c>
      <c r="W157" s="707"/>
      <c r="AE157">
        <v>150</v>
      </c>
    </row>
    <row r="158" spans="1:31">
      <c r="A158" t="s">
        <v>453</v>
      </c>
      <c r="B158" s="137" t="s">
        <v>729</v>
      </c>
      <c r="C158" s="732" t="s">
        <v>663</v>
      </c>
      <c r="H158" s="139">
        <f>SUMIF($R$7:$R$182,A158,$U$7:$U$182)</f>
        <v>1</v>
      </c>
      <c r="R158" t="s">
        <v>546</v>
      </c>
      <c r="S158" s="297" t="s">
        <v>683</v>
      </c>
      <c r="T158" s="300" t="s">
        <v>718</v>
      </c>
      <c r="U158" s="717">
        <v>1</v>
      </c>
      <c r="V158" s="718" t="s">
        <v>560</v>
      </c>
      <c r="W158" s="707"/>
      <c r="AE158">
        <v>151</v>
      </c>
    </row>
    <row r="159" spans="1:31">
      <c r="A159" s="112" t="s">
        <v>454</v>
      </c>
      <c r="B159" s="663" t="s">
        <v>454</v>
      </c>
      <c r="C159" s="661" t="s">
        <v>791</v>
      </c>
      <c r="H159" s="768">
        <f t="shared" si="9"/>
        <v>0</v>
      </c>
      <c r="V159" s="720"/>
      <c r="W159" s="707"/>
      <c r="Z159">
        <v>2</v>
      </c>
      <c r="AE159">
        <v>152</v>
      </c>
    </row>
    <row r="160" spans="1:31">
      <c r="A160" t="s">
        <v>455</v>
      </c>
      <c r="B160" s="137" t="s">
        <v>729</v>
      </c>
      <c r="C160" s="732" t="s">
        <v>792</v>
      </c>
      <c r="H160" s="139">
        <f t="shared" si="9"/>
        <v>0</v>
      </c>
      <c r="V160" s="720"/>
      <c r="W160" s="707"/>
      <c r="AE160">
        <v>153</v>
      </c>
    </row>
    <row r="161" spans="1:31">
      <c r="A161" s="112" t="s">
        <v>456</v>
      </c>
      <c r="B161" s="663" t="s">
        <v>456</v>
      </c>
      <c r="C161" s="661" t="s">
        <v>793</v>
      </c>
      <c r="H161" s="768">
        <f t="shared" si="9"/>
        <v>0</v>
      </c>
      <c r="V161" s="720"/>
      <c r="W161" s="707"/>
      <c r="AE161">
        <v>154</v>
      </c>
    </row>
    <row r="162" spans="1:31" ht="15.75" thickBot="1">
      <c r="A162" t="s">
        <v>458</v>
      </c>
      <c r="B162" s="189" t="s">
        <v>729</v>
      </c>
      <c r="C162" s="732" t="s">
        <v>794</v>
      </c>
      <c r="H162" s="139">
        <f t="shared" si="9"/>
        <v>0</v>
      </c>
      <c r="V162" s="720"/>
      <c r="W162" s="707"/>
      <c r="AE162">
        <v>155</v>
      </c>
    </row>
    <row r="163" spans="1:31" ht="15.75" thickBot="1">
      <c r="A163" t="s">
        <v>459</v>
      </c>
      <c r="B163" s="165"/>
      <c r="C163" s="42" t="s">
        <v>725</v>
      </c>
      <c r="H163" s="186">
        <f t="shared" si="9"/>
        <v>0</v>
      </c>
      <c r="V163" s="720"/>
      <c r="W163" s="707"/>
      <c r="AE163">
        <v>156</v>
      </c>
    </row>
    <row r="164" spans="1:31" ht="15.75" thickBot="1">
      <c r="H164">
        <f t="shared" si="9"/>
        <v>0</v>
      </c>
      <c r="V164" s="720"/>
      <c r="W164" s="707"/>
      <c r="AE164">
        <v>157</v>
      </c>
    </row>
    <row r="165" spans="1:31" ht="15.75" thickBot="1">
      <c r="B165" s="123"/>
      <c r="C165" s="124" t="s">
        <v>795</v>
      </c>
      <c r="H165" s="113">
        <f t="shared" si="9"/>
        <v>0</v>
      </c>
      <c r="V165" s="720"/>
      <c r="W165" s="707"/>
    </row>
    <row r="166" spans="1:31">
      <c r="A166" s="112" t="s">
        <v>463</v>
      </c>
      <c r="B166" s="684" t="s">
        <v>463</v>
      </c>
      <c r="C166" s="685" t="s">
        <v>464</v>
      </c>
      <c r="H166" s="766">
        <f t="shared" si="9"/>
        <v>0</v>
      </c>
      <c r="V166" s="720"/>
      <c r="W166" s="707"/>
    </row>
    <row r="167" spans="1:31">
      <c r="A167" t="s">
        <v>465</v>
      </c>
      <c r="B167" s="137" t="s">
        <v>729</v>
      </c>
      <c r="C167" s="732" t="s">
        <v>796</v>
      </c>
      <c r="H167" s="139">
        <f t="shared" si="9"/>
        <v>2</v>
      </c>
      <c r="V167" s="720"/>
      <c r="W167" s="707"/>
    </row>
    <row r="168" spans="1:31">
      <c r="A168" s="112" t="s">
        <v>467</v>
      </c>
      <c r="B168" s="663" t="s">
        <v>467</v>
      </c>
      <c r="C168" s="661" t="s">
        <v>797</v>
      </c>
      <c r="H168" s="768">
        <f t="shared" si="9"/>
        <v>0</v>
      </c>
      <c r="V168" s="720"/>
      <c r="W168" s="707"/>
    </row>
    <row r="169" spans="1:31">
      <c r="B169" s="137" t="s">
        <v>729</v>
      </c>
      <c r="C169" s="754" t="s">
        <v>798</v>
      </c>
      <c r="H169" s="139">
        <f t="shared" si="9"/>
        <v>0</v>
      </c>
      <c r="V169" s="720"/>
      <c r="W169" s="707"/>
    </row>
    <row r="170" spans="1:31">
      <c r="A170" t="s">
        <v>470</v>
      </c>
      <c r="B170" s="137" t="s">
        <v>730</v>
      </c>
      <c r="C170" s="732" t="s">
        <v>668</v>
      </c>
      <c r="H170" s="139">
        <f t="shared" si="9"/>
        <v>1</v>
      </c>
      <c r="V170" s="720"/>
      <c r="W170" s="707"/>
    </row>
    <row r="171" spans="1:31">
      <c r="A171" t="s">
        <v>471</v>
      </c>
      <c r="B171" s="137" t="s">
        <v>731</v>
      </c>
      <c r="C171" s="732" t="s">
        <v>669</v>
      </c>
      <c r="H171" s="139">
        <f t="shared" si="9"/>
        <v>1</v>
      </c>
      <c r="V171" s="720"/>
      <c r="W171" s="707"/>
    </row>
    <row r="172" spans="1:31">
      <c r="A172" s="112" t="s">
        <v>472</v>
      </c>
      <c r="B172" s="663" t="s">
        <v>472</v>
      </c>
      <c r="C172" s="661" t="s">
        <v>799</v>
      </c>
      <c r="H172" s="768">
        <f t="shared" si="9"/>
        <v>0</v>
      </c>
      <c r="V172" s="720"/>
      <c r="W172" s="707"/>
    </row>
    <row r="173" spans="1:31">
      <c r="B173" s="137" t="s">
        <v>729</v>
      </c>
      <c r="C173" s="754" t="s">
        <v>800</v>
      </c>
      <c r="H173" s="139">
        <f t="shared" si="9"/>
        <v>0</v>
      </c>
      <c r="V173" s="720"/>
      <c r="W173" s="707"/>
    </row>
    <row r="174" spans="1:31">
      <c r="A174" t="s">
        <v>474</v>
      </c>
      <c r="B174" s="137" t="s">
        <v>730</v>
      </c>
      <c r="C174" s="732" t="s">
        <v>672</v>
      </c>
      <c r="H174" s="139">
        <f t="shared" si="9"/>
        <v>0</v>
      </c>
      <c r="W174" s="707"/>
    </row>
    <row r="175" spans="1:31">
      <c r="A175" t="s">
        <v>475</v>
      </c>
      <c r="B175" s="137" t="s">
        <v>731</v>
      </c>
      <c r="C175" s="732" t="s">
        <v>673</v>
      </c>
      <c r="H175" s="139">
        <f t="shared" si="9"/>
        <v>0</v>
      </c>
      <c r="W175" s="707"/>
    </row>
    <row r="176" spans="1:31">
      <c r="A176" s="112" t="s">
        <v>476</v>
      </c>
      <c r="B176" s="663" t="s">
        <v>476</v>
      </c>
      <c r="C176" s="661" t="s">
        <v>801</v>
      </c>
      <c r="H176" s="768">
        <f t="shared" si="9"/>
        <v>0</v>
      </c>
      <c r="W176" s="707"/>
    </row>
    <row r="177" spans="1:23">
      <c r="B177" s="137" t="s">
        <v>729</v>
      </c>
      <c r="C177" s="754" t="s">
        <v>802</v>
      </c>
      <c r="H177" s="139">
        <f t="shared" si="9"/>
        <v>0</v>
      </c>
      <c r="W177" s="707"/>
    </row>
    <row r="178" spans="1:23">
      <c r="A178" t="s">
        <v>479</v>
      </c>
      <c r="B178" s="137" t="s">
        <v>730</v>
      </c>
      <c r="C178" s="732" t="s">
        <v>675</v>
      </c>
      <c r="H178" s="139">
        <f t="shared" si="9"/>
        <v>1</v>
      </c>
      <c r="W178" s="707"/>
    </row>
    <row r="179" spans="1:23">
      <c r="A179" t="s">
        <v>480</v>
      </c>
      <c r="B179" s="137" t="s">
        <v>731</v>
      </c>
      <c r="C179" s="732" t="s">
        <v>676</v>
      </c>
      <c r="H179" s="139">
        <f t="shared" si="9"/>
        <v>3</v>
      </c>
      <c r="W179" s="707"/>
    </row>
    <row r="180" spans="1:23">
      <c r="A180" s="112" t="s">
        <v>481</v>
      </c>
      <c r="B180" s="663" t="s">
        <v>481</v>
      </c>
      <c r="C180" s="661" t="s">
        <v>803</v>
      </c>
      <c r="H180" s="768">
        <f t="shared" si="9"/>
        <v>0</v>
      </c>
      <c r="W180" s="707"/>
    </row>
    <row r="181" spans="1:23">
      <c r="B181" s="137" t="s">
        <v>729</v>
      </c>
      <c r="C181" s="754" t="s">
        <v>804</v>
      </c>
      <c r="H181" s="139">
        <f t="shared" si="9"/>
        <v>0</v>
      </c>
      <c r="W181" s="707"/>
    </row>
    <row r="182" spans="1:23">
      <c r="A182" t="s">
        <v>484</v>
      </c>
      <c r="B182" s="137" t="s">
        <v>730</v>
      </c>
      <c r="C182" s="732" t="s">
        <v>678</v>
      </c>
      <c r="H182" s="139">
        <f t="shared" si="9"/>
        <v>1</v>
      </c>
      <c r="W182" s="707"/>
    </row>
    <row r="183" spans="1:23">
      <c r="A183" t="s">
        <v>485</v>
      </c>
      <c r="B183" s="137" t="s">
        <v>731</v>
      </c>
      <c r="C183" s="732" t="s">
        <v>679</v>
      </c>
      <c r="H183" s="139">
        <f t="shared" si="9"/>
        <v>1</v>
      </c>
      <c r="W183" s="707"/>
    </row>
    <row r="184" spans="1:23">
      <c r="A184" s="112" t="s">
        <v>486</v>
      </c>
      <c r="B184" s="663" t="s">
        <v>486</v>
      </c>
      <c r="C184" s="661" t="s">
        <v>805</v>
      </c>
      <c r="H184" s="768">
        <f t="shared" si="9"/>
        <v>0</v>
      </c>
      <c r="W184" s="707"/>
    </row>
    <row r="185" spans="1:23">
      <c r="A185" t="s">
        <v>488</v>
      </c>
      <c r="B185" s="137" t="s">
        <v>729</v>
      </c>
      <c r="C185" s="732" t="s">
        <v>806</v>
      </c>
      <c r="H185" s="139">
        <f t="shared" si="9"/>
        <v>1</v>
      </c>
      <c r="W185" s="707"/>
    </row>
    <row r="186" spans="1:23">
      <c r="A186" s="112" t="s">
        <v>489</v>
      </c>
      <c r="B186" s="663" t="s">
        <v>489</v>
      </c>
      <c r="C186" s="661" t="s">
        <v>807</v>
      </c>
      <c r="H186" s="768">
        <f t="shared" si="9"/>
        <v>0</v>
      </c>
      <c r="W186" s="707"/>
    </row>
    <row r="187" spans="1:23">
      <c r="B187" s="137" t="s">
        <v>729</v>
      </c>
      <c r="C187" s="754" t="s">
        <v>808</v>
      </c>
      <c r="H187" s="139">
        <f t="shared" si="9"/>
        <v>0</v>
      </c>
      <c r="W187" s="707"/>
    </row>
    <row r="188" spans="1:23">
      <c r="A188" t="s">
        <v>491</v>
      </c>
      <c r="B188" s="137" t="s">
        <v>730</v>
      </c>
      <c r="C188" s="732" t="s">
        <v>809</v>
      </c>
      <c r="H188" s="139">
        <f t="shared" si="9"/>
        <v>2</v>
      </c>
      <c r="W188" s="707"/>
    </row>
    <row r="189" spans="1:23">
      <c r="A189" s="112" t="s">
        <v>492</v>
      </c>
      <c r="B189" s="663" t="s">
        <v>492</v>
      </c>
      <c r="C189" s="661" t="s">
        <v>810</v>
      </c>
      <c r="H189" s="768">
        <f t="shared" si="9"/>
        <v>0</v>
      </c>
      <c r="W189" s="707"/>
    </row>
    <row r="190" spans="1:23">
      <c r="B190" s="137" t="s">
        <v>729</v>
      </c>
      <c r="C190" s="754" t="s">
        <v>811</v>
      </c>
      <c r="H190" s="139">
        <f t="shared" si="9"/>
        <v>0</v>
      </c>
      <c r="W190" s="707"/>
    </row>
    <row r="191" spans="1:23">
      <c r="A191" t="s">
        <v>494</v>
      </c>
      <c r="B191" s="137" t="s">
        <v>730</v>
      </c>
      <c r="C191" s="732" t="s">
        <v>812</v>
      </c>
      <c r="H191" s="139">
        <f t="shared" si="9"/>
        <v>1</v>
      </c>
      <c r="W191" s="707"/>
    </row>
    <row r="192" spans="1:23">
      <c r="A192" t="s">
        <v>495</v>
      </c>
      <c r="B192" s="158" t="s">
        <v>731</v>
      </c>
      <c r="C192" s="732" t="s">
        <v>685</v>
      </c>
      <c r="H192" s="139">
        <f t="shared" si="9"/>
        <v>1</v>
      </c>
      <c r="W192" s="707"/>
    </row>
    <row r="193" spans="1:23" ht="15.75" thickBot="1">
      <c r="A193" t="s">
        <v>496</v>
      </c>
      <c r="B193" s="159" t="s">
        <v>732</v>
      </c>
      <c r="C193" s="732" t="s">
        <v>686</v>
      </c>
      <c r="H193" s="139">
        <f t="shared" si="9"/>
        <v>0</v>
      </c>
      <c r="W193" s="707"/>
    </row>
    <row r="194" spans="1:23" ht="15.75" thickBot="1">
      <c r="A194" t="s">
        <v>497</v>
      </c>
      <c r="B194" s="556"/>
      <c r="C194" s="555" t="s">
        <v>725</v>
      </c>
      <c r="H194" s="186">
        <f t="shared" si="9"/>
        <v>0</v>
      </c>
      <c r="W194" s="707"/>
    </row>
    <row r="195" spans="1:23" ht="15.75" thickBot="1">
      <c r="H195">
        <f t="shared" si="9"/>
        <v>0</v>
      </c>
      <c r="W195" s="707"/>
    </row>
    <row r="196" spans="1:23" ht="15.75" thickBot="1">
      <c r="B196" s="123"/>
      <c r="C196" s="124" t="s">
        <v>499</v>
      </c>
      <c r="H196" s="113">
        <f t="shared" si="9"/>
        <v>0</v>
      </c>
      <c r="W196" s="707"/>
    </row>
    <row r="197" spans="1:23">
      <c r="A197" s="112" t="s">
        <v>501</v>
      </c>
      <c r="B197" s="684" t="s">
        <v>501</v>
      </c>
      <c r="C197" s="685" t="s">
        <v>502</v>
      </c>
      <c r="H197" s="766">
        <f t="shared" si="9"/>
        <v>0</v>
      </c>
      <c r="W197" s="707"/>
    </row>
    <row r="198" spans="1:23">
      <c r="A198" t="s">
        <v>504</v>
      </c>
      <c r="B198" s="137" t="s">
        <v>729</v>
      </c>
      <c r="C198" s="732" t="s">
        <v>813</v>
      </c>
      <c r="H198" s="815">
        <f t="shared" si="9"/>
        <v>3</v>
      </c>
      <c r="I198" t="s">
        <v>814</v>
      </c>
      <c r="W198" s="707"/>
    </row>
    <row r="199" spans="1:23">
      <c r="A199" t="s">
        <v>506</v>
      </c>
      <c r="B199" s="137" t="s">
        <v>731</v>
      </c>
      <c r="C199" s="732" t="s">
        <v>689</v>
      </c>
      <c r="H199" s="815">
        <f>IF(H198=3,2,0)</f>
        <v>2</v>
      </c>
      <c r="I199" t="s">
        <v>814</v>
      </c>
      <c r="W199" s="707"/>
    </row>
    <row r="200" spans="1:23">
      <c r="A200" t="s">
        <v>507</v>
      </c>
      <c r="B200" s="137" t="s">
        <v>732</v>
      </c>
      <c r="C200" s="732" t="s">
        <v>815</v>
      </c>
      <c r="H200" s="815">
        <f>IF(H198=3,1,0)</f>
        <v>1</v>
      </c>
      <c r="I200" t="s">
        <v>814</v>
      </c>
      <c r="W200" s="707"/>
    </row>
    <row r="201" spans="1:23">
      <c r="A201" s="112" t="s">
        <v>508</v>
      </c>
      <c r="B201" s="663" t="s">
        <v>508</v>
      </c>
      <c r="C201" s="661" t="s">
        <v>816</v>
      </c>
      <c r="H201" s="816">
        <f t="shared" ref="H201:H241" si="10">SUMIF($R$7:$R$182,A201,$U$7:$U$182)</f>
        <v>0</v>
      </c>
      <c r="I201" t="s">
        <v>814</v>
      </c>
      <c r="W201" s="707"/>
    </row>
    <row r="202" spans="1:23">
      <c r="A202" t="s">
        <v>510</v>
      </c>
      <c r="B202" s="137" t="s">
        <v>729</v>
      </c>
      <c r="C202" s="732" t="s">
        <v>817</v>
      </c>
      <c r="H202" s="815">
        <f t="shared" si="10"/>
        <v>2</v>
      </c>
      <c r="I202" t="s">
        <v>814</v>
      </c>
      <c r="W202" s="707"/>
    </row>
    <row r="203" spans="1:23">
      <c r="A203" t="s">
        <v>511</v>
      </c>
      <c r="B203" s="137" t="s">
        <v>730</v>
      </c>
      <c r="C203" s="732" t="s">
        <v>818</v>
      </c>
      <c r="H203" s="815">
        <f>H202</f>
        <v>2</v>
      </c>
      <c r="I203" t="s">
        <v>814</v>
      </c>
      <c r="W203" s="707"/>
    </row>
    <row r="204" spans="1:23">
      <c r="B204" s="548" t="s">
        <v>819</v>
      </c>
      <c r="C204" s="547"/>
      <c r="H204" s="817">
        <f t="shared" si="10"/>
        <v>0</v>
      </c>
      <c r="I204" t="s">
        <v>814</v>
      </c>
      <c r="W204" s="707"/>
    </row>
    <row r="205" spans="1:23">
      <c r="A205" s="112" t="s">
        <v>512</v>
      </c>
      <c r="B205" s="663" t="s">
        <v>512</v>
      </c>
      <c r="C205" s="661" t="s">
        <v>513</v>
      </c>
      <c r="H205" s="816">
        <f t="shared" si="10"/>
        <v>0</v>
      </c>
      <c r="I205" t="s">
        <v>814</v>
      </c>
      <c r="W205" s="707"/>
    </row>
    <row r="206" spans="1:23">
      <c r="A206" t="s">
        <v>514</v>
      </c>
      <c r="B206" s="137" t="s">
        <v>729</v>
      </c>
      <c r="C206" s="732" t="s">
        <v>820</v>
      </c>
      <c r="H206" s="815">
        <f t="shared" si="10"/>
        <v>1</v>
      </c>
      <c r="I206" t="s">
        <v>814</v>
      </c>
      <c r="W206" s="707"/>
    </row>
    <row r="207" spans="1:23">
      <c r="A207" t="s">
        <v>515</v>
      </c>
      <c r="B207" s="137" t="s">
        <v>730</v>
      </c>
      <c r="C207" s="732" t="s">
        <v>821</v>
      </c>
      <c r="H207" s="815">
        <f>H206</f>
        <v>1</v>
      </c>
      <c r="I207" t="s">
        <v>814</v>
      </c>
      <c r="W207" s="707"/>
    </row>
    <row r="208" spans="1:23">
      <c r="A208" s="112" t="s">
        <v>516</v>
      </c>
      <c r="B208" s="663" t="s">
        <v>516</v>
      </c>
      <c r="C208" s="661" t="s">
        <v>822</v>
      </c>
      <c r="H208" s="816">
        <f t="shared" si="10"/>
        <v>0</v>
      </c>
      <c r="I208" t="s">
        <v>814</v>
      </c>
      <c r="W208" s="707"/>
    </row>
    <row r="209" spans="1:23">
      <c r="A209" t="s">
        <v>518</v>
      </c>
      <c r="B209" s="137" t="s">
        <v>729</v>
      </c>
      <c r="C209" s="732" t="s">
        <v>823</v>
      </c>
      <c r="H209" s="815">
        <f t="shared" si="10"/>
        <v>1</v>
      </c>
      <c r="I209" t="s">
        <v>814</v>
      </c>
      <c r="W209" s="707"/>
    </row>
    <row r="210" spans="1:23" ht="15.75" thickBot="1">
      <c r="A210" t="s">
        <v>519</v>
      </c>
      <c r="B210" s="159" t="s">
        <v>730</v>
      </c>
      <c r="C210" s="732" t="s">
        <v>824</v>
      </c>
      <c r="H210" s="815">
        <f>H209</f>
        <v>1</v>
      </c>
      <c r="I210" t="s">
        <v>814</v>
      </c>
      <c r="W210" s="707"/>
    </row>
    <row r="211" spans="1:23" ht="15.75" thickBot="1">
      <c r="A211" t="s">
        <v>520</v>
      </c>
      <c r="B211" s="556"/>
      <c r="C211" s="555" t="s">
        <v>725</v>
      </c>
      <c r="H211" s="186">
        <f t="shared" si="10"/>
        <v>0</v>
      </c>
      <c r="W211" s="707"/>
    </row>
    <row r="212" spans="1:23" ht="15.75" thickBot="1">
      <c r="H212">
        <f t="shared" si="10"/>
        <v>0</v>
      </c>
      <c r="W212" s="707"/>
    </row>
    <row r="213" spans="1:23" ht="15.75" thickBot="1">
      <c r="B213" s="123"/>
      <c r="C213" s="124" t="s">
        <v>825</v>
      </c>
      <c r="H213" s="113">
        <f t="shared" si="10"/>
        <v>0</v>
      </c>
      <c r="W213" s="707"/>
    </row>
    <row r="214" spans="1:23">
      <c r="A214" t="s">
        <v>524</v>
      </c>
      <c r="B214" s="180" t="s">
        <v>524</v>
      </c>
      <c r="C214" s="147" t="s">
        <v>826</v>
      </c>
      <c r="H214" s="175">
        <f t="shared" si="10"/>
        <v>1</v>
      </c>
      <c r="W214" s="707"/>
    </row>
    <row r="215" spans="1:23">
      <c r="A215" t="s">
        <v>526</v>
      </c>
      <c r="B215" s="137" t="s">
        <v>526</v>
      </c>
      <c r="C215" s="35" t="s">
        <v>827</v>
      </c>
      <c r="H215" s="139">
        <f t="shared" si="10"/>
        <v>0</v>
      </c>
      <c r="W215" s="707"/>
    </row>
    <row r="216" spans="1:23">
      <c r="A216" t="s">
        <v>528</v>
      </c>
      <c r="B216" s="137" t="s">
        <v>528</v>
      </c>
      <c r="C216" s="35" t="s">
        <v>828</v>
      </c>
      <c r="H216" s="139">
        <f t="shared" si="10"/>
        <v>1</v>
      </c>
      <c r="W216" s="707"/>
    </row>
    <row r="217" spans="1:23">
      <c r="A217" t="s">
        <v>530</v>
      </c>
      <c r="B217" s="137" t="s">
        <v>530</v>
      </c>
      <c r="C217" s="35" t="s">
        <v>829</v>
      </c>
      <c r="H217" s="139">
        <f t="shared" si="10"/>
        <v>1</v>
      </c>
      <c r="W217" s="707"/>
    </row>
    <row r="218" spans="1:23">
      <c r="A218" t="s">
        <v>532</v>
      </c>
      <c r="B218" s="137" t="s">
        <v>532</v>
      </c>
      <c r="C218" s="35" t="s">
        <v>830</v>
      </c>
      <c r="H218" s="139">
        <f t="shared" si="10"/>
        <v>4</v>
      </c>
      <c r="W218" s="707"/>
    </row>
    <row r="219" spans="1:23">
      <c r="A219" t="s">
        <v>534</v>
      </c>
      <c r="B219" s="137" t="s">
        <v>534</v>
      </c>
      <c r="C219" s="35" t="s">
        <v>831</v>
      </c>
      <c r="H219" s="139">
        <f t="shared" si="10"/>
        <v>1</v>
      </c>
    </row>
    <row r="220" spans="1:23">
      <c r="A220" t="s">
        <v>536</v>
      </c>
      <c r="B220" s="137" t="s">
        <v>536</v>
      </c>
      <c r="C220" s="35" t="s">
        <v>832</v>
      </c>
      <c r="H220" s="139">
        <f t="shared" si="10"/>
        <v>1</v>
      </c>
    </row>
    <row r="221" spans="1:23">
      <c r="A221" t="s">
        <v>538</v>
      </c>
      <c r="B221" s="137" t="s">
        <v>538</v>
      </c>
      <c r="C221" s="35" t="s">
        <v>833</v>
      </c>
      <c r="H221" s="139">
        <f t="shared" si="10"/>
        <v>1</v>
      </c>
    </row>
    <row r="222" spans="1:23">
      <c r="A222" t="s">
        <v>540</v>
      </c>
      <c r="B222" s="137" t="s">
        <v>540</v>
      </c>
      <c r="C222" s="35" t="s">
        <v>834</v>
      </c>
      <c r="H222" s="139">
        <f t="shared" si="10"/>
        <v>1</v>
      </c>
    </row>
    <row r="223" spans="1:23">
      <c r="A223" t="s">
        <v>542</v>
      </c>
      <c r="B223" s="182" t="s">
        <v>542</v>
      </c>
      <c r="C223" s="35" t="s">
        <v>835</v>
      </c>
      <c r="H223" s="139">
        <f t="shared" si="10"/>
        <v>1</v>
      </c>
    </row>
    <row r="224" spans="1:23">
      <c r="A224" t="s">
        <v>543</v>
      </c>
      <c r="B224" s="182" t="s">
        <v>543</v>
      </c>
      <c r="C224" s="35" t="s">
        <v>836</v>
      </c>
      <c r="H224" s="139">
        <f t="shared" si="10"/>
        <v>1</v>
      </c>
    </row>
    <row r="225" spans="1:8">
      <c r="A225" t="s">
        <v>544</v>
      </c>
      <c r="B225" s="182" t="s">
        <v>544</v>
      </c>
      <c r="C225" s="35" t="s">
        <v>837</v>
      </c>
      <c r="H225" s="139">
        <f t="shared" si="10"/>
        <v>1</v>
      </c>
    </row>
    <row r="226" spans="1:8">
      <c r="A226" t="s">
        <v>545</v>
      </c>
      <c r="B226" s="182" t="s">
        <v>545</v>
      </c>
      <c r="C226" s="35" t="s">
        <v>838</v>
      </c>
      <c r="H226" s="139">
        <f t="shared" si="10"/>
        <v>1</v>
      </c>
    </row>
    <row r="227" spans="1:8" ht="15.75" thickBot="1">
      <c r="A227" t="s">
        <v>546</v>
      </c>
      <c r="B227" s="561" t="s">
        <v>546</v>
      </c>
      <c r="C227" s="161" t="s">
        <v>839</v>
      </c>
      <c r="H227" s="682">
        <f t="shared" si="10"/>
        <v>1</v>
      </c>
    </row>
    <row r="228" spans="1:8" ht="15.75" thickBot="1">
      <c r="A228" t="s">
        <v>547</v>
      </c>
      <c r="B228" s="556" t="s">
        <v>725</v>
      </c>
      <c r="C228" s="555"/>
      <c r="H228" s="186">
        <f t="shared" si="10"/>
        <v>0</v>
      </c>
    </row>
    <row r="229" spans="1:8" ht="15.75" thickBot="1">
      <c r="H229">
        <f t="shared" si="10"/>
        <v>0</v>
      </c>
    </row>
    <row r="230" spans="1:8" ht="15.75" thickBot="1">
      <c r="B230" s="123"/>
      <c r="C230" s="124" t="s">
        <v>840</v>
      </c>
      <c r="H230" s="113">
        <f t="shared" si="10"/>
        <v>0</v>
      </c>
    </row>
    <row r="231" spans="1:8">
      <c r="A231" t="s">
        <v>309</v>
      </c>
      <c r="B231" s="573" t="s">
        <v>309</v>
      </c>
      <c r="C231" s="775" t="s">
        <v>748</v>
      </c>
      <c r="H231" s="175">
        <f t="shared" si="10"/>
        <v>0</v>
      </c>
    </row>
    <row r="232" spans="1:8">
      <c r="A232" t="s">
        <v>321</v>
      </c>
      <c r="B232" s="182" t="s">
        <v>321</v>
      </c>
      <c r="C232" s="779" t="s">
        <v>755</v>
      </c>
      <c r="H232" s="139">
        <f t="shared" si="10"/>
        <v>0</v>
      </c>
    </row>
    <row r="233" spans="1:8">
      <c r="A233" t="s">
        <v>412</v>
      </c>
      <c r="B233" s="570" t="s">
        <v>412</v>
      </c>
      <c r="C233" s="773" t="s">
        <v>777</v>
      </c>
      <c r="H233" s="139">
        <f t="shared" si="10"/>
        <v>0</v>
      </c>
    </row>
    <row r="234" spans="1:8">
      <c r="A234" t="s">
        <v>416</v>
      </c>
      <c r="B234" s="570" t="s">
        <v>416</v>
      </c>
      <c r="C234" s="774" t="s">
        <v>779</v>
      </c>
      <c r="H234" s="139">
        <f t="shared" si="10"/>
        <v>0</v>
      </c>
    </row>
    <row r="235" spans="1:8">
      <c r="A235" t="s">
        <v>421</v>
      </c>
      <c r="B235" s="570" t="s">
        <v>421</v>
      </c>
      <c r="C235" s="774" t="s">
        <v>781</v>
      </c>
      <c r="H235" s="139">
        <f t="shared" si="10"/>
        <v>0</v>
      </c>
    </row>
    <row r="236" spans="1:8">
      <c r="A236" t="s">
        <v>426</v>
      </c>
      <c r="B236" s="570" t="s">
        <v>426</v>
      </c>
      <c r="C236" s="774" t="s">
        <v>783</v>
      </c>
      <c r="H236" s="139">
        <f t="shared" si="10"/>
        <v>0</v>
      </c>
    </row>
    <row r="237" spans="1:8">
      <c r="A237" t="s">
        <v>469</v>
      </c>
      <c r="B237" s="570" t="s">
        <v>469</v>
      </c>
      <c r="C237" s="774" t="s">
        <v>798</v>
      </c>
      <c r="H237" s="139">
        <f t="shared" si="10"/>
        <v>0</v>
      </c>
    </row>
    <row r="238" spans="1:8">
      <c r="A238" t="s">
        <v>473</v>
      </c>
      <c r="B238" s="570" t="s">
        <v>473</v>
      </c>
      <c r="C238" s="774" t="s">
        <v>800</v>
      </c>
      <c r="H238" s="139">
        <f t="shared" si="10"/>
        <v>0</v>
      </c>
    </row>
    <row r="239" spans="1:8">
      <c r="A239" t="s">
        <v>478</v>
      </c>
      <c r="B239" s="570" t="s">
        <v>478</v>
      </c>
      <c r="C239" s="774" t="s">
        <v>802</v>
      </c>
      <c r="H239" s="139">
        <f t="shared" si="10"/>
        <v>0</v>
      </c>
    </row>
    <row r="240" spans="1:8">
      <c r="A240" t="s">
        <v>483</v>
      </c>
      <c r="B240" s="570" t="s">
        <v>483</v>
      </c>
      <c r="C240" s="774" t="s">
        <v>804</v>
      </c>
      <c r="H240" s="139">
        <f t="shared" si="10"/>
        <v>0</v>
      </c>
    </row>
    <row r="241" spans="1:8">
      <c r="A241" t="s">
        <v>381</v>
      </c>
      <c r="B241" s="570" t="s">
        <v>381</v>
      </c>
      <c r="C241" s="774" t="s">
        <v>770</v>
      </c>
      <c r="H241" s="139">
        <f t="shared" si="10"/>
        <v>0</v>
      </c>
    </row>
    <row r="242" spans="1:8">
      <c r="A242" t="s">
        <v>490</v>
      </c>
      <c r="B242" s="158" t="s">
        <v>490</v>
      </c>
      <c r="C242" s="774" t="s">
        <v>808</v>
      </c>
      <c r="H242" s="139"/>
    </row>
    <row r="243" spans="1:8">
      <c r="A243" t="s">
        <v>493</v>
      </c>
      <c r="B243" s="158" t="s">
        <v>493</v>
      </c>
      <c r="C243" s="774" t="s">
        <v>811</v>
      </c>
      <c r="H243" s="139"/>
    </row>
    <row r="244" spans="1:8">
      <c r="A244" t="s">
        <v>841</v>
      </c>
      <c r="B244" s="158" t="s">
        <v>841</v>
      </c>
      <c r="C244" s="793" t="s">
        <v>842</v>
      </c>
      <c r="H244" s="139"/>
    </row>
    <row r="245" spans="1:8">
      <c r="B245" s="158"/>
      <c r="C245" s="774"/>
      <c r="H245" s="139"/>
    </row>
    <row r="246" spans="1:8" ht="15.75" thickBot="1">
      <c r="B246" s="159"/>
      <c r="C246" s="161"/>
      <c r="H246" s="139"/>
    </row>
  </sheetData>
  <sheetProtection algorithmName="SHA-512" hashValue="g+u9/2Gt63YleHvakgQVqhTiUJIILcRraa1UaXYwssD1wlHDHVcdnA+TM6iaYtdUxaHkcXB8R5Ik5XhbEVmSBw==" saltValue="JDjAkv9tN/CmN1iIjbmsRA==" spinCount="100000" sheet="1" objects="1" scenarios="1"/>
  <protectedRanges>
    <protectedRange sqref="I2" name="Sortering"/>
  </protectedRanges>
  <mergeCells count="16">
    <mergeCell ref="S6:S11"/>
    <mergeCell ref="S73:S75"/>
    <mergeCell ref="S61:S63"/>
    <mergeCell ref="S64:S66"/>
    <mergeCell ref="N5:O5"/>
    <mergeCell ref="S39:S42"/>
    <mergeCell ref="S44:S46"/>
    <mergeCell ref="S50:S55"/>
    <mergeCell ref="S56:S59"/>
    <mergeCell ref="S67:S69"/>
    <mergeCell ref="S35:S38"/>
    <mergeCell ref="S29:S34"/>
    <mergeCell ref="S12:S14"/>
    <mergeCell ref="S15:S19"/>
    <mergeCell ref="S20:S23"/>
    <mergeCell ref="S24:S27"/>
  </mergeCells>
  <phoneticPr fontId="49" type="noConversion"/>
  <conditionalFormatting sqref="I2">
    <cfRule type="expression" dxfId="545" priority="5">
      <formula>$Z2=2</formula>
    </cfRule>
  </conditionalFormatting>
  <conditionalFormatting sqref="I2">
    <cfRule type="expression" dxfId="544" priority="165">
      <formula>I2&gt;#REF!</formula>
    </cfRule>
  </conditionalFormatting>
  <conditionalFormatting sqref="I78:I80 I82:I107 I7:I36 I38:I76">
    <cfRule type="expression" dxfId="543" priority="3">
      <formula>I7="FEIL"</formula>
    </cfRule>
  </conditionalFormatting>
  <conditionalFormatting sqref="I77">
    <cfRule type="expression" dxfId="542" priority="2">
      <formula>I77="FEIL"</formula>
    </cfRule>
  </conditionalFormatting>
  <conditionalFormatting sqref="I81">
    <cfRule type="expression" dxfId="541" priority="1">
      <formula>I81="FEIL"</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'Assessment Details'!$O$51:$O$52</xm:f>
          </x14:formula1>
          <xm:sqref>I2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372"/>
  <sheetViews>
    <sheetView topLeftCell="A136" zoomScale="85" zoomScaleNormal="85" workbookViewId="0">
      <pane xSplit="5" topLeftCell="AF1" activePane="topRight" state="frozen"/>
      <selection pane="topRight" activeCell="AK143" sqref="AK143"/>
      <selection activeCell="A142" sqref="A142"/>
    </sheetView>
  </sheetViews>
  <sheetFormatPr defaultColWidth="9.140625" defaultRowHeight="15"/>
  <cols>
    <col min="1" max="1" width="8.42578125" customWidth="1"/>
    <col min="2" max="3" width="10.7109375" customWidth="1"/>
    <col min="4" max="4" width="8.7109375" customWidth="1"/>
    <col min="5" max="5" width="60.85546875" customWidth="1"/>
    <col min="6" max="14" width="11.28515625" style="601" customWidth="1"/>
    <col min="15" max="15" width="11.5703125" style="601" customWidth="1"/>
    <col min="16" max="18" width="11.28515625" style="601" customWidth="1"/>
    <col min="19" max="19" width="11.5703125" customWidth="1"/>
    <col min="20" max="20" width="15.7109375" customWidth="1"/>
    <col min="21" max="21" width="7" customWidth="1"/>
    <col min="22" max="22" width="5.5703125" customWidth="1"/>
    <col min="23" max="23" width="6.5703125" customWidth="1"/>
    <col min="24" max="24" width="6.85546875" customWidth="1"/>
    <col min="25" max="25" width="9.42578125" customWidth="1"/>
    <col min="26" max="26" width="11.28515625" customWidth="1"/>
    <col min="27" max="27" width="5.7109375" customWidth="1"/>
    <col min="28" max="28" width="14" customWidth="1"/>
    <col min="29" max="29" width="6.85546875" customWidth="1"/>
    <col min="30" max="30" width="14.5703125" customWidth="1"/>
    <col min="31" max="33" width="17.5703125" customWidth="1"/>
    <col min="34" max="34" width="8.42578125" customWidth="1"/>
    <col min="35" max="35" width="14.42578125" customWidth="1"/>
    <col min="36" max="36" width="10.42578125" customWidth="1"/>
    <col min="37" max="37" width="9.5703125" customWidth="1"/>
    <col min="38" max="38" width="9.42578125" customWidth="1"/>
    <col min="39" max="43" width="4.28515625" customWidth="1"/>
    <col min="44" max="44" width="3.7109375" customWidth="1"/>
    <col min="45" max="49" width="4.28515625" customWidth="1"/>
    <col min="50" max="50" width="3.140625" customWidth="1"/>
    <col min="51" max="54" width="4" customWidth="1"/>
    <col min="55" max="55" width="4.28515625" customWidth="1"/>
    <col min="56" max="56" width="10.85546875" customWidth="1"/>
    <col min="57" max="57" width="26.7109375" customWidth="1"/>
    <col min="58" max="58" width="5.85546875" customWidth="1"/>
    <col min="59" max="59" width="6.7109375" customWidth="1"/>
    <col min="60" max="60" width="26.7109375" customWidth="1"/>
    <col min="61" max="61" width="6.5703125" customWidth="1"/>
    <col min="62" max="62" width="6.7109375" customWidth="1"/>
    <col min="63" max="63" width="26.7109375" customWidth="1"/>
    <col min="64" max="64" width="5.7109375" customWidth="1"/>
    <col min="65" max="65" width="9.140625" customWidth="1"/>
    <col min="66" max="66" width="4.42578125" customWidth="1"/>
    <col min="67" max="67" width="10.28515625" customWidth="1"/>
    <col min="68" max="68" width="13.28515625" customWidth="1"/>
    <col min="69" max="69" width="12.7109375" customWidth="1"/>
    <col min="70" max="70" width="10.140625" customWidth="1"/>
    <col min="71" max="71" width="9" customWidth="1"/>
    <col min="72" max="72" width="15.140625" bestFit="1" customWidth="1"/>
    <col min="73" max="73" width="9.140625" customWidth="1"/>
    <col min="74" max="74" width="10.140625" customWidth="1"/>
    <col min="76" max="76" width="30.7109375" bestFit="1" customWidth="1"/>
    <col min="77" max="77" width="14.7109375" bestFit="1" customWidth="1"/>
    <col min="80" max="80" width="20.85546875" bestFit="1" customWidth="1"/>
    <col min="81" max="81" width="11.28515625" bestFit="1" customWidth="1"/>
    <col min="82" max="82" width="8.7109375" bestFit="1" customWidth="1"/>
    <col min="83" max="83" width="12.7109375" bestFit="1" customWidth="1"/>
    <col min="85" max="85" width="14.28515625" bestFit="1" customWidth="1"/>
    <col min="87" max="87" width="12.28515625" customWidth="1"/>
  </cols>
  <sheetData>
    <row r="1" spans="1:90">
      <c r="B1" s="518">
        <v>1</v>
      </c>
      <c r="C1" s="518">
        <v>2</v>
      </c>
      <c r="D1" s="518">
        <v>3</v>
      </c>
      <c r="E1" s="518">
        <v>4</v>
      </c>
      <c r="F1" s="518">
        <v>5</v>
      </c>
      <c r="G1" s="518">
        <v>6</v>
      </c>
      <c r="H1" s="518">
        <v>7</v>
      </c>
      <c r="I1" s="518">
        <v>8</v>
      </c>
      <c r="J1" s="518">
        <v>9</v>
      </c>
      <c r="K1" s="518">
        <v>10</v>
      </c>
      <c r="L1" s="518">
        <v>11</v>
      </c>
      <c r="M1" s="518">
        <v>12</v>
      </c>
      <c r="N1" s="518">
        <v>13</v>
      </c>
      <c r="O1" s="518">
        <v>14</v>
      </c>
      <c r="P1" s="518">
        <v>15</v>
      </c>
      <c r="Q1" s="518">
        <v>16</v>
      </c>
      <c r="R1" s="518">
        <v>17</v>
      </c>
      <c r="S1" s="518">
        <v>18</v>
      </c>
      <c r="T1" s="518">
        <v>19</v>
      </c>
      <c r="U1" s="518">
        <v>20</v>
      </c>
      <c r="V1" s="518">
        <v>21</v>
      </c>
      <c r="W1" s="518">
        <v>22</v>
      </c>
      <c r="X1" s="518">
        <v>23</v>
      </c>
      <c r="Y1" s="518">
        <v>24</v>
      </c>
      <c r="Z1" s="518">
        <v>25</v>
      </c>
      <c r="AA1" s="518">
        <v>26</v>
      </c>
      <c r="AB1" s="518">
        <v>27</v>
      </c>
      <c r="AC1" s="518">
        <v>28</v>
      </c>
      <c r="AD1" s="518">
        <v>29</v>
      </c>
      <c r="AE1" s="518">
        <v>30</v>
      </c>
      <c r="AF1" s="518">
        <v>31</v>
      </c>
      <c r="AG1" s="518">
        <v>32</v>
      </c>
      <c r="AH1" s="518">
        <v>33</v>
      </c>
      <c r="AI1" s="518">
        <v>34</v>
      </c>
      <c r="AJ1" s="518">
        <v>35</v>
      </c>
      <c r="AK1" s="518">
        <v>36</v>
      </c>
      <c r="AL1" s="518">
        <v>37</v>
      </c>
      <c r="AM1" s="518">
        <v>38</v>
      </c>
      <c r="AN1" s="518">
        <v>39</v>
      </c>
      <c r="AO1" s="518">
        <v>40</v>
      </c>
      <c r="AP1" s="518">
        <v>41</v>
      </c>
      <c r="AQ1" s="518">
        <v>42</v>
      </c>
      <c r="AR1" s="518">
        <v>43</v>
      </c>
      <c r="AS1" s="518">
        <v>44</v>
      </c>
      <c r="AT1" s="518">
        <v>45</v>
      </c>
      <c r="AU1" s="518">
        <v>46</v>
      </c>
      <c r="AV1" s="518">
        <v>47</v>
      </c>
      <c r="AW1" s="518">
        <v>48</v>
      </c>
      <c r="AX1" s="518">
        <v>49</v>
      </c>
      <c r="AY1" s="518">
        <v>50</v>
      </c>
      <c r="AZ1" s="518">
        <v>51</v>
      </c>
      <c r="BA1" s="518">
        <v>52</v>
      </c>
      <c r="BB1" s="518">
        <v>53</v>
      </c>
      <c r="BC1" s="518">
        <v>54</v>
      </c>
      <c r="BD1" s="518">
        <v>55</v>
      </c>
      <c r="BE1" s="518">
        <v>56</v>
      </c>
      <c r="BF1" s="518">
        <v>57</v>
      </c>
      <c r="BG1" s="518">
        <v>58</v>
      </c>
      <c r="BH1" s="518">
        <v>59</v>
      </c>
      <c r="BI1" s="518">
        <v>60</v>
      </c>
      <c r="BJ1" s="518">
        <v>61</v>
      </c>
      <c r="BK1" s="518">
        <v>62</v>
      </c>
      <c r="BL1" s="518">
        <v>63</v>
      </c>
      <c r="BM1" s="518">
        <v>64</v>
      </c>
      <c r="BN1" s="518">
        <v>65</v>
      </c>
      <c r="BO1" s="518">
        <v>66</v>
      </c>
      <c r="BP1" s="518">
        <v>67</v>
      </c>
      <c r="BQ1" s="518">
        <v>68</v>
      </c>
      <c r="BR1" s="518">
        <v>69</v>
      </c>
      <c r="BS1" s="518">
        <v>70</v>
      </c>
      <c r="BT1" s="518">
        <v>71</v>
      </c>
    </row>
    <row r="2" spans="1:90">
      <c r="D2">
        <v>1</v>
      </c>
      <c r="E2">
        <v>2</v>
      </c>
      <c r="F2" s="601">
        <v>3</v>
      </c>
      <c r="G2" s="601">
        <v>4</v>
      </c>
      <c r="H2" s="601">
        <v>5</v>
      </c>
      <c r="I2" s="601">
        <v>6</v>
      </c>
      <c r="J2" s="601">
        <v>7</v>
      </c>
      <c r="K2" s="601">
        <v>8</v>
      </c>
      <c r="L2" s="601">
        <v>9</v>
      </c>
      <c r="M2" s="601">
        <v>10</v>
      </c>
      <c r="N2" s="601">
        <v>11</v>
      </c>
      <c r="O2" s="601">
        <v>12</v>
      </c>
      <c r="P2" s="601">
        <v>13</v>
      </c>
      <c r="Q2" s="601">
        <v>14</v>
      </c>
      <c r="R2" s="601">
        <v>15</v>
      </c>
      <c r="S2" s="601">
        <v>16</v>
      </c>
      <c r="T2" s="601">
        <v>17</v>
      </c>
      <c r="U2" s="601">
        <v>18</v>
      </c>
      <c r="V2" s="601">
        <v>19</v>
      </c>
      <c r="W2" s="601">
        <v>20</v>
      </c>
      <c r="X2" s="601">
        <v>21</v>
      </c>
      <c r="Y2" s="601">
        <v>22</v>
      </c>
      <c r="Z2" s="601">
        <v>23</v>
      </c>
      <c r="AA2" s="601">
        <v>24</v>
      </c>
      <c r="AB2" s="601">
        <v>25</v>
      </c>
      <c r="AC2" s="601">
        <v>26</v>
      </c>
      <c r="AD2" s="601">
        <v>27</v>
      </c>
      <c r="AE2" s="601">
        <v>28</v>
      </c>
      <c r="AF2" s="601">
        <v>29</v>
      </c>
      <c r="AG2" s="601">
        <v>30</v>
      </c>
      <c r="AH2" s="601">
        <v>31</v>
      </c>
      <c r="AI2" s="601">
        <v>32</v>
      </c>
      <c r="AJ2" s="601">
        <v>33</v>
      </c>
      <c r="AK2" s="601">
        <v>34</v>
      </c>
      <c r="AL2" s="601">
        <v>35</v>
      </c>
      <c r="AM2" s="601">
        <v>36</v>
      </c>
      <c r="AN2" s="601">
        <v>37</v>
      </c>
      <c r="AO2" s="601">
        <v>38</v>
      </c>
      <c r="AP2" s="601">
        <v>39</v>
      </c>
      <c r="AQ2" s="601">
        <v>40</v>
      </c>
      <c r="AR2" s="601">
        <v>41</v>
      </c>
      <c r="AS2" s="601">
        <v>42</v>
      </c>
      <c r="AT2" s="601">
        <v>43</v>
      </c>
      <c r="AU2" s="601">
        <v>44</v>
      </c>
      <c r="AV2" s="601">
        <v>45</v>
      </c>
      <c r="AW2" s="601">
        <v>46</v>
      </c>
      <c r="AX2" s="601">
        <v>47</v>
      </c>
      <c r="AY2" s="601">
        <v>48</v>
      </c>
      <c r="AZ2" s="601">
        <v>49</v>
      </c>
      <c r="BA2" s="601">
        <v>50</v>
      </c>
      <c r="BB2" s="601">
        <v>51</v>
      </c>
      <c r="BC2" s="601">
        <v>52</v>
      </c>
      <c r="BD2" s="601">
        <v>53</v>
      </c>
      <c r="BE2" s="601">
        <v>54</v>
      </c>
      <c r="BF2" s="601">
        <v>55</v>
      </c>
      <c r="BG2" s="601">
        <v>56</v>
      </c>
      <c r="BH2" s="601">
        <v>57</v>
      </c>
      <c r="BI2" s="601">
        <v>58</v>
      </c>
      <c r="BJ2" s="601">
        <v>59</v>
      </c>
      <c r="BK2" s="601">
        <v>60</v>
      </c>
      <c r="BL2" s="601">
        <v>61</v>
      </c>
    </row>
    <row r="3" spans="1:90" ht="15.75" thickBot="1">
      <c r="A3" s="112" t="s">
        <v>843</v>
      </c>
      <c r="B3" s="112"/>
      <c r="C3" s="112"/>
      <c r="D3" s="112"/>
      <c r="E3" s="112"/>
      <c r="F3" s="602"/>
      <c r="G3" s="602"/>
      <c r="H3" s="602"/>
      <c r="I3" s="602"/>
      <c r="J3" s="602"/>
      <c r="K3" s="602"/>
      <c r="L3" s="602"/>
      <c r="M3" s="602"/>
      <c r="N3" s="602"/>
      <c r="O3" s="602"/>
      <c r="P3" s="602"/>
      <c r="Q3" s="602"/>
      <c r="R3" s="602"/>
      <c r="Y3" t="s">
        <v>43</v>
      </c>
    </row>
    <row r="4" spans="1:90" ht="15.75" thickBot="1">
      <c r="G4" s="601" t="s">
        <v>844</v>
      </c>
      <c r="K4" s="963" t="s">
        <v>845</v>
      </c>
      <c r="Y4" s="112" t="str">
        <f>ADPT</f>
        <v>New Construction (fully fitted)</v>
      </c>
      <c r="BX4" s="527" t="s">
        <v>846</v>
      </c>
      <c r="BY4" s="528" t="s">
        <v>233</v>
      </c>
      <c r="CA4" s="524" t="s">
        <v>847</v>
      </c>
      <c r="CB4">
        <v>0</v>
      </c>
      <c r="CC4" t="s">
        <v>127</v>
      </c>
    </row>
    <row r="5" spans="1:90" ht="15.75" thickBot="1">
      <c r="E5" s="113" t="s">
        <v>848</v>
      </c>
      <c r="G5" s="601" t="s">
        <v>849</v>
      </c>
      <c r="H5" s="603"/>
      <c r="K5" s="965" t="s">
        <v>850</v>
      </c>
      <c r="R5" s="604"/>
      <c r="Y5" t="str">
        <f>'Assessment Details'!Q12</f>
        <v>New Construction (shell and core)</v>
      </c>
      <c r="AB5" s="293" t="s">
        <v>25</v>
      </c>
      <c r="AC5" s="294" t="str">
        <f>'Manuell filtrering og justering'!I2</f>
        <v>No</v>
      </c>
      <c r="BX5" s="211" t="str">
        <f>'Pre-Assessment Estimator'!AJ4</f>
        <v>Nei</v>
      </c>
      <c r="BY5" s="197" t="str">
        <f>'Pre-Assessment Estimator'!AJ8</f>
        <v>Ja</v>
      </c>
      <c r="CA5" s="529" t="s">
        <v>851</v>
      </c>
      <c r="CB5">
        <v>1</v>
      </c>
    </row>
    <row r="6" spans="1:90" ht="15.75" thickBot="1">
      <c r="E6" s="115" t="str">
        <f>ADBT0</f>
        <v>Office</v>
      </c>
      <c r="G6" s="601" t="s">
        <v>216</v>
      </c>
      <c r="K6" s="967" t="s">
        <v>852</v>
      </c>
      <c r="Y6" t="str">
        <f>ADPT02</f>
        <v>New Construction (shell only)</v>
      </c>
      <c r="BC6" s="116"/>
    </row>
    <row r="7" spans="1:90" ht="15.75" thickBot="1">
      <c r="F7" s="524" t="s">
        <v>853</v>
      </c>
      <c r="K7" s="969" t="s">
        <v>854</v>
      </c>
      <c r="AE7" s="1061" t="s">
        <v>855</v>
      </c>
      <c r="AF7" s="1061"/>
      <c r="AG7" s="1061"/>
      <c r="BC7" s="116"/>
    </row>
    <row r="8" spans="1:90" ht="51" customHeight="1" thickBot="1">
      <c r="D8" s="44" t="s">
        <v>856</v>
      </c>
      <c r="E8" s="47" t="s">
        <v>722</v>
      </c>
      <c r="F8" s="1065" t="s">
        <v>857</v>
      </c>
      <c r="G8" s="1066"/>
      <c r="H8" s="1066"/>
      <c r="I8" s="1066"/>
      <c r="J8" s="1066"/>
      <c r="K8" s="1066"/>
      <c r="L8" s="1066"/>
      <c r="M8" s="1066"/>
      <c r="N8" s="1066"/>
      <c r="O8" s="1066"/>
      <c r="P8" s="1066"/>
      <c r="Q8" s="1066"/>
      <c r="R8" s="1066"/>
      <c r="T8" s="43" t="s">
        <v>858</v>
      </c>
      <c r="U8" s="1067" t="s">
        <v>859</v>
      </c>
      <c r="V8" s="1068"/>
      <c r="W8" s="1068"/>
      <c r="X8" s="1068"/>
      <c r="Y8" s="1068"/>
      <c r="Z8" s="1069"/>
      <c r="AA8" s="117" t="s">
        <v>725</v>
      </c>
      <c r="AB8" s="45" t="s">
        <v>860</v>
      </c>
      <c r="AD8" s="741" t="s">
        <v>861</v>
      </c>
      <c r="AE8" s="742" t="s">
        <v>862</v>
      </c>
      <c r="AF8" s="742" t="s">
        <v>863</v>
      </c>
      <c r="AG8" s="742" t="s">
        <v>864</v>
      </c>
      <c r="AI8" s="45" t="s">
        <v>862</v>
      </c>
      <c r="AJ8" s="45" t="s">
        <v>863</v>
      </c>
      <c r="AK8" s="45" t="s">
        <v>864</v>
      </c>
      <c r="AM8" s="1070" t="s">
        <v>865</v>
      </c>
      <c r="AN8" s="1071"/>
      <c r="AO8" s="1071"/>
      <c r="AP8" s="1071"/>
      <c r="AQ8" s="1072"/>
      <c r="AS8" s="1070" t="s">
        <v>16</v>
      </c>
      <c r="AT8" s="1071"/>
      <c r="AU8" s="1071"/>
      <c r="AV8" s="1071"/>
      <c r="AW8" s="1072"/>
      <c r="AY8" s="1070" t="str">
        <f>"Chosen "&amp;E6</f>
        <v>Chosen Office</v>
      </c>
      <c r="AZ8" s="1071"/>
      <c r="BA8" s="1071"/>
      <c r="BB8" s="1071"/>
      <c r="BC8" s="1071"/>
      <c r="BD8" s="1052" t="s">
        <v>862</v>
      </c>
      <c r="BE8" s="1053"/>
      <c r="BF8" s="1053"/>
      <c r="BG8" s="1054" t="s">
        <v>863</v>
      </c>
      <c r="BH8" s="1050"/>
      <c r="BI8" s="1051"/>
      <c r="BJ8" s="1049" t="s">
        <v>864</v>
      </c>
      <c r="BK8" s="1050"/>
      <c r="BL8" s="1051"/>
      <c r="BO8" s="1046" t="s">
        <v>866</v>
      </c>
      <c r="BP8" s="1047"/>
      <c r="BQ8" s="1048"/>
      <c r="BR8" s="499"/>
      <c r="BS8" s="499"/>
      <c r="BT8" s="499"/>
      <c r="BW8" s="206" t="s">
        <v>227</v>
      </c>
      <c r="BX8" s="206"/>
      <c r="BY8" s="206"/>
      <c r="BZ8" s="206"/>
      <c r="CA8" s="206"/>
      <c r="CB8" s="206"/>
      <c r="CC8" s="530" t="s">
        <v>867</v>
      </c>
      <c r="CD8" s="530" t="s">
        <v>868</v>
      </c>
      <c r="CE8" s="206" t="s">
        <v>869</v>
      </c>
      <c r="CF8" s="206"/>
      <c r="CG8" s="206"/>
      <c r="CH8" s="206"/>
      <c r="CI8" s="534" t="s">
        <v>870</v>
      </c>
      <c r="CJ8" s="206"/>
      <c r="CK8" s="206"/>
      <c r="CL8" s="206"/>
    </row>
    <row r="9" spans="1:90" ht="58.5" customHeight="1" thickBot="1">
      <c r="A9">
        <v>1</v>
      </c>
      <c r="D9" s="123"/>
      <c r="E9" s="124" t="s">
        <v>251</v>
      </c>
      <c r="F9" s="964" t="str">
        <f>ADBT2</f>
        <v>Office</v>
      </c>
      <c r="G9" s="964" t="str">
        <f>ADBT3</f>
        <v>Retail</v>
      </c>
      <c r="H9" s="968" t="str">
        <f>ADBT12</f>
        <v>Residential</v>
      </c>
      <c r="I9" s="964" t="str">
        <f>ADBT1</f>
        <v>Industrial</v>
      </c>
      <c r="J9" s="966" t="str">
        <f>ADBT13</f>
        <v>Healthcare</v>
      </c>
      <c r="K9" s="966" t="str">
        <f>ADBT14</f>
        <v>Prison</v>
      </c>
      <c r="L9" s="966" t="str">
        <f>ADBT15</f>
        <v>Law Court</v>
      </c>
      <c r="M9" s="970" t="str">
        <f>ADBT16</f>
        <v>Residential institution (long term stay)</v>
      </c>
      <c r="N9" s="733" t="str">
        <f>ADBT17</f>
        <v>Residential institution (short term stay)</v>
      </c>
      <c r="O9" s="733" t="str">
        <f>ADBT18</f>
        <v>Non-residential institution</v>
      </c>
      <c r="P9" s="733" t="str">
        <f>ADBT19</f>
        <v>Assembly and leisure</v>
      </c>
      <c r="Q9" s="966" t="str">
        <f>ADBT8</f>
        <v>Education</v>
      </c>
      <c r="R9" s="683" t="str">
        <f>ADBT20</f>
        <v>Other</v>
      </c>
      <c r="T9" s="119" t="str">
        <f>$E$6</f>
        <v>Office</v>
      </c>
      <c r="U9" s="120"/>
      <c r="V9" s="121"/>
      <c r="W9" s="121"/>
      <c r="X9" s="898"/>
      <c r="Y9" s="910" t="s">
        <v>871</v>
      </c>
      <c r="Z9" s="908" t="s">
        <v>25</v>
      </c>
      <c r="AA9" s="903" t="s">
        <v>725</v>
      </c>
      <c r="AB9" s="904"/>
      <c r="AI9" s="63"/>
      <c r="AJ9" s="46"/>
      <c r="AK9" s="46"/>
      <c r="AM9" s="123" t="s">
        <v>872</v>
      </c>
      <c r="AN9" s="124" t="s">
        <v>873</v>
      </c>
      <c r="AO9" s="124" t="s">
        <v>874</v>
      </c>
      <c r="AP9" s="124" t="s">
        <v>875</v>
      </c>
      <c r="AQ9" s="125" t="s">
        <v>876</v>
      </c>
      <c r="AS9" s="118" t="s">
        <v>872</v>
      </c>
      <c r="AT9" s="39" t="s">
        <v>873</v>
      </c>
      <c r="AU9" s="39" t="s">
        <v>874</v>
      </c>
      <c r="AV9" s="39" t="s">
        <v>875</v>
      </c>
      <c r="AW9" s="126" t="s">
        <v>876</v>
      </c>
      <c r="AY9" s="118" t="s">
        <v>872</v>
      </c>
      <c r="AZ9" s="39" t="s">
        <v>873</v>
      </c>
      <c r="BA9" s="39" t="s">
        <v>874</v>
      </c>
      <c r="BB9" s="39" t="s">
        <v>875</v>
      </c>
      <c r="BC9" s="127" t="s">
        <v>876</v>
      </c>
      <c r="BD9" s="128" t="s">
        <v>877</v>
      </c>
      <c r="BE9" s="129" t="s">
        <v>878</v>
      </c>
      <c r="BF9" s="129"/>
      <c r="BG9" s="130" t="s">
        <v>877</v>
      </c>
      <c r="BH9" s="131" t="s">
        <v>878</v>
      </c>
      <c r="BI9" s="132"/>
      <c r="BJ9" s="133" t="s">
        <v>877</v>
      </c>
      <c r="BK9" s="131" t="s">
        <v>878</v>
      </c>
      <c r="BL9" s="134"/>
      <c r="BO9" s="530" t="s">
        <v>879</v>
      </c>
      <c r="BP9" s="530" t="s">
        <v>880</v>
      </c>
      <c r="BQ9" s="883" t="s">
        <v>881</v>
      </c>
      <c r="BR9" s="499" t="s">
        <v>882</v>
      </c>
      <c r="BS9" s="499" t="s">
        <v>883</v>
      </c>
      <c r="BT9" s="499" t="s">
        <v>884</v>
      </c>
      <c r="BW9" s="39"/>
      <c r="BX9" s="39" t="str">
        <f>E9</f>
        <v>Management</v>
      </c>
      <c r="BY9" s="39" t="s">
        <v>250</v>
      </c>
      <c r="BZ9" s="39" t="s">
        <v>885</v>
      </c>
      <c r="CA9" s="39" t="s">
        <v>886</v>
      </c>
      <c r="CB9" s="39" t="s">
        <v>887</v>
      </c>
      <c r="CG9" t="s">
        <v>888</v>
      </c>
    </row>
    <row r="10" spans="1:90">
      <c r="A10">
        <v>2</v>
      </c>
      <c r="B10" s="112" t="str">
        <f>D10</f>
        <v>Man 01</v>
      </c>
      <c r="C10" s="112" t="str">
        <f>B10</f>
        <v>Man 01</v>
      </c>
      <c r="D10" s="661" t="s">
        <v>253</v>
      </c>
      <c r="E10" s="661" t="s">
        <v>254</v>
      </c>
      <c r="F10" s="748">
        <f>SUM(F11:F15)</f>
        <v>5</v>
      </c>
      <c r="G10" s="748">
        <f t="shared" ref="G10:R10" si="0">SUM(G11:G15)</f>
        <v>5</v>
      </c>
      <c r="H10" s="748">
        <f t="shared" si="0"/>
        <v>5</v>
      </c>
      <c r="I10" s="748">
        <f t="shared" si="0"/>
        <v>5</v>
      </c>
      <c r="J10" s="748">
        <f t="shared" si="0"/>
        <v>5</v>
      </c>
      <c r="K10" s="748">
        <f t="shared" si="0"/>
        <v>5</v>
      </c>
      <c r="L10" s="748">
        <f t="shared" si="0"/>
        <v>5</v>
      </c>
      <c r="M10" s="748">
        <f t="shared" si="0"/>
        <v>5</v>
      </c>
      <c r="N10" s="748">
        <f t="shared" si="0"/>
        <v>5</v>
      </c>
      <c r="O10" s="748">
        <f t="shared" si="0"/>
        <v>5</v>
      </c>
      <c r="P10" s="748">
        <f t="shared" si="0"/>
        <v>5</v>
      </c>
      <c r="Q10" s="748">
        <f t="shared" ref="Q10" si="1">SUM(Q11:Q15)</f>
        <v>5</v>
      </c>
      <c r="R10" s="748">
        <f t="shared" si="0"/>
        <v>5</v>
      </c>
      <c r="S10" s="518"/>
      <c r="T10" s="734">
        <f t="shared" ref="T10:T36" si="2">HLOOKUP($E$6,$F$9:$R$231,$A10,FALSE)</f>
        <v>5</v>
      </c>
      <c r="U10" s="137"/>
      <c r="V10" s="35"/>
      <c r="W10" s="35"/>
      <c r="X10" s="138">
        <f>'Manuell filtrering og justering'!E7</f>
        <v>0</v>
      </c>
      <c r="Y10" s="139"/>
      <c r="Z10" s="909">
        <f t="shared" ref="Z10" si="3">SUM(Z11:Z15)</f>
        <v>6</v>
      </c>
      <c r="AA10" s="901">
        <f>IF(SUM(U10:Y10)&gt;T10,T10,SUM(U10:Y10))</f>
        <v>0</v>
      </c>
      <c r="AB10" s="905">
        <f>SUM(AB11:AB15)</f>
        <v>5</v>
      </c>
      <c r="AD10" s="736">
        <f t="shared" ref="AD10:AD33" si="4">(Man_Weight/Man_Credits)*AB10</f>
        <v>3.0952380952380953E-2</v>
      </c>
      <c r="AE10" s="736">
        <f>SUM(AE11:AE15)</f>
        <v>0</v>
      </c>
      <c r="AF10" s="736">
        <f>SUM(AF11:AF15)</f>
        <v>0</v>
      </c>
      <c r="AG10" s="736">
        <f>SUM(AG11:AG15)</f>
        <v>0</v>
      </c>
      <c r="AI10" s="737">
        <f t="shared" ref="AI10:AK10" si="5">SUM(AI11:AI15)</f>
        <v>0</v>
      </c>
      <c r="AJ10" s="737">
        <f t="shared" si="5"/>
        <v>0</v>
      </c>
      <c r="AK10" s="737">
        <f t="shared" si="5"/>
        <v>0</v>
      </c>
      <c r="AM10" s="143"/>
      <c r="AN10" s="241"/>
      <c r="AO10" s="241"/>
      <c r="AP10" s="150"/>
      <c r="AQ10" s="155"/>
      <c r="AS10" s="242"/>
      <c r="AT10" s="150"/>
      <c r="AU10" s="150"/>
      <c r="AV10" s="150"/>
      <c r="AW10" s="155"/>
      <c r="AX10" s="116"/>
      <c r="AY10" s="144"/>
      <c r="AZ10" s="145"/>
      <c r="BA10" s="145"/>
      <c r="BB10" s="145"/>
      <c r="BC10" s="146"/>
      <c r="BD10" s="144">
        <f>IF(BC10=0,9,IF(AI10&gt;=BC10,5,IF(AI10&gt;=BB10,4,IF(AI10&gt;=BA10,3,IF(AI10&gt;=AZ10,2,IF(AI10&lt;AY10,0,1))))))</f>
        <v>9</v>
      </c>
      <c r="BE10" s="147" t="str">
        <f t="shared" ref="BE10:BE35" si="6">VLOOKUP(BD10,$BO$284:$BT$290,6,FALSE)</f>
        <v>N/A</v>
      </c>
      <c r="BF10" s="148"/>
      <c r="BG10" s="144">
        <f t="shared" ref="BG10:BG35" si="7">IF(BC10=0,9,IF(AJ10&gt;=BC10,5,IF(AJ10&gt;=BB10,4,IF(AJ10&gt;=BA10,3,IF(AJ10&gt;=AZ10,2,IF(AJ10&lt;AY10,0,1))))))</f>
        <v>9</v>
      </c>
      <c r="BH10" s="147" t="str">
        <f t="shared" ref="BH10:BH35" si="8">VLOOKUP(BG10,$BO$284:$BT$290,6,FALSE)</f>
        <v>N/A</v>
      </c>
      <c r="BI10" s="148"/>
      <c r="BJ10" s="144">
        <f>IF(BC10=0,9,IF(AK10&gt;=BC10,5,IF(AK10&gt;=BB10,4,IF(AK10&gt;=BA10,3,IF(AK10&gt;=AZ10,2,IF(AK10&lt;AY10,0,1))))))</f>
        <v>9</v>
      </c>
      <c r="BK10" s="147" t="str">
        <f t="shared" ref="BK10:BK35" si="9">VLOOKUP(BJ10,$BO$284:$BT$290,6,FALSE)</f>
        <v>N/A</v>
      </c>
      <c r="BL10" s="148"/>
      <c r="BO10" s="35"/>
      <c r="BP10" s="35"/>
      <c r="BQ10" s="35" t="str">
        <f>IF(BO10&lt;&gt;"",BO10,IF(BP10&lt;&gt;"",BP10,""))</f>
        <v/>
      </c>
      <c r="BR10" s="35">
        <f>IF(BQ10="",9,(IF(AI10&gt;=BQ10,5,0)))</f>
        <v>9</v>
      </c>
      <c r="BS10" s="35">
        <f>IF(BQ10="",9,(IF(AJ10&gt;=BQ10,5,0)))</f>
        <v>9</v>
      </c>
      <c r="BT10" s="35">
        <f>IF(BQ10="",9,(IF(AK10&gt;=BQ10,5,0)))</f>
        <v>9</v>
      </c>
      <c r="BW10" s="37" t="str">
        <f>D10</f>
        <v>Man 01</v>
      </c>
      <c r="BX10" s="37" t="str">
        <f>IFERROR(VLOOKUP($E10,'Pre-Assessment Estimator'!$E$11:$AB$227,'Pre-Assessment Estimator'!AB$2,FALSE),"")</f>
        <v>No</v>
      </c>
      <c r="BY10" s="240">
        <f>IFERROR(VLOOKUP($E10,'Pre-Assessment Estimator'!$E$11:$AI$227,'Pre-Assessment Estimator'!AI$2,FALSE),"")</f>
        <v>0</v>
      </c>
      <c r="BZ10" s="240">
        <f>IFERROR(VLOOKUP($BX10,$E$293:$H$326,F$291,FALSE),"")</f>
        <v>1</v>
      </c>
      <c r="CA10" s="240">
        <f>IFERROR(VLOOKUP($BX10,$E$293:$H$326,G$291,FALSE),"")</f>
        <v>0</v>
      </c>
      <c r="CB10" s="240"/>
      <c r="CC10" t="str">
        <f>IFERROR(VLOOKUP($BX10,$E$293:$H$326,I$291,FALSE),"")</f>
        <v/>
      </c>
    </row>
    <row r="11" spans="1:90">
      <c r="A11">
        <v>3</v>
      </c>
      <c r="B11" t="str">
        <f t="shared" ref="B11:B15" si="10">$D$10&amp;D11</f>
        <v>Man 01a</v>
      </c>
      <c r="C11" t="str">
        <f>C10</f>
        <v>Man 01</v>
      </c>
      <c r="D11" s="35" t="s">
        <v>729</v>
      </c>
      <c r="E11" s="857" t="s">
        <v>728</v>
      </c>
      <c r="F11" s="607">
        <v>1</v>
      </c>
      <c r="G11" s="607">
        <v>1</v>
      </c>
      <c r="H11" s="607">
        <v>1</v>
      </c>
      <c r="I11" s="607">
        <v>1</v>
      </c>
      <c r="J11" s="607">
        <v>1</v>
      </c>
      <c r="K11" s="607">
        <v>1</v>
      </c>
      <c r="L11" s="607">
        <v>1</v>
      </c>
      <c r="M11" s="607">
        <v>1</v>
      </c>
      <c r="N11" s="607">
        <v>1</v>
      </c>
      <c r="O11" s="607">
        <v>1</v>
      </c>
      <c r="P11" s="607">
        <v>1</v>
      </c>
      <c r="Q11" s="607">
        <v>1</v>
      </c>
      <c r="R11" s="607">
        <v>1</v>
      </c>
      <c r="S11" s="518"/>
      <c r="T11" s="136">
        <f t="shared" si="2"/>
        <v>1</v>
      </c>
      <c r="U11" s="137"/>
      <c r="V11" s="35"/>
      <c r="W11" s="35"/>
      <c r="X11" s="138"/>
      <c r="Y11" s="139"/>
      <c r="Z11" s="894">
        <f>VLOOKUP(B11,'Manuell filtrering og justering'!$A$7:$H$107,'Manuell filtrering og justering'!$H$1,FALSE)</f>
        <v>1</v>
      </c>
      <c r="AA11" s="901">
        <f t="shared" ref="AA11:AA35" si="11">IF(SUM(U11:Y11)&gt;T11,T11,SUM(U11:Y11))</f>
        <v>0</v>
      </c>
      <c r="AB11" s="154">
        <f>IF($AC$5='Manuell filtrering og justering'!$J$2,Z11,(T11-AA11))</f>
        <v>1</v>
      </c>
      <c r="AD11" s="141">
        <f t="shared" si="4"/>
        <v>6.1904761904761907E-3</v>
      </c>
      <c r="AE11" s="141">
        <f>IF(AB11=0,0,(AD11/AB11)*AI11)</f>
        <v>0</v>
      </c>
      <c r="AF11" s="141">
        <f>IF(AB11=0,0,(AD11/AB11)*AJ11)</f>
        <v>0</v>
      </c>
      <c r="AG11" s="141">
        <f>IF(AB11=0,0,(AD11/AB11)*AK11)</f>
        <v>0</v>
      </c>
      <c r="AI11" s="142">
        <f>IF(VLOOKUP(E11,'Pre-Assessment Estimator'!$E$11:$Z$227,'Pre-Assessment Estimator'!$G$2,FALSE)&gt;AB11,AB11,VLOOKUP(E11,'Pre-Assessment Estimator'!$E$11:$Z$227,'Pre-Assessment Estimator'!$G$2,FALSE))</f>
        <v>0</v>
      </c>
      <c r="AJ11" s="142">
        <f>IF(VLOOKUP(E11,'Pre-Assessment Estimator'!$E$11:$Z$227,'Pre-Assessment Estimator'!$N$2,FALSE)&gt;AB11,AB11,VLOOKUP(E11,'Pre-Assessment Estimator'!$E$11:$Z$227,'Pre-Assessment Estimator'!$N$2,FALSE))</f>
        <v>0</v>
      </c>
      <c r="AK11" s="142">
        <f>IF(VLOOKUP(E11,'Pre-Assessment Estimator'!$E$11:$Z$227,'Pre-Assessment Estimator'!$U$2,FALSE)&gt;AB11,AB11,VLOOKUP(E11,'Pre-Assessment Estimator'!$E$11:$Z$227,'Pre-Assessment Estimator'!$U$2,FALSE))</f>
        <v>0</v>
      </c>
      <c r="AM11" s="655"/>
      <c r="AN11" s="656"/>
      <c r="AO11" s="656"/>
      <c r="AP11" s="150">
        <v>1</v>
      </c>
      <c r="AQ11" s="155">
        <v>1</v>
      </c>
      <c r="AS11" s="242"/>
      <c r="AT11" s="150"/>
      <c r="AU11" s="150"/>
      <c r="AV11" s="150">
        <v>1</v>
      </c>
      <c r="AW11" s="155">
        <v>1</v>
      </c>
      <c r="AX11" s="116"/>
      <c r="AY11" s="657"/>
      <c r="AZ11" s="658"/>
      <c r="BA11" s="658"/>
      <c r="BB11" s="152">
        <f>IF($E$6=$H$9,AV11,AP11)</f>
        <v>1</v>
      </c>
      <c r="BC11" s="152">
        <f>IF($E$6=$H$9,AW11,AQ11)</f>
        <v>1</v>
      </c>
      <c r="BD11" s="151">
        <f t="shared" ref="BD11:BD15" si="12">IF(BC11=0,9,IF(AI11&gt;=BC11,5,IF(AI11&gt;=BB11,4,IF(AI11&gt;=BA11,3,IF(AI11&gt;=AZ11,2,IF(AI11&lt;AY11,0,1))))))</f>
        <v>3</v>
      </c>
      <c r="BE11" s="37" t="str">
        <f t="shared" si="6"/>
        <v>Very Good</v>
      </c>
      <c r="BF11" s="154"/>
      <c r="BG11" s="151">
        <f t="shared" ref="BG11:BG15" si="13">IF(BC11=0,9,IF(AJ11&gt;=BC11,5,IF(AJ11&gt;=BB11,4,IF(AJ11&gt;=BA11,3,IF(AJ11&gt;=AZ11,2,IF(AJ11&lt;AY11,0,1))))))</f>
        <v>3</v>
      </c>
      <c r="BH11" s="37" t="str">
        <f t="shared" si="8"/>
        <v>Very Good</v>
      </c>
      <c r="BI11" s="154"/>
      <c r="BJ11" s="151">
        <f t="shared" ref="BJ11:BJ15" si="14">IF(BC11=0,9,IF(AK11&gt;=BC11,5,IF(AK11&gt;=BB11,4,IF(AK11&gt;=BA11,3,IF(AK11&gt;=AZ11,2,IF(AK11&lt;AY11,0,1))))))</f>
        <v>3</v>
      </c>
      <c r="BK11" s="37" t="str">
        <f t="shared" si="9"/>
        <v>Very Good</v>
      </c>
      <c r="BL11" s="659"/>
      <c r="BO11" s="35"/>
      <c r="BP11" s="35"/>
      <c r="BQ11" s="35" t="str">
        <f t="shared" ref="BQ11:BQ74" si="15">IF(BO11&lt;&gt;"",BO11,IF(BP11&lt;&gt;"",BP11,""))</f>
        <v/>
      </c>
      <c r="BR11" s="35">
        <f t="shared" ref="BR11" si="16">IF(BQ11="",9,(IF(AI11&gt;=BQ11,5,0)))</f>
        <v>9</v>
      </c>
      <c r="BS11" s="35">
        <f t="shared" ref="BS11:BS30" si="17">IF(BQ11="",9,(IF(AJ11&gt;=BQ11,5,0)))</f>
        <v>9</v>
      </c>
      <c r="BT11" s="35">
        <f t="shared" ref="BT11:BT30" si="18">IF(BQ11="",9,(IF(AK11&gt;=BQ11,5,0)))</f>
        <v>9</v>
      </c>
      <c r="BW11" s="37"/>
      <c r="BX11" s="37"/>
      <c r="BY11" s="240"/>
      <c r="BZ11" s="240"/>
      <c r="CA11" s="240"/>
      <c r="CB11" s="240"/>
    </row>
    <row r="12" spans="1:90">
      <c r="A12">
        <v>4</v>
      </c>
      <c r="B12" t="str">
        <f t="shared" si="10"/>
        <v>Man 01b</v>
      </c>
      <c r="C12" t="str">
        <f t="shared" ref="C12:C74" si="19">C11</f>
        <v>Man 01</v>
      </c>
      <c r="D12" s="35" t="s">
        <v>730</v>
      </c>
      <c r="E12" s="971" t="s">
        <v>889</v>
      </c>
      <c r="F12" s="607">
        <v>1</v>
      </c>
      <c r="G12" s="607">
        <v>1</v>
      </c>
      <c r="H12" s="607">
        <v>1</v>
      </c>
      <c r="I12" s="607">
        <v>1</v>
      </c>
      <c r="J12" s="607">
        <v>1</v>
      </c>
      <c r="K12" s="607">
        <v>1</v>
      </c>
      <c r="L12" s="607">
        <v>1</v>
      </c>
      <c r="M12" s="607">
        <v>1</v>
      </c>
      <c r="N12" s="607">
        <v>1</v>
      </c>
      <c r="O12" s="607">
        <v>1</v>
      </c>
      <c r="P12" s="607">
        <v>1</v>
      </c>
      <c r="Q12" s="607">
        <v>1</v>
      </c>
      <c r="R12" s="607">
        <v>1</v>
      </c>
      <c r="S12" s="518"/>
      <c r="T12" s="136">
        <f t="shared" si="2"/>
        <v>1</v>
      </c>
      <c r="U12" s="137"/>
      <c r="V12" s="35"/>
      <c r="W12" s="35"/>
      <c r="X12" s="138"/>
      <c r="Y12" s="139"/>
      <c r="Z12" s="894">
        <f>VLOOKUP(B12,'Manuell filtrering og justering'!$A$7:$H$107,'Manuell filtrering og justering'!$H$1,FALSE)</f>
        <v>1</v>
      </c>
      <c r="AA12" s="901">
        <f t="shared" si="11"/>
        <v>0</v>
      </c>
      <c r="AB12" s="154">
        <f>IF($AC$5='Manuell filtrering og justering'!$J$2,Z12,(T12-AA12))</f>
        <v>1</v>
      </c>
      <c r="AD12" s="141">
        <f t="shared" si="4"/>
        <v>6.1904761904761907E-3</v>
      </c>
      <c r="AE12" s="141">
        <f>IF(AB12=0,0,(AD12/AB12)*AI12)</f>
        <v>0</v>
      </c>
      <c r="AF12" s="141">
        <f t="shared" ref="AF12:AF33" si="20">IF(AB12=0,0,(AD12/AB12)*AJ12)</f>
        <v>0</v>
      </c>
      <c r="AG12" s="141">
        <f t="shared" ref="AG12:AG33" si="21">IF(AB12=0,0,(AD12/AB12)*AK12)</f>
        <v>0</v>
      </c>
      <c r="AI12" s="142">
        <f>IF(VLOOKUP(E12,'Pre-Assessment Estimator'!$E$11:$Z$227,'Pre-Assessment Estimator'!$G$2,FALSE)&gt;AB12,AB12,VLOOKUP(E12,'Pre-Assessment Estimator'!$E$11:$Z$227,'Pre-Assessment Estimator'!$G$2,FALSE))</f>
        <v>0</v>
      </c>
      <c r="AJ12" s="142">
        <f>IF(VLOOKUP(E12,'Pre-Assessment Estimator'!$E$11:$Z$227,'Pre-Assessment Estimator'!$N$2,FALSE)&gt;AB12,AB12,VLOOKUP(E12,'Pre-Assessment Estimator'!$E$11:$Z$227,'Pre-Assessment Estimator'!$N$2,FALSE))</f>
        <v>0</v>
      </c>
      <c r="AK12" s="142">
        <f>IF(VLOOKUP(E12,'Pre-Assessment Estimator'!$E$11:$Z$227,'Pre-Assessment Estimator'!$U$2,FALSE)&gt;AB12,AB12,VLOOKUP(E12,'Pre-Assessment Estimator'!$E$11:$Z$227,'Pre-Assessment Estimator'!$U$2,FALSE))</f>
        <v>0</v>
      </c>
      <c r="AM12" s="655"/>
      <c r="AN12" s="656"/>
      <c r="AO12" s="656"/>
      <c r="AP12" s="150">
        <v>1</v>
      </c>
      <c r="AQ12" s="155">
        <v>1</v>
      </c>
      <c r="AS12" s="242"/>
      <c r="AT12" s="150"/>
      <c r="AU12" s="150"/>
      <c r="AV12" s="150">
        <v>1</v>
      </c>
      <c r="AW12" s="155">
        <v>1</v>
      </c>
      <c r="AX12" s="116"/>
      <c r="AY12" s="657"/>
      <c r="AZ12" s="658"/>
      <c r="BA12" s="658"/>
      <c r="BB12" s="152">
        <f>IF($E$6=$H$9,AV12,AP12)</f>
        <v>1</v>
      </c>
      <c r="BC12" s="152">
        <f>IF($E$6=$H$9,AW12,AQ12)</f>
        <v>1</v>
      </c>
      <c r="BD12" s="151">
        <f t="shared" si="12"/>
        <v>3</v>
      </c>
      <c r="BE12" s="37" t="str">
        <f t="shared" si="6"/>
        <v>Very Good</v>
      </c>
      <c r="BF12" s="154"/>
      <c r="BG12" s="151">
        <f t="shared" si="13"/>
        <v>3</v>
      </c>
      <c r="BH12" s="37" t="str">
        <f t="shared" si="8"/>
        <v>Very Good</v>
      </c>
      <c r="BI12" s="154"/>
      <c r="BJ12" s="151">
        <f t="shared" si="14"/>
        <v>3</v>
      </c>
      <c r="BK12" s="37" t="str">
        <f t="shared" si="9"/>
        <v>Very Good</v>
      </c>
      <c r="BL12" s="659"/>
      <c r="BO12" s="35">
        <v>1</v>
      </c>
      <c r="BP12" s="35"/>
      <c r="BQ12" s="35">
        <f t="shared" si="15"/>
        <v>1</v>
      </c>
      <c r="BR12" s="35">
        <f>IF(BQ12="",9,(IF(AI12&gt;=BQ12,5,0)))</f>
        <v>0</v>
      </c>
      <c r="BS12" s="35">
        <f t="shared" si="17"/>
        <v>0</v>
      </c>
      <c r="BT12" s="35">
        <f t="shared" si="18"/>
        <v>0</v>
      </c>
      <c r="BW12" s="37"/>
      <c r="BX12" s="37"/>
      <c r="BY12" s="240"/>
      <c r="BZ12" s="240"/>
      <c r="CA12" s="240"/>
      <c r="CB12" s="240"/>
    </row>
    <row r="13" spans="1:90">
      <c r="A13">
        <v>5</v>
      </c>
      <c r="B13" t="str">
        <f t="shared" si="10"/>
        <v>Man 01c</v>
      </c>
      <c r="C13" t="str">
        <f t="shared" si="19"/>
        <v>Man 01</v>
      </c>
      <c r="D13" s="35" t="s">
        <v>731</v>
      </c>
      <c r="E13" s="857" t="s">
        <v>559</v>
      </c>
      <c r="F13" s="607">
        <v>1</v>
      </c>
      <c r="G13" s="607">
        <v>1</v>
      </c>
      <c r="H13" s="607">
        <v>1</v>
      </c>
      <c r="I13" s="607">
        <v>1</v>
      </c>
      <c r="J13" s="607">
        <v>1</v>
      </c>
      <c r="K13" s="607">
        <v>1</v>
      </c>
      <c r="L13" s="607">
        <v>1</v>
      </c>
      <c r="M13" s="607">
        <v>1</v>
      </c>
      <c r="N13" s="607">
        <v>1</v>
      </c>
      <c r="O13" s="607">
        <v>1</v>
      </c>
      <c r="P13" s="607">
        <v>1</v>
      </c>
      <c r="Q13" s="607">
        <v>1</v>
      </c>
      <c r="R13" s="607">
        <v>1</v>
      </c>
      <c r="S13" s="518"/>
      <c r="T13" s="136">
        <f t="shared" si="2"/>
        <v>1</v>
      </c>
      <c r="U13" s="137"/>
      <c r="V13" s="35"/>
      <c r="W13" s="35"/>
      <c r="X13" s="138"/>
      <c r="Y13" s="139"/>
      <c r="Z13" s="894">
        <f>VLOOKUP(B13,'Manuell filtrering og justering'!$A$7:$H$107,'Manuell filtrering og justering'!$H$1,FALSE)</f>
        <v>1</v>
      </c>
      <c r="AA13" s="901">
        <f t="shared" si="11"/>
        <v>0</v>
      </c>
      <c r="AB13" s="154">
        <f>IF($AC$5='Manuell filtrering og justering'!$J$2,Z13,(T13-AA13))</f>
        <v>1</v>
      </c>
      <c r="AD13" s="141">
        <f t="shared" si="4"/>
        <v>6.1904761904761907E-3</v>
      </c>
      <c r="AE13" s="141">
        <f>IF(AB13=0,0,(AD13/AB13)*AI13)</f>
        <v>0</v>
      </c>
      <c r="AF13" s="141">
        <f t="shared" si="20"/>
        <v>0</v>
      </c>
      <c r="AG13" s="141">
        <f t="shared" si="21"/>
        <v>0</v>
      </c>
      <c r="AI13" s="142">
        <f>IF(VLOOKUP(E13,'Pre-Assessment Estimator'!$E$11:$Z$227,'Pre-Assessment Estimator'!$G$2,FALSE)&gt;AB13,AB13,VLOOKUP(E13,'Pre-Assessment Estimator'!$E$11:$Z$227,'Pre-Assessment Estimator'!$G$2,FALSE))</f>
        <v>0</v>
      </c>
      <c r="AJ13" s="142">
        <f>IF(VLOOKUP(E13,'Pre-Assessment Estimator'!$E$11:$Z$227,'Pre-Assessment Estimator'!$N$2,FALSE)&gt;AB13,AB13,VLOOKUP(E13,'Pre-Assessment Estimator'!$E$11:$Z$227,'Pre-Assessment Estimator'!$N$2,FALSE))</f>
        <v>0</v>
      </c>
      <c r="AK13" s="142">
        <f>IF(VLOOKUP(E13,'Pre-Assessment Estimator'!$E$11:$Z$227,'Pre-Assessment Estimator'!$U$2,FALSE)&gt;AB13,AB13,VLOOKUP(E13,'Pre-Assessment Estimator'!$E$11:$Z$227,'Pre-Assessment Estimator'!$U$2,FALSE))</f>
        <v>0</v>
      </c>
      <c r="AM13" s="655"/>
      <c r="AN13" s="656"/>
      <c r="AO13" s="656"/>
      <c r="AP13" s="150"/>
      <c r="AQ13" s="155"/>
      <c r="AS13" s="242"/>
      <c r="AT13" s="150"/>
      <c r="AU13" s="150"/>
      <c r="AV13" s="150"/>
      <c r="AW13" s="155"/>
      <c r="AX13" s="116"/>
      <c r="AY13" s="657"/>
      <c r="AZ13" s="658"/>
      <c r="BA13" s="658"/>
      <c r="BB13" s="658"/>
      <c r="BC13" s="146"/>
      <c r="BD13" s="151">
        <f t="shared" si="12"/>
        <v>9</v>
      </c>
      <c r="BE13" s="37" t="str">
        <f t="shared" si="6"/>
        <v>N/A</v>
      </c>
      <c r="BF13" s="154"/>
      <c r="BG13" s="151">
        <f t="shared" si="13"/>
        <v>9</v>
      </c>
      <c r="BH13" s="37" t="str">
        <f t="shared" si="8"/>
        <v>N/A</v>
      </c>
      <c r="BI13" s="154"/>
      <c r="BJ13" s="151">
        <f t="shared" si="14"/>
        <v>9</v>
      </c>
      <c r="BK13" s="37" t="str">
        <f t="shared" si="9"/>
        <v>N/A</v>
      </c>
      <c r="BL13" s="659"/>
      <c r="BO13" s="35"/>
      <c r="BP13" s="35"/>
      <c r="BQ13" s="35" t="str">
        <f t="shared" si="15"/>
        <v/>
      </c>
      <c r="BR13" s="35">
        <f t="shared" ref="BR13:BR30" si="22">IF(BQ13="",9,(IF(AI13&gt;=BQ13,5,0)))</f>
        <v>9</v>
      </c>
      <c r="BS13" s="35">
        <f t="shared" si="17"/>
        <v>9</v>
      </c>
      <c r="BT13" s="35">
        <f t="shared" si="18"/>
        <v>9</v>
      </c>
      <c r="BW13" s="37"/>
      <c r="BX13" s="37"/>
      <c r="BY13" s="240"/>
      <c r="BZ13" s="240"/>
      <c r="CA13" s="240"/>
      <c r="CB13" s="240"/>
    </row>
    <row r="14" spans="1:90">
      <c r="A14">
        <v>6</v>
      </c>
      <c r="B14" t="str">
        <f t="shared" si="10"/>
        <v>Man 01d</v>
      </c>
      <c r="C14" t="str">
        <f t="shared" si="19"/>
        <v>Man 01</v>
      </c>
      <c r="D14" s="35" t="s">
        <v>732</v>
      </c>
      <c r="E14" s="857" t="s">
        <v>561</v>
      </c>
      <c r="F14" s="607">
        <v>1</v>
      </c>
      <c r="G14" s="607">
        <v>1</v>
      </c>
      <c r="H14" s="607">
        <v>1</v>
      </c>
      <c r="I14" s="607">
        <v>1</v>
      </c>
      <c r="J14" s="607">
        <v>1</v>
      </c>
      <c r="K14" s="607">
        <v>1</v>
      </c>
      <c r="L14" s="607">
        <v>1</v>
      </c>
      <c r="M14" s="607">
        <v>1</v>
      </c>
      <c r="N14" s="607">
        <v>1</v>
      </c>
      <c r="O14" s="607">
        <v>1</v>
      </c>
      <c r="P14" s="607">
        <v>1</v>
      </c>
      <c r="Q14" s="607">
        <v>1</v>
      </c>
      <c r="R14" s="607">
        <v>1</v>
      </c>
      <c r="S14" s="518"/>
      <c r="T14" s="136">
        <f t="shared" si="2"/>
        <v>1</v>
      </c>
      <c r="U14" s="137"/>
      <c r="V14" s="35"/>
      <c r="W14" s="35"/>
      <c r="X14" s="138"/>
      <c r="Y14" s="139"/>
      <c r="Z14" s="894">
        <f>VLOOKUP(B14,'Manuell filtrering og justering'!$A$7:$H$107,'Manuell filtrering og justering'!$H$1,FALSE)</f>
        <v>1</v>
      </c>
      <c r="AA14" s="901">
        <f t="shared" si="11"/>
        <v>0</v>
      </c>
      <c r="AB14" s="154">
        <f>IF($AC$5='Manuell filtrering og justering'!$J$2,Z14,(T14-AA14))</f>
        <v>1</v>
      </c>
      <c r="AD14" s="141">
        <f t="shared" si="4"/>
        <v>6.1904761904761907E-3</v>
      </c>
      <c r="AE14" s="141">
        <f>IF(AB14=0,0,(AD14/AB14)*AI14)</f>
        <v>0</v>
      </c>
      <c r="AF14" s="141">
        <f t="shared" si="20"/>
        <v>0</v>
      </c>
      <c r="AG14" s="141">
        <f t="shared" si="21"/>
        <v>0</v>
      </c>
      <c r="AI14" s="142">
        <f>IF(VLOOKUP(E14,'Pre-Assessment Estimator'!$E$11:$Z$227,'Pre-Assessment Estimator'!$G$2,FALSE)&gt;AB14,AB14,VLOOKUP(E14,'Pre-Assessment Estimator'!$E$11:$Z$227,'Pre-Assessment Estimator'!$G$2,FALSE))</f>
        <v>0</v>
      </c>
      <c r="AJ14" s="142">
        <f>IF(VLOOKUP(E14,'Pre-Assessment Estimator'!$E$11:$Z$227,'Pre-Assessment Estimator'!$N$2,FALSE)&gt;AB14,AB14,VLOOKUP(E14,'Pre-Assessment Estimator'!$E$11:$Z$227,'Pre-Assessment Estimator'!$N$2,FALSE))</f>
        <v>0</v>
      </c>
      <c r="AK14" s="142">
        <f>IF(VLOOKUP(E14,'Pre-Assessment Estimator'!$E$11:$Z$227,'Pre-Assessment Estimator'!$U$2,FALSE)&gt;AB14,AB14,VLOOKUP(E14,'Pre-Assessment Estimator'!$E$11:$Z$227,'Pre-Assessment Estimator'!$U$2,FALSE))</f>
        <v>0</v>
      </c>
      <c r="AM14" s="655"/>
      <c r="AN14" s="656"/>
      <c r="AO14" s="656"/>
      <c r="AP14" s="150"/>
      <c r="AQ14" s="155"/>
      <c r="AS14" s="242"/>
      <c r="AT14" s="150"/>
      <c r="AU14" s="150"/>
      <c r="AV14" s="150"/>
      <c r="AW14" s="155"/>
      <c r="AX14" s="116"/>
      <c r="AY14" s="657"/>
      <c r="AZ14" s="658"/>
      <c r="BA14" s="658"/>
      <c r="BB14" s="658"/>
      <c r="BC14" s="146"/>
      <c r="BD14" s="151">
        <f t="shared" si="12"/>
        <v>9</v>
      </c>
      <c r="BE14" s="37" t="str">
        <f t="shared" si="6"/>
        <v>N/A</v>
      </c>
      <c r="BF14" s="154"/>
      <c r="BG14" s="151">
        <f t="shared" si="13"/>
        <v>9</v>
      </c>
      <c r="BH14" s="37" t="str">
        <f t="shared" si="8"/>
        <v>N/A</v>
      </c>
      <c r="BI14" s="154"/>
      <c r="BJ14" s="151">
        <f t="shared" si="14"/>
        <v>9</v>
      </c>
      <c r="BK14" s="37" t="str">
        <f t="shared" si="9"/>
        <v>N/A</v>
      </c>
      <c r="BL14" s="659"/>
      <c r="BO14" s="35"/>
      <c r="BP14" s="35"/>
      <c r="BQ14" s="35" t="str">
        <f t="shared" si="15"/>
        <v/>
      </c>
      <c r="BR14" s="35">
        <f t="shared" si="22"/>
        <v>9</v>
      </c>
      <c r="BS14" s="35">
        <f t="shared" si="17"/>
        <v>9</v>
      </c>
      <c r="BT14" s="35">
        <f t="shared" si="18"/>
        <v>9</v>
      </c>
      <c r="BW14" s="37"/>
      <c r="BX14" s="37"/>
      <c r="BY14" s="240"/>
      <c r="BZ14" s="240"/>
      <c r="CA14" s="240"/>
      <c r="CB14" s="240"/>
    </row>
    <row r="15" spans="1:90">
      <c r="A15">
        <v>7</v>
      </c>
      <c r="B15" t="str">
        <f t="shared" si="10"/>
        <v>Man 01e</v>
      </c>
      <c r="C15" t="str">
        <f t="shared" si="19"/>
        <v>Man 01</v>
      </c>
      <c r="D15" s="35" t="s">
        <v>733</v>
      </c>
      <c r="E15" s="857" t="s">
        <v>562</v>
      </c>
      <c r="F15" s="607">
        <v>1</v>
      </c>
      <c r="G15" s="607">
        <v>1</v>
      </c>
      <c r="H15" s="607">
        <v>1</v>
      </c>
      <c r="I15" s="607">
        <v>1</v>
      </c>
      <c r="J15" s="607">
        <v>1</v>
      </c>
      <c r="K15" s="607">
        <v>1</v>
      </c>
      <c r="L15" s="607">
        <v>1</v>
      </c>
      <c r="M15" s="607">
        <v>1</v>
      </c>
      <c r="N15" s="607">
        <v>1</v>
      </c>
      <c r="O15" s="607">
        <v>1</v>
      </c>
      <c r="P15" s="607">
        <v>1</v>
      </c>
      <c r="Q15" s="607">
        <v>1</v>
      </c>
      <c r="R15" s="607">
        <v>1</v>
      </c>
      <c r="S15" s="518"/>
      <c r="T15" s="136">
        <f t="shared" si="2"/>
        <v>1</v>
      </c>
      <c r="U15" s="137"/>
      <c r="V15" s="35"/>
      <c r="W15" s="35"/>
      <c r="X15" s="138"/>
      <c r="Y15" s="139"/>
      <c r="Z15" s="894">
        <f>VLOOKUP(B15,'Manuell filtrering og justering'!$A$7:$H$107,'Manuell filtrering og justering'!$H$1,FALSE)</f>
        <v>2</v>
      </c>
      <c r="AA15" s="901">
        <f t="shared" si="11"/>
        <v>0</v>
      </c>
      <c r="AB15" s="154">
        <f>IF($AC$5='Manuell filtrering og justering'!$J$2,Z15,(T15-AA15))</f>
        <v>1</v>
      </c>
      <c r="AD15" s="141">
        <f t="shared" si="4"/>
        <v>6.1904761904761907E-3</v>
      </c>
      <c r="AE15" s="141">
        <f>IF(AB15=0,0,(AD15/AB15)*AI15)</f>
        <v>0</v>
      </c>
      <c r="AF15" s="141">
        <f t="shared" si="20"/>
        <v>0</v>
      </c>
      <c r="AG15" s="141">
        <f t="shared" si="21"/>
        <v>0</v>
      </c>
      <c r="AI15" s="142">
        <f>IF(VLOOKUP(E15,'Pre-Assessment Estimator'!$E$11:$Z$227,'Pre-Assessment Estimator'!$G$2,FALSE)&gt;AB15,AB15,VLOOKUP(E15,'Pre-Assessment Estimator'!$E$11:$Z$227,'Pre-Assessment Estimator'!$G$2,FALSE))</f>
        <v>0</v>
      </c>
      <c r="AJ15" s="142">
        <f>IF(VLOOKUP(E15,'Pre-Assessment Estimator'!$E$11:$Z$227,'Pre-Assessment Estimator'!$N$2,FALSE)&gt;AB15,AB15,VLOOKUP(E15,'Pre-Assessment Estimator'!$E$11:$Z$227,'Pre-Assessment Estimator'!$N$2,FALSE))</f>
        <v>0</v>
      </c>
      <c r="AK15" s="142">
        <f>IF(VLOOKUP(E15,'Pre-Assessment Estimator'!$E$11:$Z$227,'Pre-Assessment Estimator'!$U$2,FALSE)&gt;AB15,AB15,VLOOKUP(E15,'Pre-Assessment Estimator'!$E$11:$Z$227,'Pre-Assessment Estimator'!$U$2,FALSE))</f>
        <v>0</v>
      </c>
      <c r="AM15" s="789"/>
      <c r="AN15" s="790"/>
      <c r="AO15" s="790"/>
      <c r="AP15" s="787"/>
      <c r="AQ15" s="785"/>
      <c r="AR15" s="112"/>
      <c r="AS15" s="786"/>
      <c r="AT15" s="787"/>
      <c r="AU15" s="787"/>
      <c r="AV15" s="787"/>
      <c r="AW15" s="785"/>
      <c r="AX15" s="116"/>
      <c r="AY15" s="657"/>
      <c r="AZ15" s="658"/>
      <c r="BA15" s="658"/>
      <c r="BB15" s="152"/>
      <c r="BC15" s="152"/>
      <c r="BD15" s="151">
        <f t="shared" si="12"/>
        <v>9</v>
      </c>
      <c r="BE15" s="37" t="str">
        <f t="shared" si="6"/>
        <v>N/A</v>
      </c>
      <c r="BF15" s="154"/>
      <c r="BG15" s="151">
        <f t="shared" si="13"/>
        <v>9</v>
      </c>
      <c r="BH15" s="37" t="str">
        <f t="shared" si="8"/>
        <v>N/A</v>
      </c>
      <c r="BI15" s="154"/>
      <c r="BJ15" s="151">
        <f t="shared" si="14"/>
        <v>9</v>
      </c>
      <c r="BK15" s="37" t="str">
        <f t="shared" si="9"/>
        <v>N/A</v>
      </c>
      <c r="BL15" s="659"/>
      <c r="BO15" s="35"/>
      <c r="BP15" s="35"/>
      <c r="BQ15" s="35" t="str">
        <f t="shared" si="15"/>
        <v/>
      </c>
      <c r="BR15" s="35">
        <f t="shared" si="22"/>
        <v>9</v>
      </c>
      <c r="BS15" s="35">
        <f t="shared" si="17"/>
        <v>9</v>
      </c>
      <c r="BT15" s="35">
        <f t="shared" si="18"/>
        <v>9</v>
      </c>
      <c r="BW15" s="37"/>
      <c r="BX15" s="37"/>
      <c r="BY15" s="240"/>
      <c r="BZ15" s="240"/>
      <c r="CA15" s="240"/>
      <c r="CB15" s="240"/>
    </row>
    <row r="16" spans="1:90">
      <c r="A16">
        <v>8</v>
      </c>
      <c r="B16" s="112" t="str">
        <f>D16</f>
        <v>Man 02</v>
      </c>
      <c r="C16" s="112" t="str">
        <f>B16</f>
        <v>Man 02</v>
      </c>
      <c r="D16" s="661" t="s">
        <v>260</v>
      </c>
      <c r="E16" s="661" t="s">
        <v>261</v>
      </c>
      <c r="F16" s="748">
        <f>SUM(F17:F18)</f>
        <v>3</v>
      </c>
      <c r="G16" s="748">
        <f t="shared" ref="G16:R16" si="23">SUM(G17:G18)</f>
        <v>3</v>
      </c>
      <c r="H16" s="748">
        <f t="shared" si="23"/>
        <v>3</v>
      </c>
      <c r="I16" s="748">
        <f t="shared" si="23"/>
        <v>3</v>
      </c>
      <c r="J16" s="748">
        <f t="shared" si="23"/>
        <v>3</v>
      </c>
      <c r="K16" s="748">
        <f t="shared" si="23"/>
        <v>3</v>
      </c>
      <c r="L16" s="748">
        <f t="shared" si="23"/>
        <v>3</v>
      </c>
      <c r="M16" s="748">
        <f t="shared" si="23"/>
        <v>3</v>
      </c>
      <c r="N16" s="748">
        <f t="shared" si="23"/>
        <v>3</v>
      </c>
      <c r="O16" s="748">
        <f t="shared" si="23"/>
        <v>3</v>
      </c>
      <c r="P16" s="748">
        <f t="shared" si="23"/>
        <v>3</v>
      </c>
      <c r="Q16" s="748">
        <f t="shared" ref="Q16" si="24">SUM(Q17:Q18)</f>
        <v>3</v>
      </c>
      <c r="R16" s="748">
        <f t="shared" si="23"/>
        <v>3</v>
      </c>
      <c r="S16" s="518"/>
      <c r="T16" s="734">
        <f t="shared" si="2"/>
        <v>3</v>
      </c>
      <c r="U16" s="137"/>
      <c r="V16" s="35"/>
      <c r="W16" s="35"/>
      <c r="X16" s="138">
        <f>'Manuell filtrering og justering'!E8</f>
        <v>0</v>
      </c>
      <c r="Y16" s="139"/>
      <c r="Z16" s="909">
        <f t="shared" ref="Z16" si="25">SUM(Z17:Z18)</f>
        <v>3</v>
      </c>
      <c r="AA16" s="901">
        <f t="shared" si="11"/>
        <v>0</v>
      </c>
      <c r="AB16" s="905">
        <f t="shared" ref="AB16" si="26">SUM(AB17:AB18)</f>
        <v>3</v>
      </c>
      <c r="AD16" s="736">
        <f t="shared" si="4"/>
        <v>1.8571428571428572E-2</v>
      </c>
      <c r="AE16" s="736">
        <f>SUM(AE17:AE18)</f>
        <v>0</v>
      </c>
      <c r="AF16" s="736">
        <f>SUM(AF17:AF18)</f>
        <v>0</v>
      </c>
      <c r="AG16" s="736">
        <f>SUM(AG17:AG18)</f>
        <v>0</v>
      </c>
      <c r="AI16" s="737">
        <f t="shared" ref="AI16:AK16" si="27">SUM(AI17:AI18)</f>
        <v>0</v>
      </c>
      <c r="AJ16" s="737">
        <f t="shared" si="27"/>
        <v>0</v>
      </c>
      <c r="AK16" s="737">
        <f t="shared" si="27"/>
        <v>0</v>
      </c>
      <c r="AM16" s="786"/>
      <c r="AN16" s="787"/>
      <c r="AO16" s="787"/>
      <c r="AP16" s="787"/>
      <c r="AQ16" s="785"/>
      <c r="AR16" s="112"/>
      <c r="AS16" s="786"/>
      <c r="AT16" s="787"/>
      <c r="AU16" s="787"/>
      <c r="AV16" s="787"/>
      <c r="AW16" s="785"/>
      <c r="AX16" s="116"/>
      <c r="AY16" s="151"/>
      <c r="AZ16" s="152"/>
      <c r="BA16" s="152"/>
      <c r="BB16" s="152"/>
      <c r="BC16" s="153"/>
      <c r="BD16" s="151">
        <f>IF(BC16=0,9,IF(AI16&gt;=BC16,5,IF(AI16&gt;=BB16,4,IF(AI16&gt;=BA16,3,IF(AI16&gt;=AZ16,2,IF(AI16&lt;AY16,0,1))))))</f>
        <v>9</v>
      </c>
      <c r="BE16" s="37" t="str">
        <f t="shared" si="6"/>
        <v>N/A</v>
      </c>
      <c r="BF16" s="154"/>
      <c r="BG16" s="151">
        <f t="shared" si="7"/>
        <v>9</v>
      </c>
      <c r="BH16" s="37" t="str">
        <f t="shared" si="8"/>
        <v>N/A</v>
      </c>
      <c r="BI16" s="154"/>
      <c r="BJ16" s="151">
        <f t="shared" ref="BJ16:BJ164" si="28">IF(BC16=0,9,IF(AK16&gt;=BC16,5,IF(AK16&gt;=BB16,4,IF(AK16&gt;=BA16,3,IF(AK16&gt;=AZ16,2,IF(AK16&lt;AY16,0,1))))))</f>
        <v>9</v>
      </c>
      <c r="BK16" s="37" t="str">
        <f t="shared" si="9"/>
        <v>N/A</v>
      </c>
      <c r="BL16" s="154"/>
      <c r="BO16" s="35"/>
      <c r="BP16" s="35"/>
      <c r="BQ16" s="35" t="str">
        <f t="shared" si="15"/>
        <v/>
      </c>
      <c r="BR16" s="35">
        <f t="shared" si="22"/>
        <v>9</v>
      </c>
      <c r="BS16" s="35">
        <f t="shared" si="17"/>
        <v>9</v>
      </c>
      <c r="BT16" s="35">
        <f t="shared" si="18"/>
        <v>9</v>
      </c>
      <c r="BW16" s="35" t="str">
        <f>D16</f>
        <v>Man 02</v>
      </c>
      <c r="BX16" s="35" t="str">
        <f>IFERROR(VLOOKUP($E16,'Pre-Assessment Estimator'!$E$11:$AB$227,'Pre-Assessment Estimator'!AB$2,FALSE),"")</f>
        <v>No</v>
      </c>
      <c r="BY16" s="239">
        <f>IFERROR(VLOOKUP($E16,'Pre-Assessment Estimator'!$E$11:$AI$227,'Pre-Assessment Estimator'!AI$2,FALSE),"")</f>
        <v>0</v>
      </c>
      <c r="BZ16" s="239">
        <f>IFERROR(VLOOKUP($BX16,$E$293:$H$326,F$291,FALSE),"")</f>
        <v>1</v>
      </c>
      <c r="CA16" s="239">
        <f>IFERROR(VLOOKUP($BX16,$E$293:$H$326,G$291,FALSE),"")</f>
        <v>0</v>
      </c>
      <c r="CB16" s="239"/>
      <c r="CC16" t="str">
        <f>IFERROR(VLOOKUP($BX16,$E$293:$H$326,I$291,FALSE),"")</f>
        <v/>
      </c>
    </row>
    <row r="17" spans="1:81">
      <c r="A17">
        <v>9</v>
      </c>
      <c r="B17" t="str">
        <f t="shared" ref="B17:B18" si="29">$D$16&amp;D17</f>
        <v>Man 02a</v>
      </c>
      <c r="C17" t="str">
        <f t="shared" si="19"/>
        <v>Man 02</v>
      </c>
      <c r="D17" s="35" t="s">
        <v>729</v>
      </c>
      <c r="E17" s="857" t="s">
        <v>565</v>
      </c>
      <c r="F17" s="607">
        <v>2</v>
      </c>
      <c r="G17" s="607">
        <v>2</v>
      </c>
      <c r="H17" s="607">
        <v>2</v>
      </c>
      <c r="I17" s="607">
        <v>2</v>
      </c>
      <c r="J17" s="607">
        <v>2</v>
      </c>
      <c r="K17" s="607">
        <v>2</v>
      </c>
      <c r="L17" s="607">
        <v>2</v>
      </c>
      <c r="M17" s="607">
        <v>2</v>
      </c>
      <c r="N17" s="607">
        <v>2</v>
      </c>
      <c r="O17" s="607">
        <v>2</v>
      </c>
      <c r="P17" s="607">
        <v>2</v>
      </c>
      <c r="Q17" s="607">
        <v>2</v>
      </c>
      <c r="R17" s="607">
        <v>2</v>
      </c>
      <c r="S17" s="518"/>
      <c r="T17" s="136">
        <f t="shared" si="2"/>
        <v>2</v>
      </c>
      <c r="U17" s="137"/>
      <c r="V17" s="35"/>
      <c r="W17" s="35"/>
      <c r="X17" s="138"/>
      <c r="Y17" s="139"/>
      <c r="Z17" s="894">
        <f>VLOOKUP(B17,'Manuell filtrering og justering'!$A$7:$H$107,'Manuell filtrering og justering'!$H$1,FALSE)</f>
        <v>2</v>
      </c>
      <c r="AA17" s="901">
        <f t="shared" si="11"/>
        <v>0</v>
      </c>
      <c r="AB17" s="154">
        <f>IF($AC$5='Manuell filtrering og justering'!$J$2,Z17,(T17-AA17))</f>
        <v>2</v>
      </c>
      <c r="AD17" s="141">
        <f t="shared" si="4"/>
        <v>1.2380952380952381E-2</v>
      </c>
      <c r="AE17" s="141">
        <f>IF(AB17=0,0,(AD17/AB17)*AI17)</f>
        <v>0</v>
      </c>
      <c r="AF17" s="141">
        <f t="shared" si="20"/>
        <v>0</v>
      </c>
      <c r="AG17" s="141">
        <f t="shared" si="21"/>
        <v>0</v>
      </c>
      <c r="AI17" s="142">
        <f>IF(VLOOKUP(E17,'Pre-Assessment Estimator'!$E$11:$Z$227,'Pre-Assessment Estimator'!$G$2,FALSE)&gt;AB17,AB17,VLOOKUP(E17,'Pre-Assessment Estimator'!$E$11:$Z$227,'Pre-Assessment Estimator'!$G$2,FALSE))</f>
        <v>0</v>
      </c>
      <c r="AJ17" s="142">
        <f>IF(VLOOKUP(E17,'Pre-Assessment Estimator'!$E$11:$Z$227,'Pre-Assessment Estimator'!$N$2,FALSE)&gt;AB17,AB17,VLOOKUP(E17,'Pre-Assessment Estimator'!$E$11:$Z$227,'Pre-Assessment Estimator'!$N$2,FALSE))</f>
        <v>0</v>
      </c>
      <c r="AK17" s="142">
        <f>IF(VLOOKUP(E17,'Pre-Assessment Estimator'!$E$11:$Z$227,'Pre-Assessment Estimator'!$U$2,FALSE)&gt;AB17,AB17,VLOOKUP(E17,'Pre-Assessment Estimator'!$E$11:$Z$227,'Pre-Assessment Estimator'!$U$2,FALSE))</f>
        <v>0</v>
      </c>
      <c r="AM17" s="786"/>
      <c r="AN17" s="787"/>
      <c r="AO17" s="787"/>
      <c r="AP17" s="787"/>
      <c r="AQ17" s="785"/>
      <c r="AR17" s="112"/>
      <c r="AS17" s="786"/>
      <c r="AT17" s="787"/>
      <c r="AU17" s="787"/>
      <c r="AV17" s="787"/>
      <c r="AW17" s="785"/>
      <c r="AX17" s="116"/>
      <c r="AY17" s="151"/>
      <c r="AZ17" s="152"/>
      <c r="BA17" s="152"/>
      <c r="BB17" s="152"/>
      <c r="BC17" s="153"/>
      <c r="BD17" s="151">
        <f t="shared" ref="BD17:BD34" si="30">IF(BC17=0,9,IF(AI17&gt;=BC17,5,IF(AI17&gt;=BB17,4,IF(AI17&gt;=BA17,3,IF(AI17&gt;=AZ17,2,IF(AI17&lt;AY17,0,1))))))</f>
        <v>9</v>
      </c>
      <c r="BE17" s="37" t="str">
        <f t="shared" si="6"/>
        <v>N/A</v>
      </c>
      <c r="BF17" s="154"/>
      <c r="BG17" s="151">
        <f t="shared" si="7"/>
        <v>9</v>
      </c>
      <c r="BH17" s="37" t="str">
        <f t="shared" si="8"/>
        <v>N/A</v>
      </c>
      <c r="BI17" s="154"/>
      <c r="BJ17" s="151">
        <f t="shared" si="28"/>
        <v>9</v>
      </c>
      <c r="BK17" s="37" t="str">
        <f t="shared" si="9"/>
        <v>N/A</v>
      </c>
      <c r="BL17" s="154"/>
      <c r="BO17" s="35"/>
      <c r="BP17" s="35"/>
      <c r="BQ17" s="35" t="str">
        <f t="shared" si="15"/>
        <v/>
      </c>
      <c r="BR17" s="35">
        <f t="shared" si="22"/>
        <v>9</v>
      </c>
      <c r="BS17" s="35">
        <f t="shared" si="17"/>
        <v>9</v>
      </c>
      <c r="BT17" s="35">
        <f t="shared" si="18"/>
        <v>9</v>
      </c>
      <c r="BW17" s="35"/>
      <c r="BX17" s="35"/>
      <c r="BY17" s="239"/>
      <c r="BZ17" s="239"/>
      <c r="CA17" s="239"/>
      <c r="CB17" s="239"/>
    </row>
    <row r="18" spans="1:81">
      <c r="A18">
        <v>10</v>
      </c>
      <c r="B18" t="str">
        <f t="shared" si="29"/>
        <v>Man 02b</v>
      </c>
      <c r="C18" t="str">
        <f t="shared" si="19"/>
        <v>Man 02</v>
      </c>
      <c r="D18" s="35" t="s">
        <v>730</v>
      </c>
      <c r="E18" s="857" t="s">
        <v>566</v>
      </c>
      <c r="F18" s="607">
        <v>1</v>
      </c>
      <c r="G18" s="607">
        <v>1</v>
      </c>
      <c r="H18" s="607">
        <v>1</v>
      </c>
      <c r="I18" s="607">
        <v>1</v>
      </c>
      <c r="J18" s="607">
        <v>1</v>
      </c>
      <c r="K18" s="607">
        <v>1</v>
      </c>
      <c r="L18" s="607">
        <v>1</v>
      </c>
      <c r="M18" s="607">
        <v>1</v>
      </c>
      <c r="N18" s="607">
        <v>1</v>
      </c>
      <c r="O18" s="607">
        <v>1</v>
      </c>
      <c r="P18" s="607">
        <v>1</v>
      </c>
      <c r="Q18" s="607">
        <v>1</v>
      </c>
      <c r="R18" s="607">
        <v>1</v>
      </c>
      <c r="S18" s="518"/>
      <c r="T18" s="136">
        <f t="shared" si="2"/>
        <v>1</v>
      </c>
      <c r="U18" s="137"/>
      <c r="V18" s="35"/>
      <c r="W18" s="35"/>
      <c r="X18" s="138"/>
      <c r="Y18" s="139"/>
      <c r="Z18" s="894">
        <f>VLOOKUP(B18,'Manuell filtrering og justering'!$A$7:$H$107,'Manuell filtrering og justering'!$H$1,FALSE)</f>
        <v>1</v>
      </c>
      <c r="AA18" s="901">
        <f t="shared" si="11"/>
        <v>0</v>
      </c>
      <c r="AB18" s="154">
        <f>IF($AC$5='Manuell filtrering og justering'!$J$2,Z18,(T18-AA18))</f>
        <v>1</v>
      </c>
      <c r="AD18" s="141">
        <f t="shared" si="4"/>
        <v>6.1904761904761907E-3</v>
      </c>
      <c r="AE18" s="141">
        <f>IF(AB18=0,0,(AD18/AB18)*AI18)</f>
        <v>0</v>
      </c>
      <c r="AF18" s="141">
        <f t="shared" si="20"/>
        <v>0</v>
      </c>
      <c r="AG18" s="141">
        <f t="shared" si="21"/>
        <v>0</v>
      </c>
      <c r="AI18" s="142">
        <f>IF(VLOOKUP(E18,'Pre-Assessment Estimator'!$E$11:$Z$227,'Pre-Assessment Estimator'!$G$2,FALSE)&gt;AB18,AB18,VLOOKUP(E18,'Pre-Assessment Estimator'!$E$11:$Z$227,'Pre-Assessment Estimator'!$G$2,FALSE))</f>
        <v>0</v>
      </c>
      <c r="AJ18" s="142">
        <f>IF(VLOOKUP(E18,'Pre-Assessment Estimator'!$E$11:$Z$227,'Pre-Assessment Estimator'!$N$2,FALSE)&gt;AB18,AB18,VLOOKUP(E18,'Pre-Assessment Estimator'!$E$11:$Z$227,'Pre-Assessment Estimator'!$N$2,FALSE))</f>
        <v>0</v>
      </c>
      <c r="AK18" s="142">
        <f>IF(VLOOKUP(E18,'Pre-Assessment Estimator'!$E$11:$Z$227,'Pre-Assessment Estimator'!$U$2,FALSE)&gt;AB18,AB18,VLOOKUP(E18,'Pre-Assessment Estimator'!$E$11:$Z$227,'Pre-Assessment Estimator'!$U$2,FALSE))</f>
        <v>0</v>
      </c>
      <c r="AM18" s="786"/>
      <c r="AN18" s="787"/>
      <c r="AO18" s="787"/>
      <c r="AP18" s="787"/>
      <c r="AQ18" s="785"/>
      <c r="AR18" s="112"/>
      <c r="AS18" s="786"/>
      <c r="AT18" s="787"/>
      <c r="AU18" s="787"/>
      <c r="AV18" s="787"/>
      <c r="AW18" s="785"/>
      <c r="AX18" s="116"/>
      <c r="AY18" s="151"/>
      <c r="AZ18" s="152"/>
      <c r="BA18" s="152"/>
      <c r="BB18" s="152"/>
      <c r="BC18" s="153"/>
      <c r="BD18" s="151">
        <f t="shared" si="30"/>
        <v>9</v>
      </c>
      <c r="BE18" s="37" t="str">
        <f t="shared" si="6"/>
        <v>N/A</v>
      </c>
      <c r="BF18" s="154"/>
      <c r="BG18" s="151">
        <f t="shared" si="7"/>
        <v>9</v>
      </c>
      <c r="BH18" s="37" t="str">
        <f t="shared" si="8"/>
        <v>N/A</v>
      </c>
      <c r="BI18" s="154"/>
      <c r="BJ18" s="151">
        <f t="shared" si="28"/>
        <v>9</v>
      </c>
      <c r="BK18" s="37" t="str">
        <f t="shared" si="9"/>
        <v>N/A</v>
      </c>
      <c r="BL18" s="154"/>
      <c r="BO18" s="35"/>
      <c r="BP18" s="35"/>
      <c r="BQ18" s="35" t="str">
        <f t="shared" si="15"/>
        <v/>
      </c>
      <c r="BR18" s="35">
        <f t="shared" si="22"/>
        <v>9</v>
      </c>
      <c r="BS18" s="35">
        <f t="shared" si="17"/>
        <v>9</v>
      </c>
      <c r="BT18" s="35">
        <f t="shared" si="18"/>
        <v>9</v>
      </c>
      <c r="BW18" s="35"/>
      <c r="BX18" s="35"/>
      <c r="BY18" s="239"/>
      <c r="BZ18" s="239"/>
      <c r="CA18" s="239"/>
      <c r="CB18" s="239"/>
    </row>
    <row r="19" spans="1:81">
      <c r="A19">
        <v>11</v>
      </c>
      <c r="B19" s="112" t="str">
        <f>D19</f>
        <v>Man 03</v>
      </c>
      <c r="C19" s="112" t="str">
        <f>B19</f>
        <v>Man 03</v>
      </c>
      <c r="D19" s="661" t="s">
        <v>188</v>
      </c>
      <c r="E19" s="661" t="s">
        <v>264</v>
      </c>
      <c r="F19" s="748">
        <f>SUM(F20:F25)</f>
        <v>7</v>
      </c>
      <c r="G19" s="748">
        <f t="shared" ref="G19:R19" si="31">SUM(G20:G25)</f>
        <v>7</v>
      </c>
      <c r="H19" s="748">
        <f t="shared" si="31"/>
        <v>7</v>
      </c>
      <c r="I19" s="748">
        <f t="shared" si="31"/>
        <v>7</v>
      </c>
      <c r="J19" s="748">
        <f t="shared" si="31"/>
        <v>7</v>
      </c>
      <c r="K19" s="748">
        <f t="shared" si="31"/>
        <v>7</v>
      </c>
      <c r="L19" s="748">
        <f t="shared" si="31"/>
        <v>7</v>
      </c>
      <c r="M19" s="748">
        <f t="shared" si="31"/>
        <v>7</v>
      </c>
      <c r="N19" s="748">
        <f t="shared" si="31"/>
        <v>7</v>
      </c>
      <c r="O19" s="748">
        <f t="shared" si="31"/>
        <v>7</v>
      </c>
      <c r="P19" s="748">
        <f t="shared" si="31"/>
        <v>7</v>
      </c>
      <c r="Q19" s="748">
        <f t="shared" ref="Q19" si="32">SUM(Q20:Q25)</f>
        <v>7</v>
      </c>
      <c r="R19" s="748">
        <f t="shared" si="31"/>
        <v>7</v>
      </c>
      <c r="T19" s="734">
        <f t="shared" si="2"/>
        <v>7</v>
      </c>
      <c r="U19" s="137"/>
      <c r="V19" s="35"/>
      <c r="W19" s="35"/>
      <c r="X19" s="138">
        <f>'Manuell filtrering og justering'!E9</f>
        <v>0</v>
      </c>
      <c r="Y19" s="139"/>
      <c r="Z19" s="909">
        <f>SUM(Z20:Z25)</f>
        <v>7</v>
      </c>
      <c r="AA19" s="901">
        <f t="shared" si="11"/>
        <v>0</v>
      </c>
      <c r="AB19" s="905">
        <f>SUM(AB20:AB25)</f>
        <v>7</v>
      </c>
      <c r="AD19" s="736">
        <f t="shared" si="4"/>
        <v>4.3333333333333335E-2</v>
      </c>
      <c r="AE19" s="736">
        <f>SUM(AE20:AE25)</f>
        <v>0</v>
      </c>
      <c r="AF19" s="736">
        <f>SUM(AF20:AF25)</f>
        <v>0</v>
      </c>
      <c r="AG19" s="736">
        <f>SUM(AG20:AG25)</f>
        <v>0</v>
      </c>
      <c r="AI19" s="737">
        <f t="shared" ref="AI19:AK19" si="33">SUM(AI20:AI25)</f>
        <v>0</v>
      </c>
      <c r="AJ19" s="737">
        <f t="shared" si="33"/>
        <v>0</v>
      </c>
      <c r="AK19" s="737">
        <f t="shared" si="33"/>
        <v>0</v>
      </c>
      <c r="AM19" s="786"/>
      <c r="AN19" s="787"/>
      <c r="AO19" s="787"/>
      <c r="AP19" s="787"/>
      <c r="AQ19" s="785"/>
      <c r="AR19" s="112"/>
      <c r="AS19" s="786"/>
      <c r="AT19" s="787"/>
      <c r="AU19" s="787"/>
      <c r="AV19" s="787"/>
      <c r="AW19" s="785"/>
      <c r="AX19" s="116"/>
      <c r="AY19" s="151"/>
      <c r="AZ19" s="152"/>
      <c r="BA19" s="152"/>
      <c r="BB19" s="152"/>
      <c r="BC19" s="153"/>
      <c r="BD19" s="151">
        <f t="shared" si="30"/>
        <v>9</v>
      </c>
      <c r="BE19" s="37" t="str">
        <f t="shared" si="6"/>
        <v>N/A</v>
      </c>
      <c r="BF19" s="154"/>
      <c r="BG19" s="151">
        <f t="shared" si="7"/>
        <v>9</v>
      </c>
      <c r="BH19" s="37" t="str">
        <f t="shared" si="8"/>
        <v>N/A</v>
      </c>
      <c r="BI19" s="154"/>
      <c r="BJ19" s="151">
        <f t="shared" si="28"/>
        <v>9</v>
      </c>
      <c r="BK19" s="37" t="str">
        <f t="shared" si="9"/>
        <v>N/A</v>
      </c>
      <c r="BL19" s="154"/>
      <c r="BO19" s="35"/>
      <c r="BP19" s="35"/>
      <c r="BQ19" s="35" t="str">
        <f t="shared" si="15"/>
        <v/>
      </c>
      <c r="BR19" s="35">
        <f t="shared" si="22"/>
        <v>9</v>
      </c>
      <c r="BS19" s="35">
        <f t="shared" si="17"/>
        <v>9</v>
      </c>
      <c r="BT19" s="35">
        <f t="shared" si="18"/>
        <v>9</v>
      </c>
      <c r="BW19" s="35" t="str">
        <f>D19</f>
        <v>Man 03</v>
      </c>
      <c r="BX19" s="35" t="str">
        <f>IFERROR(VLOOKUP($E19,'Pre-Assessment Estimator'!$E$11:$AB$227,'Pre-Assessment Estimator'!AB$2,FALSE),"")</f>
        <v>N/A</v>
      </c>
      <c r="BY19" s="239">
        <f>IFERROR(VLOOKUP($E19,'Pre-Assessment Estimator'!$E$11:$AI$227,'Pre-Assessment Estimator'!AI$2,FALSE),"")</f>
        <v>0</v>
      </c>
      <c r="BZ19" s="239">
        <f>IFERROR(VLOOKUP($BX19,$E$293:$H$326,F$291,FALSE),"")</f>
        <v>1</v>
      </c>
      <c r="CA19" s="239">
        <f>IFERROR(VLOOKUP($BX19,$E$293:$H$326,G$291,FALSE),"")</f>
        <v>0</v>
      </c>
      <c r="CB19" s="239"/>
      <c r="CC19" t="str">
        <f>IFERROR(VLOOKUP($BX19,$E$293:$H$326,I$291,FALSE),"")</f>
        <v/>
      </c>
    </row>
    <row r="20" spans="1:81">
      <c r="A20">
        <v>12</v>
      </c>
      <c r="B20" t="str">
        <f t="shared" ref="B20:B25" si="34">$D$19&amp;D20</f>
        <v>Man 03a</v>
      </c>
      <c r="C20" t="str">
        <f t="shared" si="19"/>
        <v>Man 03</v>
      </c>
      <c r="D20" s="35" t="s">
        <v>729</v>
      </c>
      <c r="E20" s="857" t="s">
        <v>568</v>
      </c>
      <c r="F20" s="607">
        <v>1</v>
      </c>
      <c r="G20" s="607">
        <v>1</v>
      </c>
      <c r="H20" s="607">
        <v>1</v>
      </c>
      <c r="I20" s="607">
        <v>1</v>
      </c>
      <c r="J20" s="607">
        <v>1</v>
      </c>
      <c r="K20" s="607">
        <v>1</v>
      </c>
      <c r="L20" s="607">
        <v>1</v>
      </c>
      <c r="M20" s="607">
        <v>1</v>
      </c>
      <c r="N20" s="607">
        <v>1</v>
      </c>
      <c r="O20" s="607">
        <v>1</v>
      </c>
      <c r="P20" s="607">
        <v>1</v>
      </c>
      <c r="Q20" s="607">
        <v>1</v>
      </c>
      <c r="R20" s="607">
        <v>1</v>
      </c>
      <c r="T20" s="136">
        <f t="shared" si="2"/>
        <v>1</v>
      </c>
      <c r="U20" s="137"/>
      <c r="V20" s="35"/>
      <c r="W20" s="35"/>
      <c r="X20" s="138"/>
      <c r="Y20" s="139"/>
      <c r="Z20" s="894">
        <f>VLOOKUP(B20,'Manuell filtrering og justering'!$A$7:$H$107,'Manuell filtrering og justering'!$H$1,FALSE)</f>
        <v>1</v>
      </c>
      <c r="AA20" s="901">
        <f t="shared" si="11"/>
        <v>0</v>
      </c>
      <c r="AB20" s="154">
        <f>IF($AC$5='Manuell filtrering og justering'!$J$2,Z20,(T20-AA20))</f>
        <v>1</v>
      </c>
      <c r="AD20" s="141">
        <f t="shared" si="4"/>
        <v>6.1904761904761907E-3</v>
      </c>
      <c r="AE20" s="141">
        <f>IF(AB20=0,0,(AD20/AB20)*AI20)</f>
        <v>0</v>
      </c>
      <c r="AF20" s="141">
        <f t="shared" si="20"/>
        <v>0</v>
      </c>
      <c r="AG20" s="141">
        <f t="shared" si="21"/>
        <v>0</v>
      </c>
      <c r="AI20" s="142">
        <f>IF(VLOOKUP(E20,'Pre-Assessment Estimator'!$E$11:$Z$227,'Pre-Assessment Estimator'!$G$2,FALSE)&gt;AB20,AB20,VLOOKUP(E20,'Pre-Assessment Estimator'!$E$11:$Z$227,'Pre-Assessment Estimator'!$G$2,FALSE))</f>
        <v>0</v>
      </c>
      <c r="AJ20" s="142">
        <f>IF(VLOOKUP(E20,'Pre-Assessment Estimator'!$E$11:$Z$227,'Pre-Assessment Estimator'!$N$2,FALSE)&gt;AB20,AB20,VLOOKUP(E20,'Pre-Assessment Estimator'!$E$11:$Z$227,'Pre-Assessment Estimator'!$N$2,FALSE))</f>
        <v>0</v>
      </c>
      <c r="AK20" s="142">
        <f>IF(VLOOKUP(E20,'Pre-Assessment Estimator'!$E$11:$Z$227,'Pre-Assessment Estimator'!$U$2,FALSE)&gt;AB20,AB20,VLOOKUP(E20,'Pre-Assessment Estimator'!$E$11:$Z$227,'Pre-Assessment Estimator'!$U$2,FALSE))</f>
        <v>0</v>
      </c>
      <c r="AM20" s="786"/>
      <c r="AN20" s="787"/>
      <c r="AO20" s="787"/>
      <c r="AP20" s="787"/>
      <c r="AQ20" s="785"/>
      <c r="AR20" s="112"/>
      <c r="AS20" s="786"/>
      <c r="AT20" s="787"/>
      <c r="AU20" s="787"/>
      <c r="AV20" s="787"/>
      <c r="AW20" s="785"/>
      <c r="AX20" s="116"/>
      <c r="AY20" s="151"/>
      <c r="AZ20" s="152"/>
      <c r="BA20" s="152"/>
      <c r="BB20" s="152"/>
      <c r="BC20" s="153"/>
      <c r="BD20" s="151">
        <f t="shared" si="30"/>
        <v>9</v>
      </c>
      <c r="BE20" s="37" t="str">
        <f t="shared" si="6"/>
        <v>N/A</v>
      </c>
      <c r="BF20" s="154"/>
      <c r="BG20" s="151">
        <f t="shared" si="7"/>
        <v>9</v>
      </c>
      <c r="BH20" s="37" t="str">
        <f t="shared" si="8"/>
        <v>N/A</v>
      </c>
      <c r="BI20" s="154"/>
      <c r="BJ20" s="151">
        <f t="shared" si="28"/>
        <v>9</v>
      </c>
      <c r="BK20" s="37" t="str">
        <f t="shared" si="9"/>
        <v>N/A</v>
      </c>
      <c r="BL20" s="154"/>
      <c r="BO20" s="35"/>
      <c r="BP20" s="35"/>
      <c r="BQ20" s="35" t="str">
        <f t="shared" si="15"/>
        <v/>
      </c>
      <c r="BR20" s="35">
        <f t="shared" si="22"/>
        <v>9</v>
      </c>
      <c r="BS20" s="35">
        <f t="shared" si="17"/>
        <v>9</v>
      </c>
      <c r="BT20" s="35">
        <f t="shared" si="18"/>
        <v>9</v>
      </c>
      <c r="BW20" s="35"/>
      <c r="BX20" s="35"/>
      <c r="BY20" s="239"/>
      <c r="BZ20" s="239"/>
      <c r="CA20" s="239"/>
      <c r="CB20" s="239"/>
    </row>
    <row r="21" spans="1:81">
      <c r="A21">
        <v>13</v>
      </c>
      <c r="B21" t="str">
        <f t="shared" si="34"/>
        <v>Man 03b</v>
      </c>
      <c r="C21" t="str">
        <f t="shared" si="19"/>
        <v>Man 03</v>
      </c>
      <c r="D21" s="35" t="s">
        <v>730</v>
      </c>
      <c r="E21" s="857" t="s">
        <v>890</v>
      </c>
      <c r="F21" s="607">
        <v>1</v>
      </c>
      <c r="G21" s="607">
        <v>1</v>
      </c>
      <c r="H21" s="607">
        <v>1</v>
      </c>
      <c r="I21" s="607">
        <v>1</v>
      </c>
      <c r="J21" s="607">
        <v>1</v>
      </c>
      <c r="K21" s="607">
        <v>1</v>
      </c>
      <c r="L21" s="607">
        <v>1</v>
      </c>
      <c r="M21" s="607">
        <v>1</v>
      </c>
      <c r="N21" s="607">
        <v>1</v>
      </c>
      <c r="O21" s="607">
        <v>1</v>
      </c>
      <c r="P21" s="607">
        <v>1</v>
      </c>
      <c r="Q21" s="607">
        <v>1</v>
      </c>
      <c r="R21" s="607">
        <v>1</v>
      </c>
      <c r="T21" s="136">
        <f t="shared" si="2"/>
        <v>1</v>
      </c>
      <c r="U21" s="137"/>
      <c r="V21" s="35"/>
      <c r="W21" s="35"/>
      <c r="X21" s="138"/>
      <c r="Y21" s="139"/>
      <c r="Z21" s="894">
        <f>VLOOKUP(B21,'Manuell filtrering og justering'!$A$7:$H$107,'Manuell filtrering og justering'!$H$1,FALSE)</f>
        <v>1</v>
      </c>
      <c r="AA21" s="901">
        <f t="shared" si="11"/>
        <v>0</v>
      </c>
      <c r="AB21" s="154">
        <f>IF($AC$5='Manuell filtrering og justering'!$J$2,Z21,(T21-AA21))</f>
        <v>1</v>
      </c>
      <c r="AD21" s="141">
        <f t="shared" si="4"/>
        <v>6.1904761904761907E-3</v>
      </c>
      <c r="AE21" s="141">
        <f>IF(AB21=0,0,(AD21/AB21)*AI21)</f>
        <v>0</v>
      </c>
      <c r="AF21" s="141">
        <f t="shared" si="20"/>
        <v>0</v>
      </c>
      <c r="AG21" s="141">
        <f t="shared" si="21"/>
        <v>0</v>
      </c>
      <c r="AI21" s="142">
        <f>IF(VLOOKUP(E21,'Pre-Assessment Estimator'!$E$11:$Z$227,'Pre-Assessment Estimator'!$G$2,FALSE)&gt;AB21,AB21,VLOOKUP(E21,'Pre-Assessment Estimator'!$E$11:$Z$227,'Pre-Assessment Estimator'!$G$2,FALSE))</f>
        <v>0</v>
      </c>
      <c r="AJ21" s="142">
        <f>IF(VLOOKUP(E21,'Pre-Assessment Estimator'!$E$11:$Z$227,'Pre-Assessment Estimator'!$N$2,FALSE)&gt;AB21,AB21,VLOOKUP(E21,'Pre-Assessment Estimator'!$E$11:$Z$227,'Pre-Assessment Estimator'!$N$2,FALSE))</f>
        <v>0</v>
      </c>
      <c r="AK21" s="142">
        <f>IF(VLOOKUP(E21,'Pre-Assessment Estimator'!$E$11:$Z$227,'Pre-Assessment Estimator'!$U$2,FALSE)&gt;AB21,AB21,VLOOKUP(E21,'Pre-Assessment Estimator'!$E$11:$Z$227,'Pre-Assessment Estimator'!$U$2,FALSE))</f>
        <v>0</v>
      </c>
      <c r="AM21" s="786"/>
      <c r="AN21" s="787"/>
      <c r="AO21" s="787"/>
      <c r="AP21" s="787"/>
      <c r="AQ21" s="785"/>
      <c r="AR21" s="112"/>
      <c r="AS21" s="786"/>
      <c r="AT21" s="787"/>
      <c r="AU21" s="787"/>
      <c r="AV21" s="787"/>
      <c r="AW21" s="785"/>
      <c r="AX21" s="116"/>
      <c r="AY21" s="151"/>
      <c r="AZ21" s="152"/>
      <c r="BA21" s="152"/>
      <c r="BB21" s="152"/>
      <c r="BC21" s="153"/>
      <c r="BD21" s="151">
        <f t="shared" si="30"/>
        <v>9</v>
      </c>
      <c r="BE21" s="37" t="str">
        <f t="shared" si="6"/>
        <v>N/A</v>
      </c>
      <c r="BF21" s="154"/>
      <c r="BG21" s="151">
        <f t="shared" si="7"/>
        <v>9</v>
      </c>
      <c r="BH21" s="37" t="str">
        <f t="shared" si="8"/>
        <v>N/A</v>
      </c>
      <c r="BI21" s="154"/>
      <c r="BJ21" s="151">
        <f t="shared" si="28"/>
        <v>9</v>
      </c>
      <c r="BK21" s="37" t="str">
        <f t="shared" si="9"/>
        <v>N/A</v>
      </c>
      <c r="BL21" s="154"/>
      <c r="BO21" s="35"/>
      <c r="BP21" s="35"/>
      <c r="BQ21" s="35" t="str">
        <f t="shared" si="15"/>
        <v/>
      </c>
      <c r="BR21" s="35">
        <f t="shared" si="22"/>
        <v>9</v>
      </c>
      <c r="BS21" s="35">
        <f t="shared" si="17"/>
        <v>9</v>
      </c>
      <c r="BT21" s="35">
        <f t="shared" si="18"/>
        <v>9</v>
      </c>
      <c r="BW21" s="35"/>
      <c r="BX21" s="35"/>
      <c r="BY21" s="239"/>
      <c r="BZ21" s="239"/>
      <c r="CA21" s="239"/>
      <c r="CB21" s="239"/>
    </row>
    <row r="22" spans="1:81">
      <c r="A22">
        <v>14</v>
      </c>
      <c r="B22" t="str">
        <f t="shared" si="34"/>
        <v>Man 03c</v>
      </c>
      <c r="C22" t="str">
        <f t="shared" si="19"/>
        <v>Man 03</v>
      </c>
      <c r="D22" s="35" t="s">
        <v>731</v>
      </c>
      <c r="E22" s="971" t="s">
        <v>891</v>
      </c>
      <c r="F22" s="607">
        <v>1</v>
      </c>
      <c r="G22" s="607">
        <v>1</v>
      </c>
      <c r="H22" s="607">
        <v>1</v>
      </c>
      <c r="I22" s="607">
        <v>1</v>
      </c>
      <c r="J22" s="607">
        <v>1</v>
      </c>
      <c r="K22" s="607">
        <v>1</v>
      </c>
      <c r="L22" s="607">
        <v>1</v>
      </c>
      <c r="M22" s="607">
        <v>1</v>
      </c>
      <c r="N22" s="607">
        <v>1</v>
      </c>
      <c r="O22" s="607">
        <v>1</v>
      </c>
      <c r="P22" s="607">
        <v>1</v>
      </c>
      <c r="Q22" s="607">
        <v>1</v>
      </c>
      <c r="R22" s="607">
        <v>1</v>
      </c>
      <c r="T22" s="136">
        <f t="shared" si="2"/>
        <v>1</v>
      </c>
      <c r="U22" s="137"/>
      <c r="V22" s="35"/>
      <c r="W22" s="35"/>
      <c r="X22" s="138"/>
      <c r="Y22" s="139"/>
      <c r="Z22" s="894">
        <f>VLOOKUP(B22,'Manuell filtrering og justering'!$A$7:$H$107,'Manuell filtrering og justering'!$H$1,FALSE)</f>
        <v>1</v>
      </c>
      <c r="AA22" s="901">
        <f t="shared" si="11"/>
        <v>0</v>
      </c>
      <c r="AB22" s="154">
        <f>IF($AC$5='Manuell filtrering og justering'!$J$2,Z22,(T22-AA22))</f>
        <v>1</v>
      </c>
      <c r="AD22" s="141">
        <f t="shared" si="4"/>
        <v>6.1904761904761907E-3</v>
      </c>
      <c r="AE22" s="141">
        <f>IF(AB22=0,0,(AD22/AB22)*AI22)</f>
        <v>0</v>
      </c>
      <c r="AF22" s="141">
        <f t="shared" si="20"/>
        <v>0</v>
      </c>
      <c r="AG22" s="141">
        <f t="shared" si="21"/>
        <v>0</v>
      </c>
      <c r="AI22" s="142">
        <f>IF(VLOOKUP(E22,'Pre-Assessment Estimator'!$E$11:$Z$227,'Pre-Assessment Estimator'!$G$2,FALSE)&gt;AB22,AB22,VLOOKUP(E22,'Pre-Assessment Estimator'!$E$11:$Z$227,'Pre-Assessment Estimator'!$G$2,FALSE))</f>
        <v>0</v>
      </c>
      <c r="AJ22" s="142">
        <f>IF(VLOOKUP(E22,'Pre-Assessment Estimator'!$E$11:$Z$227,'Pre-Assessment Estimator'!$N$2,FALSE)&gt;AB22,AB22,VLOOKUP(E22,'Pre-Assessment Estimator'!$E$11:$Z$227,'Pre-Assessment Estimator'!$N$2,FALSE))</f>
        <v>0</v>
      </c>
      <c r="AK22" s="142">
        <f>IF(VLOOKUP(E22,'Pre-Assessment Estimator'!$E$11:$Z$227,'Pre-Assessment Estimator'!$U$2,FALSE)&gt;AB22,AB22,VLOOKUP(E22,'Pre-Assessment Estimator'!$E$11:$Z$227,'Pre-Assessment Estimator'!$U$2,FALSE))</f>
        <v>0</v>
      </c>
      <c r="AM22" s="786">
        <v>1</v>
      </c>
      <c r="AN22" s="787">
        <v>1</v>
      </c>
      <c r="AO22" s="787">
        <v>1</v>
      </c>
      <c r="AP22" s="787">
        <v>1</v>
      </c>
      <c r="AQ22" s="785">
        <v>1</v>
      </c>
      <c r="AR22" s="112"/>
      <c r="AS22" s="786">
        <v>1</v>
      </c>
      <c r="AT22" s="787">
        <v>1</v>
      </c>
      <c r="AU22" s="787">
        <v>1</v>
      </c>
      <c r="AV22" s="787">
        <v>1</v>
      </c>
      <c r="AW22" s="785">
        <v>1</v>
      </c>
      <c r="AX22" s="116"/>
      <c r="AY22" s="152">
        <f>IF($E$6=$H$9,AS22,AM22)</f>
        <v>1</v>
      </c>
      <c r="AZ22" s="152">
        <f>IF($E$6=$H$9,AT22,AN22)</f>
        <v>1</v>
      </c>
      <c r="BA22" s="152">
        <f>IF($E$6=$H$9,AU22,AO22)</f>
        <v>1</v>
      </c>
      <c r="BB22" s="152">
        <f>IF($E$6=$H$9,AV22,AP22)</f>
        <v>1</v>
      </c>
      <c r="BC22" s="152">
        <f>IF($E$6=$H$9,AW22,AQ22)</f>
        <v>1</v>
      </c>
      <c r="BD22" s="151">
        <f t="shared" si="30"/>
        <v>0</v>
      </c>
      <c r="BE22" s="37" t="str">
        <f t="shared" si="6"/>
        <v>Unclassified</v>
      </c>
      <c r="BF22" s="154"/>
      <c r="BG22" s="151">
        <f t="shared" ref="BG22:BG34" si="35">IF(BC22=0,9,IF(AJ22&gt;=BC22,5,IF(AJ22&gt;=BB22,4,IF(AJ22&gt;=BA22,3,IF(AJ22&gt;=AZ22,2,IF(AJ22&lt;AY22,0,1))))))</f>
        <v>0</v>
      </c>
      <c r="BH22" s="37" t="str">
        <f t="shared" si="8"/>
        <v>Unclassified</v>
      </c>
      <c r="BI22" s="154"/>
      <c r="BJ22" s="151">
        <f t="shared" ref="BJ22:BJ34" si="36">IF(BC22=0,9,IF(AK22&gt;=BC22,5,IF(AK22&gt;=BB22,4,IF(AK22&gt;=BA22,3,IF(AK22&gt;=AZ22,2,IF(AK22&lt;AY22,0,1))))))</f>
        <v>0</v>
      </c>
      <c r="BK22" s="37" t="str">
        <f t="shared" si="9"/>
        <v>Unclassified</v>
      </c>
      <c r="BL22" s="154"/>
      <c r="BO22" s="35"/>
      <c r="BP22" s="35">
        <v>1</v>
      </c>
      <c r="BQ22" s="35">
        <f t="shared" si="15"/>
        <v>1</v>
      </c>
      <c r="BR22" s="35">
        <f t="shared" si="22"/>
        <v>0</v>
      </c>
      <c r="BS22" s="35">
        <f t="shared" si="17"/>
        <v>0</v>
      </c>
      <c r="BT22" s="35">
        <f t="shared" si="18"/>
        <v>0</v>
      </c>
      <c r="BW22" s="35"/>
      <c r="BX22" s="35"/>
      <c r="BY22" s="239"/>
      <c r="BZ22" s="239"/>
      <c r="CA22" s="239"/>
      <c r="CB22" s="239"/>
    </row>
    <row r="23" spans="1:81">
      <c r="A23">
        <v>15</v>
      </c>
      <c r="B23" t="str">
        <f t="shared" si="34"/>
        <v>Man 03d</v>
      </c>
      <c r="C23" t="str">
        <f t="shared" si="19"/>
        <v>Man 03</v>
      </c>
      <c r="D23" s="35" t="s">
        <v>732</v>
      </c>
      <c r="E23" s="971" t="s">
        <v>892</v>
      </c>
      <c r="F23" s="607">
        <v>1</v>
      </c>
      <c r="G23" s="607">
        <v>1</v>
      </c>
      <c r="H23" s="607">
        <v>1</v>
      </c>
      <c r="I23" s="607">
        <v>1</v>
      </c>
      <c r="J23" s="607">
        <v>1</v>
      </c>
      <c r="K23" s="607">
        <v>1</v>
      </c>
      <c r="L23" s="607">
        <v>1</v>
      </c>
      <c r="M23" s="607">
        <v>1</v>
      </c>
      <c r="N23" s="607">
        <v>1</v>
      </c>
      <c r="O23" s="607">
        <v>1</v>
      </c>
      <c r="P23" s="607">
        <v>1</v>
      </c>
      <c r="Q23" s="607">
        <v>1</v>
      </c>
      <c r="R23" s="607">
        <v>1</v>
      </c>
      <c r="T23" s="136">
        <f t="shared" si="2"/>
        <v>1</v>
      </c>
      <c r="U23" s="137"/>
      <c r="V23" s="35"/>
      <c r="W23" s="35"/>
      <c r="X23" s="138"/>
      <c r="Y23" s="139"/>
      <c r="Z23" s="894">
        <f>VLOOKUP(B23,'Manuell filtrering og justering'!$A$7:$H$107,'Manuell filtrering og justering'!$H$1,FALSE)</f>
        <v>1</v>
      </c>
      <c r="AA23" s="901">
        <f t="shared" si="11"/>
        <v>0</v>
      </c>
      <c r="AB23" s="154">
        <f>IF($AC$5='Manuell filtrering og justering'!$J$2,Z23,(T23-AA23))</f>
        <v>1</v>
      </c>
      <c r="AD23" s="141">
        <f t="shared" ref="AD23:AD24" si="37">(Man_Weight/Man_Credits)*AB23</f>
        <v>6.1904761904761907E-3</v>
      </c>
      <c r="AE23" s="141">
        <f t="shared" ref="AE23:AE24" si="38">IF(AB23=0,0,(AD23/AB23)*AI23)</f>
        <v>0</v>
      </c>
      <c r="AF23" s="141">
        <f t="shared" ref="AF23:AF24" si="39">IF(AB23=0,0,(AD23/AB23)*AJ23)</f>
        <v>0</v>
      </c>
      <c r="AG23" s="141">
        <f t="shared" ref="AG23:AG24" si="40">IF(AB23=0,0,(AD23/AB23)*AK23)</f>
        <v>0</v>
      </c>
      <c r="AI23" s="142">
        <f>IF(VLOOKUP(E23,'Pre-Assessment Estimator'!$E$11:$Z$227,'Pre-Assessment Estimator'!$G$2,FALSE)&gt;AB23,AB23,VLOOKUP(E23,'Pre-Assessment Estimator'!$E$11:$Z$227,'Pre-Assessment Estimator'!$G$2,FALSE))</f>
        <v>0</v>
      </c>
      <c r="AJ23" s="142">
        <f>IF(VLOOKUP(E23,'Pre-Assessment Estimator'!$E$11:$Z$227,'Pre-Assessment Estimator'!$N$2,FALSE)&gt;AB23,AB23,VLOOKUP(E23,'Pre-Assessment Estimator'!$E$11:$Z$227,'Pre-Assessment Estimator'!$N$2,FALSE))</f>
        <v>0</v>
      </c>
      <c r="AK23" s="142">
        <f>IF(VLOOKUP(E23,'Pre-Assessment Estimator'!$E$11:$Z$227,'Pre-Assessment Estimator'!$U$2,FALSE)&gt;AB23,AB23,VLOOKUP(E23,'Pre-Assessment Estimator'!$E$11:$Z$227,'Pre-Assessment Estimator'!$U$2,FALSE))</f>
        <v>0</v>
      </c>
      <c r="AM23" s="786"/>
      <c r="AN23" s="787"/>
      <c r="AO23" s="787">
        <v>1</v>
      </c>
      <c r="AP23" s="787">
        <v>1</v>
      </c>
      <c r="AQ23" s="785">
        <v>1</v>
      </c>
      <c r="AR23" s="112"/>
      <c r="AS23" s="786"/>
      <c r="AT23" s="787"/>
      <c r="AU23" s="787">
        <v>1</v>
      </c>
      <c r="AV23" s="787">
        <v>1</v>
      </c>
      <c r="AW23" s="785">
        <v>1</v>
      </c>
      <c r="AX23" s="116"/>
      <c r="AY23" s="798"/>
      <c r="AZ23" s="152"/>
      <c r="BA23" s="152">
        <f>IF($E$6=$H$9,AU23,AO23)</f>
        <v>1</v>
      </c>
      <c r="BB23" s="152">
        <f>IF($E$6=$H$9,AV23,AP23)</f>
        <v>1</v>
      </c>
      <c r="BC23" s="152">
        <f>IF($E$6=$H$9,AW23,AQ23)</f>
        <v>1</v>
      </c>
      <c r="BD23" s="151">
        <f t="shared" ref="BD23" si="41">IF(BC23=0,9,IF(AI23&gt;=BC23,5,IF(AI23&gt;=BB23,4,IF(AI23&gt;=BA23,3,IF(AI23&gt;=AZ23,2,IF(AI23&lt;AY23,0,1))))))</f>
        <v>2</v>
      </c>
      <c r="BE23" s="37" t="str">
        <f t="shared" si="6"/>
        <v>Good</v>
      </c>
      <c r="BF23" s="154"/>
      <c r="BG23" s="151">
        <f t="shared" ref="BG23" si="42">IF(BC23=0,9,IF(AJ23&gt;=BC23,5,IF(AJ23&gt;=BB23,4,IF(AJ23&gt;=BA23,3,IF(AJ23&gt;=AZ23,2,IF(AJ23&lt;AY23,0,1))))))</f>
        <v>2</v>
      </c>
      <c r="BH23" s="37" t="str">
        <f t="shared" si="8"/>
        <v>Good</v>
      </c>
      <c r="BI23" s="154"/>
      <c r="BJ23" s="151">
        <f t="shared" ref="BJ23" si="43">IF(BC23=0,9,IF(AK23&gt;=BC23,5,IF(AK23&gt;=BB23,4,IF(AK23&gt;=BA23,3,IF(AK23&gt;=AZ23,2,IF(AK23&lt;AY23,0,1))))))</f>
        <v>2</v>
      </c>
      <c r="BK23" s="37" t="str">
        <f t="shared" si="9"/>
        <v>Good</v>
      </c>
      <c r="BL23" s="154"/>
      <c r="BO23" s="35"/>
      <c r="BP23" s="35">
        <v>1</v>
      </c>
      <c r="BQ23" s="35">
        <f t="shared" si="15"/>
        <v>1</v>
      </c>
      <c r="BR23" s="35">
        <f t="shared" si="22"/>
        <v>0</v>
      </c>
      <c r="BS23" s="35">
        <f t="shared" si="17"/>
        <v>0</v>
      </c>
      <c r="BT23" s="35">
        <f t="shared" si="18"/>
        <v>0</v>
      </c>
      <c r="BW23" s="35"/>
      <c r="BX23" s="35"/>
      <c r="BY23" s="239"/>
      <c r="BZ23" s="239"/>
      <c r="CA23" s="239"/>
      <c r="CB23" s="239"/>
    </row>
    <row r="24" spans="1:81">
      <c r="A24">
        <v>16</v>
      </c>
      <c r="B24" t="str">
        <f t="shared" si="34"/>
        <v>Man 03e</v>
      </c>
      <c r="C24" t="str">
        <f t="shared" si="19"/>
        <v>Man 03</v>
      </c>
      <c r="D24" s="35" t="s">
        <v>733</v>
      </c>
      <c r="E24" s="857" t="s">
        <v>893</v>
      </c>
      <c r="F24" s="607">
        <v>1</v>
      </c>
      <c r="G24" s="607">
        <v>1</v>
      </c>
      <c r="H24" s="607">
        <v>1</v>
      </c>
      <c r="I24" s="607">
        <v>1</v>
      </c>
      <c r="J24" s="607">
        <v>1</v>
      </c>
      <c r="K24" s="607">
        <v>1</v>
      </c>
      <c r="L24" s="607">
        <v>1</v>
      </c>
      <c r="M24" s="607">
        <v>1</v>
      </c>
      <c r="N24" s="607">
        <v>1</v>
      </c>
      <c r="O24" s="607">
        <v>1</v>
      </c>
      <c r="P24" s="607">
        <v>1</v>
      </c>
      <c r="Q24" s="607">
        <v>1</v>
      </c>
      <c r="R24" s="607">
        <v>1</v>
      </c>
      <c r="T24" s="136">
        <f t="shared" si="2"/>
        <v>1</v>
      </c>
      <c r="U24" s="137"/>
      <c r="V24" s="35"/>
      <c r="W24" s="35"/>
      <c r="X24" s="138"/>
      <c r="Y24" s="139"/>
      <c r="Z24" s="894">
        <f>VLOOKUP(B24,'Manuell filtrering og justering'!$A$7:$H$107,'Manuell filtrering og justering'!$H$1,FALSE)</f>
        <v>1</v>
      </c>
      <c r="AA24" s="901">
        <f t="shared" si="11"/>
        <v>0</v>
      </c>
      <c r="AB24" s="154">
        <f>IF($AC$5='Manuell filtrering og justering'!$J$2,Z24,(T24-AA24))</f>
        <v>1</v>
      </c>
      <c r="AD24" s="141">
        <f t="shared" si="37"/>
        <v>6.1904761904761907E-3</v>
      </c>
      <c r="AE24" s="141">
        <f t="shared" si="38"/>
        <v>0</v>
      </c>
      <c r="AF24" s="141">
        <f t="shared" si="39"/>
        <v>0</v>
      </c>
      <c r="AG24" s="141">
        <f t="shared" si="40"/>
        <v>0</v>
      </c>
      <c r="AI24" s="142">
        <f>IF(VLOOKUP(E24,'Pre-Assessment Estimator'!$E$11:$Z$227,'Pre-Assessment Estimator'!$G$2,FALSE)&gt;AB24,AB24,VLOOKUP(E24,'Pre-Assessment Estimator'!$E$11:$Z$227,'Pre-Assessment Estimator'!$G$2,FALSE))</f>
        <v>0</v>
      </c>
      <c r="AJ24" s="142">
        <f>IF(VLOOKUP(E24,'Pre-Assessment Estimator'!$E$11:$Z$227,'Pre-Assessment Estimator'!$N$2,FALSE)&gt;AB24,AB24,VLOOKUP(E24,'Pre-Assessment Estimator'!$E$11:$Z$227,'Pre-Assessment Estimator'!$N$2,FALSE))</f>
        <v>0</v>
      </c>
      <c r="AK24" s="142">
        <f>IF(VLOOKUP(E24,'Pre-Assessment Estimator'!$E$11:$Z$227,'Pre-Assessment Estimator'!$U$2,FALSE)&gt;AB24,AB24,VLOOKUP(E24,'Pre-Assessment Estimator'!$E$11:$Z$227,'Pre-Assessment Estimator'!$U$2,FALSE))</f>
        <v>0</v>
      </c>
      <c r="AM24" s="786"/>
      <c r="AN24" s="787"/>
      <c r="AO24" s="787"/>
      <c r="AP24" s="787"/>
      <c r="AQ24" s="785"/>
      <c r="AR24" s="112"/>
      <c r="AS24" s="786"/>
      <c r="AT24" s="787"/>
      <c r="AU24" s="787"/>
      <c r="AV24" s="787"/>
      <c r="AW24" s="785"/>
      <c r="AX24" s="116"/>
      <c r="AY24" s="798"/>
      <c r="AZ24" s="152"/>
      <c r="BA24" s="152"/>
      <c r="BB24" s="152"/>
      <c r="BC24" s="152"/>
      <c r="BD24" s="788">
        <f>BD25</f>
        <v>3</v>
      </c>
      <c r="BE24" s="37" t="str">
        <f t="shared" si="6"/>
        <v>Very Good</v>
      </c>
      <c r="BF24" s="154"/>
      <c r="BG24" s="788">
        <f>BG25</f>
        <v>3</v>
      </c>
      <c r="BH24" s="37" t="str">
        <f t="shared" si="8"/>
        <v>Very Good</v>
      </c>
      <c r="BI24" s="154"/>
      <c r="BJ24" s="788">
        <f>BJ25</f>
        <v>3</v>
      </c>
      <c r="BK24" s="37" t="str">
        <f t="shared" si="9"/>
        <v>Very Good</v>
      </c>
      <c r="BL24" s="154"/>
      <c r="BO24" s="35"/>
      <c r="BP24" s="35"/>
      <c r="BQ24" s="35" t="str">
        <f t="shared" si="15"/>
        <v/>
      </c>
      <c r="BR24" s="35">
        <f t="shared" si="22"/>
        <v>9</v>
      </c>
      <c r="BS24" s="35">
        <f t="shared" si="17"/>
        <v>9</v>
      </c>
      <c r="BT24" s="35">
        <f t="shared" si="18"/>
        <v>9</v>
      </c>
      <c r="BW24" s="35"/>
      <c r="BX24" s="35"/>
      <c r="BY24" s="239"/>
      <c r="BZ24" s="239"/>
      <c r="CA24" s="239"/>
      <c r="CB24" s="239"/>
    </row>
    <row r="25" spans="1:81">
      <c r="A25">
        <v>17</v>
      </c>
      <c r="B25" t="str">
        <f t="shared" si="34"/>
        <v>Man 03f</v>
      </c>
      <c r="C25" t="str">
        <f t="shared" si="19"/>
        <v>Man 03</v>
      </c>
      <c r="D25" s="35" t="s">
        <v>739</v>
      </c>
      <c r="E25" s="857" t="s">
        <v>894</v>
      </c>
      <c r="F25" s="607">
        <v>2</v>
      </c>
      <c r="G25" s="607">
        <v>2</v>
      </c>
      <c r="H25" s="607">
        <v>2</v>
      </c>
      <c r="I25" s="607">
        <v>2</v>
      </c>
      <c r="J25" s="607">
        <v>2</v>
      </c>
      <c r="K25" s="607">
        <v>2</v>
      </c>
      <c r="L25" s="607">
        <v>2</v>
      </c>
      <c r="M25" s="607">
        <v>2</v>
      </c>
      <c r="N25" s="607">
        <v>2</v>
      </c>
      <c r="O25" s="607">
        <v>2</v>
      </c>
      <c r="P25" s="607">
        <v>2</v>
      </c>
      <c r="Q25" s="607">
        <v>2</v>
      </c>
      <c r="R25" s="607">
        <v>2</v>
      </c>
      <c r="T25" s="136">
        <f t="shared" si="2"/>
        <v>2</v>
      </c>
      <c r="U25" s="137"/>
      <c r="V25" s="35"/>
      <c r="W25" s="35"/>
      <c r="X25" s="138"/>
      <c r="Y25" s="139"/>
      <c r="Z25" s="894">
        <f>VLOOKUP(B25,'Manuell filtrering og justering'!$A$7:$H$107,'Manuell filtrering og justering'!$H$1,FALSE)</f>
        <v>2</v>
      </c>
      <c r="AA25" s="901">
        <f t="shared" si="11"/>
        <v>0</v>
      </c>
      <c r="AB25" s="154">
        <f>IF($AC$5='Manuell filtrering og justering'!$J$2,Z25,(T25-AA25))</f>
        <v>2</v>
      </c>
      <c r="AD25" s="141">
        <f t="shared" si="4"/>
        <v>1.2380952380952381E-2</v>
      </c>
      <c r="AE25" s="141">
        <f>IF(AB25=0,0,(AD25/AB25)*AI25)</f>
        <v>0</v>
      </c>
      <c r="AF25" s="141">
        <f t="shared" si="20"/>
        <v>0</v>
      </c>
      <c r="AG25" s="141">
        <f t="shared" si="21"/>
        <v>0</v>
      </c>
      <c r="AI25" s="142">
        <f>IF(VLOOKUP(E25,'Pre-Assessment Estimator'!$E$11:$Z$227,'Pre-Assessment Estimator'!$G$2,FALSE)&gt;AB25,AB25,VLOOKUP(E25,'Pre-Assessment Estimator'!$E$11:$Z$227,'Pre-Assessment Estimator'!$G$2,FALSE))</f>
        <v>0</v>
      </c>
      <c r="AJ25" s="142">
        <f>IF(VLOOKUP(E25,'Pre-Assessment Estimator'!$E$11:$Z$227,'Pre-Assessment Estimator'!$N$2,FALSE)&gt;AB25,AB25,VLOOKUP(E25,'Pre-Assessment Estimator'!$E$11:$Z$227,'Pre-Assessment Estimator'!$N$2,FALSE))</f>
        <v>0</v>
      </c>
      <c r="AK25" s="142">
        <f>IF(VLOOKUP(E25,'Pre-Assessment Estimator'!$E$11:$Z$227,'Pre-Assessment Estimator'!$U$2,FALSE)&gt;AB25,AB25,VLOOKUP(E25,'Pre-Assessment Estimator'!$E$11:$Z$227,'Pre-Assessment Estimator'!$U$2,FALSE))</f>
        <v>0</v>
      </c>
      <c r="AM25" s="786"/>
      <c r="AN25" s="787"/>
      <c r="AO25" s="787"/>
      <c r="AP25" s="799">
        <v>3</v>
      </c>
      <c r="AQ25" s="800">
        <v>3</v>
      </c>
      <c r="AR25" s="112"/>
      <c r="AS25" s="786"/>
      <c r="AT25" s="787"/>
      <c r="AU25" s="787"/>
      <c r="AV25" s="799">
        <v>3</v>
      </c>
      <c r="AW25" s="800">
        <v>3</v>
      </c>
      <c r="AX25" s="116"/>
      <c r="AY25" s="151"/>
      <c r="AZ25" s="152"/>
      <c r="BA25" s="152"/>
      <c r="BB25" s="152">
        <f>IF($E$6=$H$9,AV25,AP25)</f>
        <v>3</v>
      </c>
      <c r="BC25" s="152">
        <f>IF($E$6=$H$9,AW25,AQ25)</f>
        <v>3</v>
      </c>
      <c r="BD25" s="788">
        <f>IF(BC25=0,9,IF((AI25+AI24)&gt;=BC25,5,IF((AI25+AI24)&gt;=BB25,4,IF((AI25+AI24)&gt;=BA25,3,IF((AI25+AI24)&gt;=AZ25,2,IF((AI25+AI24)&lt;AY25,0,1))))))</f>
        <v>3</v>
      </c>
      <c r="BE25" s="37" t="str">
        <f t="shared" si="6"/>
        <v>Very Good</v>
      </c>
      <c r="BF25" s="154"/>
      <c r="BG25" s="788">
        <f>IF(BC25=0,9,IF((AJ25+AJ24)&gt;=BC25,5,IF((AJ25+AJ24)&gt;=BB25,4,IF((AJ25+AJ24)&gt;=BA25,3,IF((AJ25+AJ24)&gt;=AZ25,2,IF((AJ25+AJ24)&lt;AY25,0,1))))))</f>
        <v>3</v>
      </c>
      <c r="BH25" s="37" t="str">
        <f t="shared" si="8"/>
        <v>Very Good</v>
      </c>
      <c r="BI25" s="154"/>
      <c r="BJ25" s="788">
        <f>IF(BC25=0,9,IF((AK25+AK24)&gt;=BC25,5,IF((AK25+AK24)&gt;=BB25,4,IF((AK25+AK24)&gt;=BA25,3,IF((AK25+AK24)&gt;=AZ25,2,IF((AK25+AK24)&lt;AY25,0,1))))))</f>
        <v>3</v>
      </c>
      <c r="BK25" s="37" t="str">
        <f t="shared" si="9"/>
        <v>Very Good</v>
      </c>
      <c r="BL25" s="154"/>
      <c r="BO25" s="35"/>
      <c r="BP25" s="35"/>
      <c r="BQ25" s="35" t="str">
        <f t="shared" si="15"/>
        <v/>
      </c>
      <c r="BR25" s="35">
        <f t="shared" si="22"/>
        <v>9</v>
      </c>
      <c r="BS25" s="35">
        <f t="shared" si="17"/>
        <v>9</v>
      </c>
      <c r="BT25" s="35">
        <f t="shared" si="18"/>
        <v>9</v>
      </c>
      <c r="BW25" s="35"/>
      <c r="BX25" s="35"/>
      <c r="BY25" s="239"/>
      <c r="BZ25" s="239"/>
      <c r="CA25" s="239"/>
      <c r="CB25" s="239"/>
    </row>
    <row r="26" spans="1:81">
      <c r="A26">
        <v>18</v>
      </c>
      <c r="B26" s="112" t="str">
        <f>D26</f>
        <v>Man 04</v>
      </c>
      <c r="C26" s="112" t="str">
        <f>B26</f>
        <v>Man 04</v>
      </c>
      <c r="D26" s="661" t="s">
        <v>271</v>
      </c>
      <c r="E26" s="661" t="s">
        <v>272</v>
      </c>
      <c r="F26" s="748">
        <f>SUM(F27:F29)</f>
        <v>3</v>
      </c>
      <c r="G26" s="748">
        <f t="shared" ref="G26:R26" si="44">SUM(G27:G29)</f>
        <v>3</v>
      </c>
      <c r="H26" s="748">
        <f t="shared" si="44"/>
        <v>3</v>
      </c>
      <c r="I26" s="748">
        <f t="shared" si="44"/>
        <v>3</v>
      </c>
      <c r="J26" s="748">
        <f t="shared" si="44"/>
        <v>3</v>
      </c>
      <c r="K26" s="748">
        <f t="shared" si="44"/>
        <v>3</v>
      </c>
      <c r="L26" s="748">
        <f t="shared" si="44"/>
        <v>3</v>
      </c>
      <c r="M26" s="748">
        <f t="shared" si="44"/>
        <v>3</v>
      </c>
      <c r="N26" s="748">
        <f t="shared" si="44"/>
        <v>3</v>
      </c>
      <c r="O26" s="748">
        <f t="shared" si="44"/>
        <v>3</v>
      </c>
      <c r="P26" s="748">
        <f t="shared" si="44"/>
        <v>3</v>
      </c>
      <c r="Q26" s="748">
        <f t="shared" ref="Q26" si="45">SUM(Q27:Q29)</f>
        <v>3</v>
      </c>
      <c r="R26" s="748">
        <f t="shared" si="44"/>
        <v>3</v>
      </c>
      <c r="T26" s="734">
        <f t="shared" si="2"/>
        <v>3</v>
      </c>
      <c r="U26" s="137"/>
      <c r="V26" s="35"/>
      <c r="W26" s="35"/>
      <c r="X26" s="138">
        <f>'Manuell filtrering og justering'!E10</f>
        <v>0</v>
      </c>
      <c r="Y26" s="139"/>
      <c r="Z26" s="909">
        <f t="shared" ref="Z26" si="46">SUM(Z27:Z29)</f>
        <v>3</v>
      </c>
      <c r="AA26" s="901">
        <f t="shared" si="11"/>
        <v>0</v>
      </c>
      <c r="AB26" s="905">
        <f>SUM(AB27:AB29)</f>
        <v>3</v>
      </c>
      <c r="AD26" s="736">
        <f t="shared" si="4"/>
        <v>1.8571428571428572E-2</v>
      </c>
      <c r="AE26" s="736">
        <f>SUM(AE27:AE29)</f>
        <v>0</v>
      </c>
      <c r="AF26" s="736">
        <f>SUM(AF27:AF29)</f>
        <v>0</v>
      </c>
      <c r="AG26" s="736">
        <f>SUM(AG27:AG29)</f>
        <v>0</v>
      </c>
      <c r="AI26" s="737">
        <f t="shared" ref="AI26:AK26" si="47">SUM(AI27:AI29)</f>
        <v>0</v>
      </c>
      <c r="AJ26" s="737">
        <f t="shared" si="47"/>
        <v>0</v>
      </c>
      <c r="AK26" s="737">
        <f t="shared" si="47"/>
        <v>0</v>
      </c>
      <c r="AM26" s="242"/>
      <c r="AN26" s="150"/>
      <c r="AO26" s="150"/>
      <c r="AP26" s="150"/>
      <c r="AQ26" s="155"/>
      <c r="AS26" s="242"/>
      <c r="AT26" s="150"/>
      <c r="AU26" s="150"/>
      <c r="AV26" s="150"/>
      <c r="AW26" s="155"/>
      <c r="AX26" s="116"/>
      <c r="AY26" s="151"/>
      <c r="AZ26" s="152"/>
      <c r="BA26" s="152"/>
      <c r="BB26" s="152"/>
      <c r="BC26" s="156"/>
      <c r="BD26" s="151">
        <f t="shared" si="30"/>
        <v>9</v>
      </c>
      <c r="BE26" s="37" t="str">
        <f t="shared" si="6"/>
        <v>N/A</v>
      </c>
      <c r="BF26" s="154"/>
      <c r="BG26" s="151">
        <f t="shared" si="35"/>
        <v>9</v>
      </c>
      <c r="BH26" s="37" t="str">
        <f t="shared" si="8"/>
        <v>N/A</v>
      </c>
      <c r="BI26" s="154"/>
      <c r="BJ26" s="151">
        <f t="shared" si="36"/>
        <v>9</v>
      </c>
      <c r="BK26" s="37" t="str">
        <f t="shared" si="9"/>
        <v>N/A</v>
      </c>
      <c r="BL26" s="154"/>
      <c r="BO26" s="35"/>
      <c r="BP26" s="35"/>
      <c r="BQ26" s="35" t="str">
        <f t="shared" si="15"/>
        <v/>
      </c>
      <c r="BR26" s="35">
        <f t="shared" si="22"/>
        <v>9</v>
      </c>
      <c r="BS26" s="35">
        <f t="shared" si="17"/>
        <v>9</v>
      </c>
      <c r="BT26" s="35">
        <f t="shared" si="18"/>
        <v>9</v>
      </c>
      <c r="BW26" s="35" t="str">
        <f>D26</f>
        <v>Man 04</v>
      </c>
      <c r="BX26" s="35" t="str">
        <f>IFERROR(VLOOKUP($E26,'Pre-Assessment Estimator'!$E$11:$AB$227,'Pre-Assessment Estimator'!AB$2,FALSE),"")</f>
        <v>No</v>
      </c>
      <c r="BY26" s="239">
        <f>IFERROR(VLOOKUP($E26,'Pre-Assessment Estimator'!$E$11:$AI$227,'Pre-Assessment Estimator'!AI$2,FALSE),"")</f>
        <v>0</v>
      </c>
      <c r="BZ26" s="239">
        <f>IFERROR(VLOOKUP($BX26,$E$293:$H$326,F$291,FALSE),"")</f>
        <v>1</v>
      </c>
      <c r="CA26" s="239">
        <f>IFERROR(VLOOKUP($BX26,$E$293:$H$326,G$291,FALSE),"")</f>
        <v>0</v>
      </c>
      <c r="CB26" s="239"/>
      <c r="CC26" t="str">
        <f>IFERROR(VLOOKUP($BX26,$E$293:$H$326,I$291,FALSE),"")</f>
        <v/>
      </c>
    </row>
    <row r="27" spans="1:81">
      <c r="A27">
        <v>19</v>
      </c>
      <c r="B27" t="str">
        <f t="shared" ref="B27:B29" si="48">$D$26&amp;D27</f>
        <v>Man 04a</v>
      </c>
      <c r="C27" t="str">
        <f t="shared" si="19"/>
        <v>Man 04</v>
      </c>
      <c r="D27" s="35" t="s">
        <v>729</v>
      </c>
      <c r="E27" s="857" t="s">
        <v>573</v>
      </c>
      <c r="F27" s="607">
        <v>1</v>
      </c>
      <c r="G27" s="607">
        <v>1</v>
      </c>
      <c r="H27" s="607">
        <v>1</v>
      </c>
      <c r="I27" s="607">
        <v>1</v>
      </c>
      <c r="J27" s="607">
        <v>1</v>
      </c>
      <c r="K27" s="607">
        <v>1</v>
      </c>
      <c r="L27" s="607">
        <v>1</v>
      </c>
      <c r="M27" s="607">
        <v>1</v>
      </c>
      <c r="N27" s="607">
        <v>1</v>
      </c>
      <c r="O27" s="607">
        <v>1</v>
      </c>
      <c r="P27" s="607">
        <v>1</v>
      </c>
      <c r="Q27" s="607">
        <v>1</v>
      </c>
      <c r="R27" s="607">
        <v>1</v>
      </c>
      <c r="T27" s="136">
        <f t="shared" si="2"/>
        <v>1</v>
      </c>
      <c r="U27" s="137"/>
      <c r="V27" s="35"/>
      <c r="W27" s="35"/>
      <c r="X27" s="138"/>
      <c r="Y27" s="139"/>
      <c r="Z27" s="894">
        <f>VLOOKUP(B27,'Manuell filtrering og justering'!$A$7:$H$107,'Manuell filtrering og justering'!$H$1,FALSE)</f>
        <v>1</v>
      </c>
      <c r="AA27" s="901">
        <f t="shared" si="11"/>
        <v>0</v>
      </c>
      <c r="AB27" s="154">
        <f>IF($AC$5='Manuell filtrering og justering'!$J$2,Z27,(T27-AA27))</f>
        <v>1</v>
      </c>
      <c r="AD27" s="141">
        <f t="shared" si="4"/>
        <v>6.1904761904761907E-3</v>
      </c>
      <c r="AE27" s="141">
        <f>IF(AB27=0,0,(AD27/AB27)*AI27)</f>
        <v>0</v>
      </c>
      <c r="AF27" s="141">
        <f t="shared" si="20"/>
        <v>0</v>
      </c>
      <c r="AG27" s="141">
        <f t="shared" si="21"/>
        <v>0</v>
      </c>
      <c r="AI27" s="142">
        <f>IF(VLOOKUP(E27,'Pre-Assessment Estimator'!$E$11:$Z$227,'Pre-Assessment Estimator'!$G$2,FALSE)&gt;AB27,AB27,VLOOKUP(E27,'Pre-Assessment Estimator'!$E$11:$Z$227,'Pre-Assessment Estimator'!$G$2,FALSE))</f>
        <v>0</v>
      </c>
      <c r="AJ27" s="142">
        <f>IF(VLOOKUP(E27,'Pre-Assessment Estimator'!$E$11:$Z$227,'Pre-Assessment Estimator'!$N$2,FALSE)&gt;AB27,AB27,VLOOKUP(E27,'Pre-Assessment Estimator'!$E$11:$Z$227,'Pre-Assessment Estimator'!$N$2,FALSE))</f>
        <v>0</v>
      </c>
      <c r="AK27" s="142">
        <f>IF(VLOOKUP(E27,'Pre-Assessment Estimator'!$E$11:$Z$227,'Pre-Assessment Estimator'!$U$2,FALSE)&gt;AB27,AB27,VLOOKUP(E27,'Pre-Assessment Estimator'!$E$11:$Z$227,'Pre-Assessment Estimator'!$U$2,FALSE))</f>
        <v>0</v>
      </c>
      <c r="AM27" s="242">
        <v>1</v>
      </c>
      <c r="AN27" s="150">
        <v>1</v>
      </c>
      <c r="AO27" s="150">
        <v>1</v>
      </c>
      <c r="AP27" s="150">
        <v>1</v>
      </c>
      <c r="AQ27" s="155">
        <v>1</v>
      </c>
      <c r="AS27" s="242">
        <v>1</v>
      </c>
      <c r="AT27" s="150">
        <v>1</v>
      </c>
      <c r="AU27" s="150">
        <v>1</v>
      </c>
      <c r="AV27" s="150">
        <v>1</v>
      </c>
      <c r="AW27" s="155">
        <v>1</v>
      </c>
      <c r="AX27" s="116"/>
      <c r="AY27" s="152">
        <f>IF($E$6=$H$9,AS27,AM27)</f>
        <v>1</v>
      </c>
      <c r="AZ27" s="152">
        <f>IF($E$6=$H$9,AT27,AN27)</f>
        <v>1</v>
      </c>
      <c r="BA27" s="152">
        <f>IF($E$6=$H$9,AU27,AO27)</f>
        <v>1</v>
      </c>
      <c r="BB27" s="152">
        <f>IF($E$6=$H$9,AV27,AP27)</f>
        <v>1</v>
      </c>
      <c r="BC27" s="152">
        <f>IF($E$6=$H$9,AW27,AQ27)</f>
        <v>1</v>
      </c>
      <c r="BD27" s="151">
        <f t="shared" si="30"/>
        <v>0</v>
      </c>
      <c r="BE27" s="37" t="str">
        <f t="shared" si="6"/>
        <v>Unclassified</v>
      </c>
      <c r="BF27" s="154"/>
      <c r="BG27" s="151">
        <f t="shared" si="35"/>
        <v>0</v>
      </c>
      <c r="BH27" s="37" t="str">
        <f t="shared" si="8"/>
        <v>Unclassified</v>
      </c>
      <c r="BI27" s="154"/>
      <c r="BJ27" s="151">
        <f t="shared" si="36"/>
        <v>0</v>
      </c>
      <c r="BK27" s="37" t="str">
        <f t="shared" si="9"/>
        <v>Unclassified</v>
      </c>
      <c r="BL27" s="154"/>
      <c r="BO27" s="35"/>
      <c r="BP27" s="35"/>
      <c r="BQ27" s="35" t="str">
        <f t="shared" si="15"/>
        <v/>
      </c>
      <c r="BR27" s="35">
        <f t="shared" si="22"/>
        <v>9</v>
      </c>
      <c r="BS27" s="35">
        <f t="shared" si="17"/>
        <v>9</v>
      </c>
      <c r="BT27" s="35">
        <f t="shared" si="18"/>
        <v>9</v>
      </c>
      <c r="BW27" s="35"/>
      <c r="BX27" s="35"/>
      <c r="BY27" s="239"/>
      <c r="BZ27" s="239"/>
      <c r="CA27" s="239"/>
      <c r="CB27" s="239"/>
    </row>
    <row r="28" spans="1:81">
      <c r="A28">
        <v>20</v>
      </c>
      <c r="B28" t="str">
        <f t="shared" si="48"/>
        <v>Man 04b</v>
      </c>
      <c r="C28" t="str">
        <f t="shared" si="19"/>
        <v>Man 04</v>
      </c>
      <c r="D28" s="35" t="s">
        <v>730</v>
      </c>
      <c r="E28" s="857" t="s">
        <v>574</v>
      </c>
      <c r="F28" s="607">
        <v>1</v>
      </c>
      <c r="G28" s="607">
        <v>1</v>
      </c>
      <c r="H28" s="607">
        <v>1</v>
      </c>
      <c r="I28" s="607">
        <v>1</v>
      </c>
      <c r="J28" s="607">
        <v>1</v>
      </c>
      <c r="K28" s="607">
        <v>1</v>
      </c>
      <c r="L28" s="607">
        <v>1</v>
      </c>
      <c r="M28" s="607">
        <v>1</v>
      </c>
      <c r="N28" s="607">
        <v>1</v>
      </c>
      <c r="O28" s="607">
        <v>1</v>
      </c>
      <c r="P28" s="607">
        <v>1</v>
      </c>
      <c r="Q28" s="607">
        <v>1</v>
      </c>
      <c r="R28" s="607">
        <v>1</v>
      </c>
      <c r="T28" s="136">
        <f t="shared" si="2"/>
        <v>1</v>
      </c>
      <c r="U28" s="137"/>
      <c r="V28" s="35"/>
      <c r="W28" s="35"/>
      <c r="X28" s="138"/>
      <c r="Y28" s="139">
        <f>IF($Y$4=$Y$6,T28,0)</f>
        <v>0</v>
      </c>
      <c r="Z28" s="894">
        <f>VLOOKUP(B28,'Manuell filtrering og justering'!$A$7:$H$107,'Manuell filtrering og justering'!$H$1,FALSE)</f>
        <v>1</v>
      </c>
      <c r="AA28" s="901">
        <f t="shared" si="11"/>
        <v>0</v>
      </c>
      <c r="AB28" s="154">
        <f>IF($AC$5='Manuell filtrering og justering'!$J$2,Z28,(T28-AA28))</f>
        <v>1</v>
      </c>
      <c r="AD28" s="141">
        <f t="shared" si="4"/>
        <v>6.1904761904761907E-3</v>
      </c>
      <c r="AE28" s="141">
        <f>IF(AB28=0,0,(AD28/AB28)*AI28)</f>
        <v>0</v>
      </c>
      <c r="AF28" s="141">
        <f t="shared" si="20"/>
        <v>0</v>
      </c>
      <c r="AG28" s="141">
        <f t="shared" si="21"/>
        <v>0</v>
      </c>
      <c r="AI28" s="142">
        <f>IF(VLOOKUP(E28,'Pre-Assessment Estimator'!$E$11:$Z$227,'Pre-Assessment Estimator'!$G$2,FALSE)&gt;AB28,AB28,VLOOKUP(E28,'Pre-Assessment Estimator'!$E$11:$Z$227,'Pre-Assessment Estimator'!$G$2,FALSE))</f>
        <v>0</v>
      </c>
      <c r="AJ28" s="142">
        <f>IF(VLOOKUP(E28,'Pre-Assessment Estimator'!$E$11:$Z$227,'Pre-Assessment Estimator'!$N$2,FALSE)&gt;AB28,AB28,VLOOKUP(E28,'Pre-Assessment Estimator'!$E$11:$Z$227,'Pre-Assessment Estimator'!$N$2,FALSE))</f>
        <v>0</v>
      </c>
      <c r="AK28" s="142">
        <f>IF(VLOOKUP(E28,'Pre-Assessment Estimator'!$E$11:$Z$227,'Pre-Assessment Estimator'!$U$2,FALSE)&gt;AB28,AB28,VLOOKUP(E28,'Pre-Assessment Estimator'!$E$11:$Z$227,'Pre-Assessment Estimator'!$U$2,FALSE))</f>
        <v>0</v>
      </c>
      <c r="AM28" s="242"/>
      <c r="AN28" s="150"/>
      <c r="AO28" s="150"/>
      <c r="AP28" s="150"/>
      <c r="AQ28" s="155"/>
      <c r="AS28" s="242"/>
      <c r="AT28" s="150"/>
      <c r="AU28" s="150"/>
      <c r="AV28" s="150"/>
      <c r="AW28" s="155"/>
      <c r="AX28" s="116"/>
      <c r="AY28" s="151"/>
      <c r="AZ28" s="152"/>
      <c r="BA28" s="152"/>
      <c r="BB28" s="152"/>
      <c r="BC28" s="156"/>
      <c r="BD28" s="151">
        <f t="shared" si="30"/>
        <v>9</v>
      </c>
      <c r="BE28" s="37" t="str">
        <f t="shared" si="6"/>
        <v>N/A</v>
      </c>
      <c r="BF28" s="154"/>
      <c r="BG28" s="151">
        <f t="shared" si="35"/>
        <v>9</v>
      </c>
      <c r="BH28" s="37" t="str">
        <f t="shared" si="8"/>
        <v>N/A</v>
      </c>
      <c r="BI28" s="154"/>
      <c r="BJ28" s="151">
        <f t="shared" si="36"/>
        <v>9</v>
      </c>
      <c r="BK28" s="37" t="str">
        <f t="shared" si="9"/>
        <v>N/A</v>
      </c>
      <c r="BL28" s="154"/>
      <c r="BO28" s="35"/>
      <c r="BP28" s="35"/>
      <c r="BQ28" s="35" t="str">
        <f t="shared" si="15"/>
        <v/>
      </c>
      <c r="BR28" s="35">
        <f t="shared" si="22"/>
        <v>9</v>
      </c>
      <c r="BS28" s="35">
        <f t="shared" si="17"/>
        <v>9</v>
      </c>
      <c r="BT28" s="35">
        <f t="shared" si="18"/>
        <v>9</v>
      </c>
      <c r="BW28" s="35"/>
      <c r="BX28" s="35"/>
      <c r="BY28" s="239"/>
      <c r="BZ28" s="239"/>
      <c r="CA28" s="239"/>
      <c r="CB28" s="239"/>
    </row>
    <row r="29" spans="1:81">
      <c r="A29">
        <v>21</v>
      </c>
      <c r="B29" t="str">
        <f t="shared" si="48"/>
        <v>Man 04c</v>
      </c>
      <c r="C29" t="str">
        <f t="shared" si="19"/>
        <v>Man 04</v>
      </c>
      <c r="D29" s="35" t="s">
        <v>731</v>
      </c>
      <c r="E29" s="857" t="s">
        <v>575</v>
      </c>
      <c r="F29" s="607">
        <v>1</v>
      </c>
      <c r="G29" s="607">
        <v>1</v>
      </c>
      <c r="H29" s="607">
        <v>1</v>
      </c>
      <c r="I29" s="607">
        <v>1</v>
      </c>
      <c r="J29" s="607">
        <v>1</v>
      </c>
      <c r="K29" s="607">
        <v>1</v>
      </c>
      <c r="L29" s="607">
        <v>1</v>
      </c>
      <c r="M29" s="607">
        <v>1</v>
      </c>
      <c r="N29" s="607">
        <v>1</v>
      </c>
      <c r="O29" s="607">
        <v>1</v>
      </c>
      <c r="P29" s="607">
        <v>1</v>
      </c>
      <c r="Q29" s="607">
        <v>1</v>
      </c>
      <c r="R29" s="607">
        <v>1</v>
      </c>
      <c r="T29" s="136">
        <f t="shared" si="2"/>
        <v>1</v>
      </c>
      <c r="U29" s="137"/>
      <c r="V29" s="35"/>
      <c r="W29" s="35"/>
      <c r="X29" s="138"/>
      <c r="Y29" s="139"/>
      <c r="Z29" s="894">
        <f>VLOOKUP(B29,'Manuell filtrering og justering'!$A$7:$H$107,'Manuell filtrering og justering'!$H$1,FALSE)</f>
        <v>1</v>
      </c>
      <c r="AA29" s="901">
        <f t="shared" si="11"/>
        <v>0</v>
      </c>
      <c r="AB29" s="154">
        <f>IF($AC$5='Manuell filtrering og justering'!$J$2,Z29,(T29-AA29))</f>
        <v>1</v>
      </c>
      <c r="AD29" s="141">
        <f t="shared" si="4"/>
        <v>6.1904761904761907E-3</v>
      </c>
      <c r="AE29" s="141">
        <f>IF(AB29=0,0,(AD29/AB29)*AI29)</f>
        <v>0</v>
      </c>
      <c r="AF29" s="141">
        <f t="shared" si="20"/>
        <v>0</v>
      </c>
      <c r="AG29" s="141">
        <f t="shared" si="21"/>
        <v>0</v>
      </c>
      <c r="AI29" s="142">
        <f>IF(VLOOKUP(E29,'Pre-Assessment Estimator'!$E$11:$Z$227,'Pre-Assessment Estimator'!$G$2,FALSE)&gt;AB29,AB29,VLOOKUP(E29,'Pre-Assessment Estimator'!$E$11:$Z$227,'Pre-Assessment Estimator'!$G$2,FALSE))</f>
        <v>0</v>
      </c>
      <c r="AJ29" s="142">
        <f>IF(VLOOKUP(E29,'Pre-Assessment Estimator'!$E$11:$Z$227,'Pre-Assessment Estimator'!$N$2,FALSE)&gt;AB29,AB29,VLOOKUP(E29,'Pre-Assessment Estimator'!$E$11:$Z$227,'Pre-Assessment Estimator'!$N$2,FALSE))</f>
        <v>0</v>
      </c>
      <c r="AK29" s="142">
        <f>IF(VLOOKUP(E29,'Pre-Assessment Estimator'!$E$11:$Z$227,'Pre-Assessment Estimator'!$U$2,FALSE)&gt;AB29,AB29,VLOOKUP(E29,'Pre-Assessment Estimator'!$E$11:$Z$227,'Pre-Assessment Estimator'!$U$2,FALSE))</f>
        <v>0</v>
      </c>
      <c r="AM29" s="242"/>
      <c r="AN29" s="150"/>
      <c r="AO29" s="150">
        <v>1</v>
      </c>
      <c r="AP29" s="150">
        <v>1</v>
      </c>
      <c r="AQ29" s="155">
        <v>1</v>
      </c>
      <c r="AS29" s="242"/>
      <c r="AT29" s="150"/>
      <c r="AU29" s="150">
        <v>1</v>
      </c>
      <c r="AV29" s="150">
        <v>1</v>
      </c>
      <c r="AW29" s="155">
        <v>1</v>
      </c>
      <c r="AX29" s="116"/>
      <c r="AY29" s="151"/>
      <c r="AZ29" s="152"/>
      <c r="BA29" s="152">
        <f>IF($E$6=$H$9,AU29,AO29)</f>
        <v>1</v>
      </c>
      <c r="BB29" s="152">
        <f>IF($E$6=$H$9,AV29,AP29)</f>
        <v>1</v>
      </c>
      <c r="BC29" s="152">
        <f>IF($E$6=$H$9,AW29,AQ29)</f>
        <v>1</v>
      </c>
      <c r="BD29" s="151">
        <f t="shared" si="30"/>
        <v>2</v>
      </c>
      <c r="BE29" s="37" t="str">
        <f t="shared" si="6"/>
        <v>Good</v>
      </c>
      <c r="BF29" s="154"/>
      <c r="BG29" s="151">
        <f t="shared" si="35"/>
        <v>2</v>
      </c>
      <c r="BH29" s="37" t="str">
        <f t="shared" si="8"/>
        <v>Good</v>
      </c>
      <c r="BI29" s="154"/>
      <c r="BJ29" s="151">
        <f t="shared" si="36"/>
        <v>2</v>
      </c>
      <c r="BK29" s="37" t="str">
        <f t="shared" si="9"/>
        <v>Good</v>
      </c>
      <c r="BL29" s="154"/>
      <c r="BO29" s="35"/>
      <c r="BP29" s="35"/>
      <c r="BQ29" s="35" t="str">
        <f t="shared" si="15"/>
        <v/>
      </c>
      <c r="BR29" s="35">
        <f t="shared" si="22"/>
        <v>9</v>
      </c>
      <c r="BS29" s="35">
        <f t="shared" si="17"/>
        <v>9</v>
      </c>
      <c r="BT29" s="35">
        <f t="shared" si="18"/>
        <v>9</v>
      </c>
      <c r="BW29" s="35"/>
      <c r="BX29" s="35"/>
      <c r="BY29" s="239"/>
      <c r="BZ29" s="239"/>
      <c r="CA29" s="239"/>
      <c r="CB29" s="239"/>
    </row>
    <row r="30" spans="1:81">
      <c r="A30">
        <v>22</v>
      </c>
      <c r="B30" s="112" t="str">
        <f>D30</f>
        <v>Man 05</v>
      </c>
      <c r="C30" s="112" t="str">
        <f>B30</f>
        <v>Man 05</v>
      </c>
      <c r="D30" s="661" t="s">
        <v>279</v>
      </c>
      <c r="E30" s="661" t="s">
        <v>280</v>
      </c>
      <c r="F30" s="748">
        <f>SUM(F31:F33)</f>
        <v>3</v>
      </c>
      <c r="G30" s="748">
        <f t="shared" ref="G30:R30" si="49">SUM(G31:G33)</f>
        <v>3</v>
      </c>
      <c r="H30" s="748">
        <f t="shared" si="49"/>
        <v>3</v>
      </c>
      <c r="I30" s="748">
        <f t="shared" si="49"/>
        <v>3</v>
      </c>
      <c r="J30" s="748">
        <f t="shared" si="49"/>
        <v>3</v>
      </c>
      <c r="K30" s="748">
        <f t="shared" si="49"/>
        <v>3</v>
      </c>
      <c r="L30" s="748">
        <f t="shared" si="49"/>
        <v>3</v>
      </c>
      <c r="M30" s="748">
        <f t="shared" si="49"/>
        <v>3</v>
      </c>
      <c r="N30" s="748">
        <f t="shared" si="49"/>
        <v>3</v>
      </c>
      <c r="O30" s="748">
        <f t="shared" si="49"/>
        <v>3</v>
      </c>
      <c r="P30" s="748">
        <f t="shared" si="49"/>
        <v>3</v>
      </c>
      <c r="Q30" s="748">
        <f t="shared" ref="Q30" si="50">SUM(Q31:Q33)</f>
        <v>3</v>
      </c>
      <c r="R30" s="748">
        <f t="shared" si="49"/>
        <v>3</v>
      </c>
      <c r="T30" s="734">
        <f t="shared" si="2"/>
        <v>3</v>
      </c>
      <c r="U30" s="137"/>
      <c r="V30" s="35"/>
      <c r="W30" s="35"/>
      <c r="X30" s="138">
        <f>'Manuell filtrering og justering'!E11</f>
        <v>0</v>
      </c>
      <c r="Y30" s="139"/>
      <c r="Z30" s="909">
        <f t="shared" ref="Z30" si="51">SUM(Z31:Z33)</f>
        <v>3</v>
      </c>
      <c r="AA30" s="901">
        <f t="shared" si="11"/>
        <v>0</v>
      </c>
      <c r="AB30" s="905">
        <f>SUM(AB31:AB33)</f>
        <v>3</v>
      </c>
      <c r="AD30" s="736">
        <f t="shared" si="4"/>
        <v>1.8571428571428572E-2</v>
      </c>
      <c r="AE30" s="736">
        <f>SUM(AE31:AE33)</f>
        <v>0</v>
      </c>
      <c r="AF30" s="736">
        <f t="shared" ref="AF30:AG30" si="52">SUM(AF31:AF33)</f>
        <v>0</v>
      </c>
      <c r="AG30" s="736">
        <f t="shared" si="52"/>
        <v>0</v>
      </c>
      <c r="AI30" s="737">
        <f t="shared" ref="AI30:AK30" si="53">SUM(AI31:AI33)</f>
        <v>0</v>
      </c>
      <c r="AJ30" s="737">
        <f t="shared" si="53"/>
        <v>0</v>
      </c>
      <c r="AK30" s="737">
        <f t="shared" si="53"/>
        <v>0</v>
      </c>
      <c r="AM30" s="256"/>
      <c r="AN30" s="257"/>
      <c r="AO30" s="257"/>
      <c r="AP30" s="257"/>
      <c r="AQ30" s="258"/>
      <c r="AS30" s="256"/>
      <c r="AT30" s="257"/>
      <c r="AU30" s="257"/>
      <c r="AV30" s="257"/>
      <c r="AW30" s="258"/>
      <c r="AY30" s="137"/>
      <c r="AZ30" s="35"/>
      <c r="BA30" s="35"/>
      <c r="BB30" s="35"/>
      <c r="BC30" s="138"/>
      <c r="BD30" s="151">
        <f t="shared" si="30"/>
        <v>9</v>
      </c>
      <c r="BE30" s="37" t="str">
        <f t="shared" si="6"/>
        <v>N/A</v>
      </c>
      <c r="BF30" s="154"/>
      <c r="BG30" s="151">
        <f t="shared" si="35"/>
        <v>9</v>
      </c>
      <c r="BH30" s="37" t="str">
        <f t="shared" si="8"/>
        <v>N/A</v>
      </c>
      <c r="BI30" s="154"/>
      <c r="BJ30" s="151">
        <f t="shared" si="36"/>
        <v>9</v>
      </c>
      <c r="BK30" s="37" t="str">
        <f t="shared" si="9"/>
        <v>N/A</v>
      </c>
      <c r="BL30" s="154"/>
      <c r="BO30" s="35"/>
      <c r="BP30" s="35"/>
      <c r="BQ30" s="35" t="str">
        <f t="shared" si="15"/>
        <v/>
      </c>
      <c r="BR30" s="35">
        <f t="shared" si="22"/>
        <v>9</v>
      </c>
      <c r="BS30" s="35">
        <f t="shared" si="17"/>
        <v>9</v>
      </c>
      <c r="BT30" s="35">
        <f t="shared" si="18"/>
        <v>9</v>
      </c>
      <c r="BW30" s="35" t="str">
        <f>D30</f>
        <v>Man 05</v>
      </c>
      <c r="BX30" s="35" t="str">
        <f>IFERROR(VLOOKUP($E30,'Pre-Assessment Estimator'!$E$11:$AB$227,'Pre-Assessment Estimator'!AB$2,FALSE),"")</f>
        <v>No</v>
      </c>
      <c r="BY30" s="239">
        <f>IFERROR(VLOOKUP($E30,'Pre-Assessment Estimator'!$E$11:$AI$227,'Pre-Assessment Estimator'!AI$2,FALSE),"")</f>
        <v>0</v>
      </c>
      <c r="BZ30" s="239">
        <f>IFERROR(VLOOKUP($BX30,$E$293:$H$326,F$291,FALSE),"")</f>
        <v>1</v>
      </c>
      <c r="CA30" s="239">
        <f>IFERROR(VLOOKUP($BX30,$E$293:$H$326,G$291,FALSE),"")</f>
        <v>0</v>
      </c>
      <c r="CB30" s="239"/>
      <c r="CC30" t="s">
        <v>895</v>
      </c>
    </row>
    <row r="31" spans="1:81">
      <c r="A31">
        <v>23</v>
      </c>
      <c r="B31" t="str">
        <f t="shared" ref="B31:B33" si="54">$D$30&amp;D31</f>
        <v>Man 05a</v>
      </c>
      <c r="C31" t="str">
        <f t="shared" si="19"/>
        <v>Man 05</v>
      </c>
      <c r="D31" s="35" t="s">
        <v>729</v>
      </c>
      <c r="E31" s="857" t="s">
        <v>577</v>
      </c>
      <c r="F31" s="607">
        <v>1</v>
      </c>
      <c r="G31" s="607">
        <v>1</v>
      </c>
      <c r="H31" s="607">
        <v>1</v>
      </c>
      <c r="I31" s="607">
        <v>1</v>
      </c>
      <c r="J31" s="607">
        <v>1</v>
      </c>
      <c r="K31" s="607">
        <v>1</v>
      </c>
      <c r="L31" s="607">
        <v>1</v>
      </c>
      <c r="M31" s="607">
        <v>1</v>
      </c>
      <c r="N31" s="607">
        <v>1</v>
      </c>
      <c r="O31" s="607">
        <v>1</v>
      </c>
      <c r="P31" s="607">
        <v>1</v>
      </c>
      <c r="Q31" s="607">
        <v>1</v>
      </c>
      <c r="R31" s="607">
        <v>1</v>
      </c>
      <c r="T31" s="136">
        <f t="shared" si="2"/>
        <v>1</v>
      </c>
      <c r="U31" s="137"/>
      <c r="V31" s="35"/>
      <c r="W31" s="35"/>
      <c r="X31" s="138"/>
      <c r="Y31" s="139">
        <f>IF(OR($Y$4=$Y$5,$Y$4=$Y$6),T31,0)</f>
        <v>0</v>
      </c>
      <c r="Z31" s="894">
        <f>VLOOKUP(B31,'Manuell filtrering og justering'!$A$7:$H$107,'Manuell filtrering og justering'!$H$1,FALSE)</f>
        <v>1</v>
      </c>
      <c r="AA31" s="901">
        <f t="shared" si="11"/>
        <v>0</v>
      </c>
      <c r="AB31" s="154">
        <f>IF($AC$5='Manuell filtrering og justering'!$J$2,Z31,(T31-AA31))</f>
        <v>1</v>
      </c>
      <c r="AD31" s="141">
        <f t="shared" si="4"/>
        <v>6.1904761904761907E-3</v>
      </c>
      <c r="AE31" s="141">
        <f>IF(AB31=0,0,(AD31/AB31)*AI31)</f>
        <v>0</v>
      </c>
      <c r="AF31" s="141">
        <f t="shared" si="20"/>
        <v>0</v>
      </c>
      <c r="AG31" s="141">
        <f t="shared" si="21"/>
        <v>0</v>
      </c>
      <c r="AI31" s="142">
        <f>IF(VLOOKUP(E31,'Pre-Assessment Estimator'!$E$11:$Z$227,'Pre-Assessment Estimator'!$G$2,FALSE)&gt;AB31,AB31,VLOOKUP(E31,'Pre-Assessment Estimator'!$E$11:$Z$227,'Pre-Assessment Estimator'!$G$2,FALSE))</f>
        <v>0</v>
      </c>
      <c r="AJ31" s="142">
        <f>IF(VLOOKUP(E31,'Pre-Assessment Estimator'!$E$11:$Z$227,'Pre-Assessment Estimator'!$N$2,FALSE)&gt;AB31,AB31,VLOOKUP(E31,'Pre-Assessment Estimator'!$E$11:$Z$227,'Pre-Assessment Estimator'!$N$2,FALSE))</f>
        <v>0</v>
      </c>
      <c r="AK31" s="142">
        <f>IF(VLOOKUP(E31,'Pre-Assessment Estimator'!$E$11:$Z$227,'Pre-Assessment Estimator'!$U$2,FALSE)&gt;AB31,AB31,VLOOKUP(E31,'Pre-Assessment Estimator'!$E$11:$Z$227,'Pre-Assessment Estimator'!$U$2,FALSE))</f>
        <v>0</v>
      </c>
      <c r="AM31" s="256"/>
      <c r="AN31" s="257"/>
      <c r="AO31" s="257"/>
      <c r="AP31" s="257"/>
      <c r="AQ31" s="258"/>
      <c r="AS31" s="256"/>
      <c r="AT31" s="257"/>
      <c r="AU31" s="257"/>
      <c r="AV31" s="257"/>
      <c r="AW31" s="258"/>
      <c r="AY31" s="137"/>
      <c r="AZ31" s="35"/>
      <c r="BA31" s="35"/>
      <c r="BB31" s="35"/>
      <c r="BC31" s="138"/>
      <c r="BD31" s="151">
        <f t="shared" si="30"/>
        <v>9</v>
      </c>
      <c r="BE31" s="37" t="str">
        <f t="shared" si="6"/>
        <v>N/A</v>
      </c>
      <c r="BF31" s="154"/>
      <c r="BG31" s="151">
        <f t="shared" si="35"/>
        <v>9</v>
      </c>
      <c r="BH31" s="37" t="str">
        <f t="shared" si="8"/>
        <v>N/A</v>
      </c>
      <c r="BI31" s="154"/>
      <c r="BJ31" s="151">
        <f t="shared" si="36"/>
        <v>9</v>
      </c>
      <c r="BK31" s="37" t="str">
        <f t="shared" si="9"/>
        <v>N/A</v>
      </c>
      <c r="BL31" s="154"/>
      <c r="BO31" s="35"/>
      <c r="BP31" s="35"/>
      <c r="BQ31" s="35" t="str">
        <f t="shared" si="15"/>
        <v/>
      </c>
      <c r="BR31" s="35">
        <f t="shared" ref="BR31:BR94" si="55">IF(BQ31="",9,(IF(AI31&gt;=BQ31,5,0)))</f>
        <v>9</v>
      </c>
      <c r="BS31" s="35">
        <f t="shared" ref="BS31:BS94" si="56">IF(BQ31="",9,(IF(AJ31&gt;=BQ31,5,0)))</f>
        <v>9</v>
      </c>
      <c r="BT31" s="35">
        <f t="shared" ref="BT31:BT94" si="57">IF(BQ31="",9,(IF(AK31&gt;=BQ31,5,0)))</f>
        <v>9</v>
      </c>
      <c r="BW31" s="35"/>
      <c r="BX31" s="35"/>
      <c r="BY31" s="239"/>
      <c r="BZ31" s="239"/>
      <c r="CA31" s="239"/>
      <c r="CB31" s="239"/>
    </row>
    <row r="32" spans="1:81">
      <c r="A32">
        <v>24</v>
      </c>
      <c r="B32" t="str">
        <f t="shared" si="54"/>
        <v>Man 05b</v>
      </c>
      <c r="C32" t="str">
        <f t="shared" si="19"/>
        <v>Man 05</v>
      </c>
      <c r="D32" s="35" t="s">
        <v>730</v>
      </c>
      <c r="E32" s="857" t="s">
        <v>578</v>
      </c>
      <c r="F32" s="607">
        <v>1</v>
      </c>
      <c r="G32" s="607">
        <v>1</v>
      </c>
      <c r="H32" s="607">
        <v>1</v>
      </c>
      <c r="I32" s="607">
        <v>1</v>
      </c>
      <c r="J32" s="607">
        <v>1</v>
      </c>
      <c r="K32" s="607">
        <v>1</v>
      </c>
      <c r="L32" s="607">
        <v>1</v>
      </c>
      <c r="M32" s="607">
        <v>1</v>
      </c>
      <c r="N32" s="607">
        <v>1</v>
      </c>
      <c r="O32" s="607">
        <v>1</v>
      </c>
      <c r="P32" s="607">
        <v>1</v>
      </c>
      <c r="Q32" s="607">
        <v>1</v>
      </c>
      <c r="R32" s="607">
        <v>1</v>
      </c>
      <c r="T32" s="136">
        <f t="shared" si="2"/>
        <v>1</v>
      </c>
      <c r="U32" s="137"/>
      <c r="V32" s="35"/>
      <c r="W32" s="35"/>
      <c r="X32" s="138"/>
      <c r="Y32" s="139">
        <f>IF(OR($Y$4=$Y$5,$Y$4=$Y$6),T32,0)</f>
        <v>0</v>
      </c>
      <c r="Z32" s="894">
        <f>VLOOKUP(B32,'Manuell filtrering og justering'!$A$7:$H$107,'Manuell filtrering og justering'!$H$1,FALSE)</f>
        <v>1</v>
      </c>
      <c r="AA32" s="901">
        <f t="shared" si="11"/>
        <v>0</v>
      </c>
      <c r="AB32" s="154">
        <f>IF($AC$5='Manuell filtrering og justering'!$J$2,Z32,(T32-AA32))</f>
        <v>1</v>
      </c>
      <c r="AD32" s="141">
        <f t="shared" si="4"/>
        <v>6.1904761904761907E-3</v>
      </c>
      <c r="AE32" s="141">
        <f>IF(AB32=0,0,(AD32/AB32)*AI32)</f>
        <v>0</v>
      </c>
      <c r="AF32" s="141">
        <f t="shared" si="20"/>
        <v>0</v>
      </c>
      <c r="AG32" s="141">
        <f t="shared" si="21"/>
        <v>0</v>
      </c>
      <c r="AI32" s="142">
        <f>IF(VLOOKUP(E32,'Pre-Assessment Estimator'!$E$11:$Z$227,'Pre-Assessment Estimator'!$G$2,FALSE)&gt;AB32,AB32,VLOOKUP(E32,'Pre-Assessment Estimator'!$E$11:$Z$227,'Pre-Assessment Estimator'!$G$2,FALSE))</f>
        <v>0</v>
      </c>
      <c r="AJ32" s="142">
        <f>IF(VLOOKUP(E32,'Pre-Assessment Estimator'!$E$11:$Z$227,'Pre-Assessment Estimator'!$N$2,FALSE)&gt;AB32,AB32,VLOOKUP(E32,'Pre-Assessment Estimator'!$E$11:$Z$227,'Pre-Assessment Estimator'!$N$2,FALSE))</f>
        <v>0</v>
      </c>
      <c r="AK32" s="142">
        <f>IF(VLOOKUP(E32,'Pre-Assessment Estimator'!$E$11:$Z$227,'Pre-Assessment Estimator'!$U$2,FALSE)&gt;AB32,AB32,VLOOKUP(E32,'Pre-Assessment Estimator'!$E$11:$Z$227,'Pre-Assessment Estimator'!$U$2,FALSE))</f>
        <v>0</v>
      </c>
      <c r="AM32" s="256"/>
      <c r="AN32" s="257"/>
      <c r="AO32" s="257"/>
      <c r="AP32" s="921">
        <f>IF(AND($Y$4&lt;&gt;$Y$3,Y32&gt;0),0,1)</f>
        <v>1</v>
      </c>
      <c r="AQ32" s="922">
        <f>IF(AND($Y$4&lt;&gt;$Y$3,Y32&gt;0),0,1)</f>
        <v>1</v>
      </c>
      <c r="AS32" s="243"/>
      <c r="AT32" s="244"/>
      <c r="AU32" s="244"/>
      <c r="AV32" s="244"/>
      <c r="AW32" s="245"/>
      <c r="AY32" s="137"/>
      <c r="AZ32" s="35"/>
      <c r="BA32" s="35"/>
      <c r="BB32" s="152">
        <f>IF($E$6=$H$9,AV32,AP32)</f>
        <v>1</v>
      </c>
      <c r="BC32" s="152">
        <f>IF($E$6=$H$9,AW32,AQ32)</f>
        <v>1</v>
      </c>
      <c r="BD32" s="151">
        <f t="shared" si="30"/>
        <v>3</v>
      </c>
      <c r="BE32" s="37" t="str">
        <f t="shared" si="6"/>
        <v>Very Good</v>
      </c>
      <c r="BF32" s="154"/>
      <c r="BG32" s="151">
        <f t="shared" si="35"/>
        <v>3</v>
      </c>
      <c r="BH32" s="37" t="str">
        <f t="shared" si="8"/>
        <v>Very Good</v>
      </c>
      <c r="BI32" s="154"/>
      <c r="BJ32" s="151">
        <f t="shared" si="36"/>
        <v>3</v>
      </c>
      <c r="BK32" s="37" t="str">
        <f t="shared" si="9"/>
        <v>Very Good</v>
      </c>
      <c r="BL32" s="154"/>
      <c r="BO32" s="35"/>
      <c r="BP32" s="35"/>
      <c r="BQ32" s="35" t="str">
        <f t="shared" si="15"/>
        <v/>
      </c>
      <c r="BR32" s="35">
        <f t="shared" si="55"/>
        <v>9</v>
      </c>
      <c r="BS32" s="35">
        <f t="shared" si="56"/>
        <v>9</v>
      </c>
      <c r="BT32" s="35">
        <f t="shared" si="57"/>
        <v>9</v>
      </c>
      <c r="BW32" s="35"/>
      <c r="BX32" s="35"/>
      <c r="BY32" s="239"/>
      <c r="BZ32" s="239"/>
      <c r="CA32" s="239"/>
      <c r="CB32" s="239"/>
    </row>
    <row r="33" spans="1:87">
      <c r="A33">
        <v>25</v>
      </c>
      <c r="B33" t="str">
        <f t="shared" si="54"/>
        <v>Man 05c</v>
      </c>
      <c r="C33" t="str">
        <f t="shared" si="19"/>
        <v>Man 05</v>
      </c>
      <c r="D33" s="35" t="s">
        <v>731</v>
      </c>
      <c r="E33" s="857" t="s">
        <v>579</v>
      </c>
      <c r="F33" s="607">
        <v>1</v>
      </c>
      <c r="G33" s="607">
        <v>1</v>
      </c>
      <c r="H33" s="607">
        <v>1</v>
      </c>
      <c r="I33" s="607">
        <v>1</v>
      </c>
      <c r="J33" s="607">
        <v>1</v>
      </c>
      <c r="K33" s="607">
        <v>1</v>
      </c>
      <c r="L33" s="607">
        <v>1</v>
      </c>
      <c r="M33" s="607">
        <v>1</v>
      </c>
      <c r="N33" s="607">
        <v>1</v>
      </c>
      <c r="O33" s="607">
        <v>1</v>
      </c>
      <c r="P33" s="607">
        <v>1</v>
      </c>
      <c r="Q33" s="607">
        <v>1</v>
      </c>
      <c r="R33" s="607">
        <v>1</v>
      </c>
      <c r="T33" s="136">
        <f t="shared" si="2"/>
        <v>1</v>
      </c>
      <c r="U33" s="137"/>
      <c r="V33" s="35"/>
      <c r="W33" s="35"/>
      <c r="X33" s="138"/>
      <c r="Y33" s="139">
        <f>IF(OR($Y$4=$Y$5,$Y$4=$Y$6),T33,0)</f>
        <v>0</v>
      </c>
      <c r="Z33" s="894">
        <f>VLOOKUP(B33,'Manuell filtrering og justering'!$A$7:$H$107,'Manuell filtrering og justering'!$H$1,FALSE)</f>
        <v>1</v>
      </c>
      <c r="AA33" s="901">
        <f t="shared" si="11"/>
        <v>0</v>
      </c>
      <c r="AB33" s="154">
        <f>IF($AC$5='Manuell filtrering og justering'!$J$2,Z33,(T33-AA33))</f>
        <v>1</v>
      </c>
      <c r="AD33" s="141">
        <f t="shared" si="4"/>
        <v>6.1904761904761907E-3</v>
      </c>
      <c r="AE33" s="141">
        <f>IF(AB33=0,0,(AD33/AB33)*AI33)</f>
        <v>0</v>
      </c>
      <c r="AF33" s="141">
        <f t="shared" si="20"/>
        <v>0</v>
      </c>
      <c r="AG33" s="141">
        <f t="shared" si="21"/>
        <v>0</v>
      </c>
      <c r="AI33" s="142">
        <f>IF(VLOOKUP(E33,'Pre-Assessment Estimator'!$E$11:$Z$227,'Pre-Assessment Estimator'!$G$2,FALSE)&gt;AB33,AB33,VLOOKUP(E33,'Pre-Assessment Estimator'!$E$11:$Z$227,'Pre-Assessment Estimator'!$G$2,FALSE))</f>
        <v>0</v>
      </c>
      <c r="AJ33" s="142">
        <f>IF(VLOOKUP(E33,'Pre-Assessment Estimator'!$E$11:$Z$227,'Pre-Assessment Estimator'!$N$2,FALSE)&gt;AB33,AB33,VLOOKUP(E33,'Pre-Assessment Estimator'!$E$11:$Z$227,'Pre-Assessment Estimator'!$N$2,FALSE))</f>
        <v>0</v>
      </c>
      <c r="AK33" s="142">
        <f>IF(VLOOKUP(E33,'Pre-Assessment Estimator'!$E$11:$Z$227,'Pre-Assessment Estimator'!$U$2,FALSE)&gt;AB33,AB33,VLOOKUP(E33,'Pre-Assessment Estimator'!$E$11:$Z$227,'Pre-Assessment Estimator'!$U$2,FALSE))</f>
        <v>0</v>
      </c>
      <c r="AM33" s="256"/>
      <c r="AN33" s="257"/>
      <c r="AO33" s="257"/>
      <c r="AP33" s="257"/>
      <c r="AQ33" s="258"/>
      <c r="AS33" s="256"/>
      <c r="AT33" s="257"/>
      <c r="AU33" s="257"/>
      <c r="AV33" s="257"/>
      <c r="AW33" s="258"/>
      <c r="AY33" s="137"/>
      <c r="AZ33" s="35"/>
      <c r="BA33" s="35"/>
      <c r="BB33" s="35"/>
      <c r="BC33" s="138"/>
      <c r="BD33" s="151">
        <f t="shared" si="30"/>
        <v>9</v>
      </c>
      <c r="BE33" s="37" t="str">
        <f t="shared" si="6"/>
        <v>N/A</v>
      </c>
      <c r="BF33" s="154"/>
      <c r="BG33" s="151">
        <f t="shared" si="35"/>
        <v>9</v>
      </c>
      <c r="BH33" s="37" t="str">
        <f t="shared" si="8"/>
        <v>N/A</v>
      </c>
      <c r="BI33" s="154"/>
      <c r="BJ33" s="151">
        <f t="shared" si="36"/>
        <v>9</v>
      </c>
      <c r="BK33" s="37" t="str">
        <f t="shared" si="9"/>
        <v>N/A</v>
      </c>
      <c r="BL33" s="154"/>
      <c r="BO33" s="35"/>
      <c r="BP33" s="35"/>
      <c r="BQ33" s="35" t="str">
        <f t="shared" si="15"/>
        <v/>
      </c>
      <c r="BR33" s="35">
        <f t="shared" si="55"/>
        <v>9</v>
      </c>
      <c r="BS33" s="35">
        <f t="shared" si="56"/>
        <v>9</v>
      </c>
      <c r="BT33" s="35">
        <f t="shared" si="57"/>
        <v>9</v>
      </c>
      <c r="BW33" s="35"/>
      <c r="BX33" s="35"/>
      <c r="BY33" s="239"/>
      <c r="BZ33" s="239"/>
      <c r="CA33" s="239"/>
      <c r="CB33" s="239"/>
    </row>
    <row r="34" spans="1:87">
      <c r="A34">
        <v>26</v>
      </c>
      <c r="D34" s="547" t="s">
        <v>743</v>
      </c>
      <c r="E34" s="547"/>
      <c r="F34" s="749"/>
      <c r="G34" s="749"/>
      <c r="H34" s="749"/>
      <c r="I34" s="749"/>
      <c r="J34" s="749"/>
      <c r="K34" s="749"/>
      <c r="L34" s="749"/>
      <c r="M34" s="749"/>
      <c r="N34" s="749"/>
      <c r="O34" s="749"/>
      <c r="P34" s="749"/>
      <c r="Q34" s="749"/>
      <c r="R34" s="749"/>
      <c r="T34" s="759">
        <f t="shared" si="2"/>
        <v>0</v>
      </c>
      <c r="U34" s="548"/>
      <c r="V34" s="547"/>
      <c r="W34" s="547"/>
      <c r="X34" s="760">
        <f>'Manuell filtrering og justering'!E12</f>
        <v>0</v>
      </c>
      <c r="Y34" s="761"/>
      <c r="Z34" s="896"/>
      <c r="AA34" s="901">
        <f t="shared" si="11"/>
        <v>0</v>
      </c>
      <c r="AB34" s="906">
        <f>IF($AC$5='Manuell filtrering og justering'!$J$2,Z34,(T34-AA34))</f>
        <v>0</v>
      </c>
      <c r="AD34" s="765"/>
      <c r="AE34" s="765"/>
      <c r="AF34" s="765"/>
      <c r="AG34" s="765"/>
      <c r="AI34" s="562"/>
      <c r="AJ34" s="562"/>
      <c r="AK34" s="562"/>
      <c r="AM34" s="243"/>
      <c r="AN34" s="244"/>
      <c r="AO34" s="244"/>
      <c r="AP34" s="244"/>
      <c r="AQ34" s="245"/>
      <c r="AS34" s="243"/>
      <c r="AT34" s="244"/>
      <c r="AU34" s="244"/>
      <c r="AV34" s="244"/>
      <c r="AW34" s="245"/>
      <c r="AY34" s="137"/>
      <c r="AZ34" s="157"/>
      <c r="BA34" s="35"/>
      <c r="BB34" s="35"/>
      <c r="BC34" s="153"/>
      <c r="BD34" s="151">
        <f t="shared" si="30"/>
        <v>9</v>
      </c>
      <c r="BE34" s="37" t="str">
        <f t="shared" si="6"/>
        <v>N/A</v>
      </c>
      <c r="BF34" s="154"/>
      <c r="BG34" s="151">
        <f t="shared" si="35"/>
        <v>9</v>
      </c>
      <c r="BH34" s="37" t="str">
        <f t="shared" si="8"/>
        <v>N/A</v>
      </c>
      <c r="BI34" s="154"/>
      <c r="BJ34" s="151">
        <f t="shared" si="36"/>
        <v>9</v>
      </c>
      <c r="BK34" s="37" t="str">
        <f t="shared" si="9"/>
        <v>N/A</v>
      </c>
      <c r="BL34" s="154"/>
      <c r="BO34" s="35"/>
      <c r="BP34" s="35"/>
      <c r="BQ34" s="35" t="str">
        <f t="shared" si="15"/>
        <v/>
      </c>
      <c r="BR34" s="35">
        <f t="shared" si="55"/>
        <v>9</v>
      </c>
      <c r="BS34" s="35">
        <f t="shared" si="56"/>
        <v>9</v>
      </c>
      <c r="BT34" s="35">
        <f t="shared" si="57"/>
        <v>9</v>
      </c>
      <c r="BW34" s="35"/>
      <c r="BX34" s="35" t="str">
        <f>IFERROR(VLOOKUP($E34,'Pre-Assessment Estimator'!$E$11:$AB$227,'Pre-Assessment Estimator'!AB$2,FALSE),"")</f>
        <v/>
      </c>
      <c r="BY34" s="35" t="str">
        <f>IFERROR(VLOOKUP($E34,'Pre-Assessment Estimator'!$E$11:$AI$227,'Pre-Assessment Estimator'!AI$2,FALSE),"")</f>
        <v/>
      </c>
      <c r="BZ34" s="35" t="str">
        <f t="shared" ref="BZ34:CA38" si="58">IFERROR(VLOOKUP($BX34,$E$293:$H$326,F$291,FALSE),"")</f>
        <v/>
      </c>
      <c r="CA34" s="35" t="str">
        <f t="shared" si="58"/>
        <v/>
      </c>
      <c r="CB34" s="35"/>
      <c r="CC34" t="str">
        <f t="shared" ref="CC34:CC39" si="59">IFERROR(VLOOKUP($BX34,$E$293:$H$326,I$291,FALSE),"")</f>
        <v/>
      </c>
    </row>
    <row r="35" spans="1:87" ht="15.75" thickBot="1">
      <c r="A35">
        <v>27</v>
      </c>
      <c r="D35" s="547" t="s">
        <v>744</v>
      </c>
      <c r="E35" s="547"/>
      <c r="F35" s="749"/>
      <c r="G35" s="749"/>
      <c r="H35" s="749"/>
      <c r="I35" s="749"/>
      <c r="J35" s="749"/>
      <c r="K35" s="749"/>
      <c r="L35" s="749"/>
      <c r="M35" s="749"/>
      <c r="N35" s="749"/>
      <c r="O35" s="749"/>
      <c r="P35" s="749"/>
      <c r="Q35" s="749"/>
      <c r="R35" s="749"/>
      <c r="T35" s="759">
        <f t="shared" si="2"/>
        <v>0</v>
      </c>
      <c r="U35" s="548"/>
      <c r="V35" s="547"/>
      <c r="W35" s="547"/>
      <c r="X35" s="760">
        <f>'Manuell filtrering og justering'!E13</f>
        <v>0</v>
      </c>
      <c r="Y35" s="761"/>
      <c r="Z35" s="896"/>
      <c r="AA35" s="901">
        <f t="shared" si="11"/>
        <v>0</v>
      </c>
      <c r="AB35" s="906">
        <f>IF($AC$5='Manuell filtrering og justering'!$J$2,Z35,(T35-AA35))</f>
        <v>0</v>
      </c>
      <c r="AD35" s="765"/>
      <c r="AE35" s="765"/>
      <c r="AF35" s="765"/>
      <c r="AG35" s="765"/>
      <c r="AI35" s="562"/>
      <c r="AJ35" s="562"/>
      <c r="AK35" s="562"/>
      <c r="AM35" s="246"/>
      <c r="AN35" s="247"/>
      <c r="AO35" s="247"/>
      <c r="AP35" s="247"/>
      <c r="AQ35" s="248"/>
      <c r="AS35" s="246"/>
      <c r="AT35" s="247"/>
      <c r="AU35" s="247"/>
      <c r="AV35" s="247"/>
      <c r="AW35" s="248"/>
      <c r="AY35" s="159"/>
      <c r="AZ35" s="160"/>
      <c r="BA35" s="161"/>
      <c r="BB35" s="161"/>
      <c r="BC35" s="162"/>
      <c r="BD35" s="163">
        <f t="shared" ref="BD35:BD169" si="60">IF(BC35=0,9,IF(AI35&gt;=BC35,5,IF(AI35&gt;=BB35,4,IF(AI35&gt;=BA35,3,IF(AI35&gt;=AZ35,2,IF(AI35&lt;AY35,0,1))))))</f>
        <v>9</v>
      </c>
      <c r="BE35" s="37" t="str">
        <f t="shared" si="6"/>
        <v>N/A</v>
      </c>
      <c r="BF35" s="164"/>
      <c r="BG35" s="163">
        <f t="shared" si="7"/>
        <v>9</v>
      </c>
      <c r="BH35" s="37" t="str">
        <f t="shared" si="8"/>
        <v>N/A</v>
      </c>
      <c r="BI35" s="164"/>
      <c r="BJ35" s="163">
        <f t="shared" si="28"/>
        <v>9</v>
      </c>
      <c r="BK35" s="37" t="str">
        <f t="shared" si="9"/>
        <v>N/A</v>
      </c>
      <c r="BL35" s="164"/>
      <c r="BO35" s="35"/>
      <c r="BP35" s="35"/>
      <c r="BQ35" s="35" t="str">
        <f t="shared" si="15"/>
        <v/>
      </c>
      <c r="BR35" s="35">
        <f t="shared" si="55"/>
        <v>9</v>
      </c>
      <c r="BS35" s="35">
        <f t="shared" si="56"/>
        <v>9</v>
      </c>
      <c r="BT35" s="35">
        <f t="shared" si="57"/>
        <v>9</v>
      </c>
      <c r="BW35" s="40"/>
      <c r="BX35" s="40" t="str">
        <f>IFERROR(VLOOKUP($E35,'Pre-Assessment Estimator'!$E$11:$AB$227,'Pre-Assessment Estimator'!AB$2,FALSE),"")</f>
        <v/>
      </c>
      <c r="BY35" s="40" t="str">
        <f>IFERROR(VLOOKUP($E35,'Pre-Assessment Estimator'!$E$11:$AI$227,'Pre-Assessment Estimator'!AI$2,FALSE),"")</f>
        <v/>
      </c>
      <c r="BZ35" s="40" t="str">
        <f t="shared" si="58"/>
        <v/>
      </c>
      <c r="CA35" s="40" t="str">
        <f t="shared" si="58"/>
        <v/>
      </c>
      <c r="CB35" s="40"/>
      <c r="CC35" t="str">
        <f t="shared" si="59"/>
        <v/>
      </c>
    </row>
    <row r="36" spans="1:87" ht="15.75" thickBot="1">
      <c r="A36">
        <v>28</v>
      </c>
      <c r="B36" t="s">
        <v>284</v>
      </c>
      <c r="D36" s="556"/>
      <c r="E36" s="555" t="s">
        <v>725</v>
      </c>
      <c r="F36" s="612">
        <f t="shared" ref="F36:R36" si="61">F10+F16+F19+F26+F30</f>
        <v>21</v>
      </c>
      <c r="G36" s="612">
        <f t="shared" si="61"/>
        <v>21</v>
      </c>
      <c r="H36" s="612">
        <f t="shared" si="61"/>
        <v>21</v>
      </c>
      <c r="I36" s="612">
        <f t="shared" si="61"/>
        <v>21</v>
      </c>
      <c r="J36" s="612">
        <f t="shared" si="61"/>
        <v>21</v>
      </c>
      <c r="K36" s="612">
        <f t="shared" si="61"/>
        <v>21</v>
      </c>
      <c r="L36" s="612">
        <f t="shared" si="61"/>
        <v>21</v>
      </c>
      <c r="M36" s="612">
        <f t="shared" si="61"/>
        <v>21</v>
      </c>
      <c r="N36" s="612">
        <f t="shared" si="61"/>
        <v>21</v>
      </c>
      <c r="O36" s="612">
        <f t="shared" si="61"/>
        <v>21</v>
      </c>
      <c r="P36" s="612">
        <f t="shared" si="61"/>
        <v>21</v>
      </c>
      <c r="Q36" s="612">
        <f t="shared" ref="Q36" si="62">Q10+Q16+Q19+Q26+Q30</f>
        <v>21</v>
      </c>
      <c r="R36" s="612">
        <f t="shared" si="61"/>
        <v>21</v>
      </c>
      <c r="T36" s="166">
        <f t="shared" si="2"/>
        <v>21</v>
      </c>
      <c r="U36" s="167"/>
      <c r="V36" s="168"/>
      <c r="W36" s="168"/>
      <c r="X36" s="169"/>
      <c r="Y36" s="170"/>
      <c r="Z36" s="897"/>
      <c r="AA36" s="902">
        <f>AA10+AA16+AA19+AA26+AA30</f>
        <v>0</v>
      </c>
      <c r="AB36" s="907">
        <f>AB10+AB16+AB19+AB26+AB30</f>
        <v>21</v>
      </c>
      <c r="AD36" s="171">
        <f>AD10+AD16+AD19+AD26+AD30</f>
        <v>0.13</v>
      </c>
      <c r="AE36" s="171">
        <f>AE10+AE16+AE19+AE26+AE30</f>
        <v>0</v>
      </c>
      <c r="AF36" s="171">
        <f>AF10+AF16+AF19+AF26+AF30</f>
        <v>0</v>
      </c>
      <c r="AG36" s="171">
        <f>AG10+AG16+AG19+AG26+AG30</f>
        <v>0</v>
      </c>
      <c r="AI36" s="64">
        <f>AI10+AI16+AI19+AI26+AI30</f>
        <v>0</v>
      </c>
      <c r="AJ36" s="64">
        <f>AJ10+AJ16+AJ19+AJ26+AJ30</f>
        <v>0</v>
      </c>
      <c r="AK36" s="64">
        <f>AK10+AK16+AK19+AK26+AK30</f>
        <v>0</v>
      </c>
      <c r="AM36" s="114"/>
      <c r="AN36" s="114"/>
      <c r="AO36" s="114"/>
      <c r="AP36" s="114"/>
      <c r="AQ36" s="114"/>
      <c r="AS36" s="114"/>
      <c r="AT36" s="114"/>
      <c r="AU36" s="114"/>
      <c r="AV36" s="114"/>
      <c r="AW36" s="114"/>
      <c r="AZ36" s="172"/>
      <c r="BW36" s="42"/>
      <c r="BX36" s="42" t="str">
        <f>IFERROR(VLOOKUP($E36,'Pre-Assessment Estimator'!$E$11:$AB$227,'Pre-Assessment Estimator'!AB$2,FALSE),"")</f>
        <v/>
      </c>
      <c r="BY36" s="42" t="str">
        <f>IFERROR(VLOOKUP($E36,'Pre-Assessment Estimator'!$E$11:$AI$227,'Pre-Assessment Estimator'!AI$2,FALSE),"")</f>
        <v/>
      </c>
      <c r="BZ36" s="42" t="str">
        <f t="shared" si="58"/>
        <v/>
      </c>
      <c r="CA36" s="42" t="str">
        <f t="shared" si="58"/>
        <v/>
      </c>
      <c r="CB36" s="42"/>
      <c r="CC36" t="str">
        <f t="shared" si="59"/>
        <v/>
      </c>
    </row>
    <row r="37" spans="1:87" ht="15.75" thickBot="1">
      <c r="A37">
        <v>29</v>
      </c>
      <c r="AI37" s="1"/>
      <c r="AJ37" s="1"/>
      <c r="AK37" s="1"/>
      <c r="AM37" s="114"/>
      <c r="AN37" s="114"/>
      <c r="AO37" s="114"/>
      <c r="AP37" s="114"/>
      <c r="AQ37" s="114"/>
      <c r="AS37" s="114"/>
      <c r="AT37" s="114"/>
      <c r="AU37" s="114"/>
      <c r="AV37" s="114"/>
      <c r="AW37" s="114"/>
      <c r="AZ37" s="172"/>
      <c r="BX37" t="str">
        <f>IFERROR(VLOOKUP($E37,'Pre-Assessment Estimator'!$E$11:$AB$227,'Pre-Assessment Estimator'!AB$2,FALSE),"")</f>
        <v/>
      </c>
      <c r="BY37" t="str">
        <f>IFERROR(VLOOKUP($E37,'Pre-Assessment Estimator'!$E$11:$AI$227,'Pre-Assessment Estimator'!AI$2,FALSE),"")</f>
        <v/>
      </c>
      <c r="BZ37" t="str">
        <f t="shared" si="58"/>
        <v/>
      </c>
      <c r="CA37" t="str">
        <f t="shared" si="58"/>
        <v/>
      </c>
      <c r="CC37" t="str">
        <f t="shared" si="59"/>
        <v/>
      </c>
    </row>
    <row r="38" spans="1:87" ht="60.75" thickBot="1">
      <c r="A38">
        <v>30</v>
      </c>
      <c r="D38" s="118"/>
      <c r="E38" s="39" t="s">
        <v>286</v>
      </c>
      <c r="F38" s="964" t="str">
        <f>$F$9</f>
        <v>Office</v>
      </c>
      <c r="G38" s="964" t="str">
        <f>$G$9</f>
        <v>Retail</v>
      </c>
      <c r="H38" s="968" t="str">
        <f>$H$9</f>
        <v>Residential</v>
      </c>
      <c r="I38" s="964" t="str">
        <f>$I$9</f>
        <v>Industrial</v>
      </c>
      <c r="J38" s="966" t="str">
        <f>$J$9</f>
        <v>Healthcare</v>
      </c>
      <c r="K38" s="966" t="str">
        <f>$K$9</f>
        <v>Prison</v>
      </c>
      <c r="L38" s="966" t="str">
        <f>$L$9</f>
        <v>Law Court</v>
      </c>
      <c r="M38" s="970" t="str">
        <f>$M$9</f>
        <v>Residential institution (long term stay)</v>
      </c>
      <c r="N38" s="733" t="str">
        <f>$N$9</f>
        <v>Residential institution (short term stay)</v>
      </c>
      <c r="O38" s="733" t="str">
        <f>$O$9</f>
        <v>Non-residential institution</v>
      </c>
      <c r="P38" s="733" t="str">
        <f>$P$9</f>
        <v>Assembly and leisure</v>
      </c>
      <c r="Q38" s="966" t="str">
        <f>$Q$9</f>
        <v>Education</v>
      </c>
      <c r="R38" s="683" t="str">
        <f>$R$9</f>
        <v>Other</v>
      </c>
      <c r="T38" s="113" t="str">
        <f>$E$6</f>
        <v>Office</v>
      </c>
      <c r="U38" s="173"/>
      <c r="V38" s="174"/>
      <c r="W38" s="517"/>
      <c r="X38" s="899"/>
      <c r="Y38" s="910" t="s">
        <v>871</v>
      </c>
      <c r="Z38" s="908" t="s">
        <v>25</v>
      </c>
      <c r="AA38" s="122" t="s">
        <v>725</v>
      </c>
      <c r="AB38" s="45" t="s">
        <v>860</v>
      </c>
      <c r="AI38" s="28"/>
      <c r="AJ38" s="46"/>
      <c r="AK38" s="46"/>
      <c r="AM38" s="114"/>
      <c r="AN38" s="114"/>
      <c r="AO38" s="114"/>
      <c r="AP38" s="114"/>
      <c r="AQ38" s="114"/>
      <c r="AS38" s="114"/>
      <c r="AT38" s="114"/>
      <c r="AU38" s="114"/>
      <c r="AV38" s="114"/>
      <c r="AW38" s="114"/>
      <c r="AZ38" s="172"/>
      <c r="BO38" s="46"/>
      <c r="BP38" s="46"/>
      <c r="BQ38" s="46"/>
      <c r="BR38" s="46"/>
      <c r="BS38" s="46"/>
      <c r="BT38" s="46"/>
      <c r="BW38" s="39"/>
      <c r="BX38" s="39" t="str">
        <f>E38</f>
        <v>Health &amp; Wellbeing</v>
      </c>
      <c r="BY38" s="39">
        <f>IFERROR(VLOOKUP($E38,'Pre-Assessment Estimator'!$E$11:$AI$227,'Pre-Assessment Estimator'!AI$2,FALSE),"")</f>
        <v>0</v>
      </c>
      <c r="BZ38" s="39" t="str">
        <f t="shared" si="58"/>
        <v/>
      </c>
      <c r="CA38" s="39" t="str">
        <f t="shared" si="58"/>
        <v/>
      </c>
      <c r="CB38" s="39"/>
      <c r="CC38" t="str">
        <f t="shared" si="59"/>
        <v/>
      </c>
    </row>
    <row r="39" spans="1:87">
      <c r="A39">
        <v>31</v>
      </c>
      <c r="B39" s="112" t="str">
        <f>D39</f>
        <v>Hea 01</v>
      </c>
      <c r="C39" s="112" t="str">
        <f>B39</f>
        <v>Hea 01</v>
      </c>
      <c r="D39" s="662" t="s">
        <v>288</v>
      </c>
      <c r="E39" s="660" t="s">
        <v>289</v>
      </c>
      <c r="F39" s="748">
        <f t="shared" ref="F39:K39" si="63">SUM(F41:F45)</f>
        <v>7</v>
      </c>
      <c r="G39" s="748">
        <f t="shared" si="63"/>
        <v>7</v>
      </c>
      <c r="H39" s="748">
        <f t="shared" si="63"/>
        <v>5</v>
      </c>
      <c r="I39" s="748">
        <f t="shared" si="63"/>
        <v>7</v>
      </c>
      <c r="J39" s="748">
        <f t="shared" si="63"/>
        <v>7</v>
      </c>
      <c r="K39" s="748">
        <f t="shared" si="63"/>
        <v>7</v>
      </c>
      <c r="L39" s="748">
        <f t="shared" ref="L39:R39" si="64">SUM(L41:L45)</f>
        <v>7</v>
      </c>
      <c r="M39" s="748">
        <f t="shared" si="64"/>
        <v>7</v>
      </c>
      <c r="N39" s="748">
        <f t="shared" si="64"/>
        <v>7</v>
      </c>
      <c r="O39" s="748">
        <f t="shared" si="64"/>
        <v>7</v>
      </c>
      <c r="P39" s="748">
        <f t="shared" si="64"/>
        <v>7</v>
      </c>
      <c r="Q39" s="748">
        <f t="shared" ref="Q39" si="65">SUM(Q41:Q45)</f>
        <v>7</v>
      </c>
      <c r="R39" s="748">
        <f t="shared" si="64"/>
        <v>7</v>
      </c>
      <c r="T39" s="766">
        <f t="shared" ref="T39:T54" si="66">HLOOKUP($E$6,$F$9:$R$231,$A39,FALSE)</f>
        <v>7</v>
      </c>
      <c r="U39" s="182"/>
      <c r="V39" s="53"/>
      <c r="W39" s="53"/>
      <c r="X39" s="849">
        <f>'Manuell filtrering og justering'!E17</f>
        <v>0</v>
      </c>
      <c r="Y39" s="768"/>
      <c r="Z39" s="911">
        <f t="shared" ref="Z39:AB39" si="67">SUM(Z41:Z45)</f>
        <v>7</v>
      </c>
      <c r="AA39" s="768">
        <f t="shared" ref="AA39:AA54" si="68">IF(SUM(U39:Y39)&gt;T39,T39,SUM(U39:Y39))</f>
        <v>0</v>
      </c>
      <c r="AB39" s="820">
        <f t="shared" si="67"/>
        <v>7</v>
      </c>
      <c r="AD39" s="141">
        <f t="shared" ref="AD39:AD65" si="69">(Hea_Weight/Hea_Credits)*AB39</f>
        <v>5.894736842105263E-2</v>
      </c>
      <c r="AE39" s="736">
        <f>SUM(AE41:AE45)</f>
        <v>0</v>
      </c>
      <c r="AF39" s="736">
        <f>SUM(AF41:AF45)</f>
        <v>0</v>
      </c>
      <c r="AG39" s="736">
        <f>SUM(AG41:AG45)</f>
        <v>0</v>
      </c>
      <c r="AI39" s="763">
        <f t="shared" ref="AI39:AK39" si="70">SUM(AI41:AI45)</f>
        <v>0</v>
      </c>
      <c r="AJ39" s="763">
        <f t="shared" si="70"/>
        <v>0</v>
      </c>
      <c r="AK39" s="763">
        <f t="shared" si="70"/>
        <v>0</v>
      </c>
      <c r="AL39" t="s">
        <v>223</v>
      </c>
      <c r="AM39" s="249"/>
      <c r="AN39" s="250"/>
      <c r="AO39" s="250"/>
      <c r="AP39" s="250"/>
      <c r="AQ39" s="251"/>
      <c r="AS39" s="249"/>
      <c r="AT39" s="250"/>
      <c r="AU39" s="250"/>
      <c r="AV39" s="250"/>
      <c r="AW39" s="251"/>
      <c r="AY39" s="180"/>
      <c r="AZ39" s="147"/>
      <c r="BA39" s="147"/>
      <c r="BB39" s="147"/>
      <c r="BC39" s="181"/>
      <c r="BD39" s="144">
        <f t="shared" si="60"/>
        <v>9</v>
      </c>
      <c r="BE39" s="37" t="str">
        <f t="shared" ref="BE39:BE65" si="71">VLOOKUP(BD39,$BO$284:$BT$290,6,FALSE)</f>
        <v>N/A</v>
      </c>
      <c r="BF39" s="148"/>
      <c r="BG39" s="144">
        <f t="shared" ref="BG39:BG65" si="72">IF(BC39=0,9,IF(AJ39&gt;=BC39,5,IF(AJ39&gt;=BB39,4,IF(AJ39&gt;=BA39,3,IF(AJ39&gt;=AZ39,2,IF(AJ39&lt;AY39,0,1))))))</f>
        <v>9</v>
      </c>
      <c r="BH39" s="37" t="str">
        <f t="shared" ref="BH39:BH65" si="73">VLOOKUP(BG39,$BO$284:$BT$290,6,FALSE)</f>
        <v>N/A</v>
      </c>
      <c r="BI39" s="148"/>
      <c r="BJ39" s="144">
        <f t="shared" si="28"/>
        <v>9</v>
      </c>
      <c r="BK39" s="37" t="str">
        <f t="shared" ref="BK39:BK65" si="74">VLOOKUP(BJ39,$BO$284:$BT$290,6,FALSE)</f>
        <v>N/A</v>
      </c>
      <c r="BL39" s="148"/>
      <c r="BO39" s="35"/>
      <c r="BP39" s="35"/>
      <c r="BQ39" s="35" t="str">
        <f t="shared" si="15"/>
        <v/>
      </c>
      <c r="BR39" s="35">
        <f t="shared" si="55"/>
        <v>9</v>
      </c>
      <c r="BS39" s="35">
        <f t="shared" si="56"/>
        <v>9</v>
      </c>
      <c r="BT39" s="35">
        <f t="shared" si="57"/>
        <v>9</v>
      </c>
      <c r="BW39" s="525" t="str">
        <f>D39</f>
        <v>Hea 01</v>
      </c>
      <c r="BX39" s="37" t="str">
        <f>IFERROR(VLOOKUP($E39,'Pre-Assessment Estimator'!$E$11:$AB$227,'Pre-Assessment Estimator'!AB$2,FALSE),"")</f>
        <v>No</v>
      </c>
      <c r="BY39" s="525" t="str">
        <f>IFERROR(VLOOKUP($E39,'Pre-Assessment Estimator'!$E$11:$AI$227,'Pre-Assessment Estimator'!AI$2,FALSE),"")</f>
        <v>Ja</v>
      </c>
      <c r="BZ39" s="37">
        <f>IFERROR(VLOOKUP($BX39,$E$293:$H$326,F$291,FALSE),"")</f>
        <v>1</v>
      </c>
      <c r="CA39" s="523" t="s">
        <v>847</v>
      </c>
      <c r="CB39" s="37">
        <f>H298</f>
        <v>2</v>
      </c>
      <c r="CC39" t="str">
        <f t="shared" si="59"/>
        <v/>
      </c>
      <c r="CD39" s="54" t="s">
        <v>844</v>
      </c>
      <c r="CE39" s="35">
        <f t="shared" ref="CE39:CE55" si="75">VLOOKUP(CA39,$CA$4:$CB$5,2,FALSE)</f>
        <v>0</v>
      </c>
      <c r="CG39" s="54">
        <f>IF($BX$5=ais_nei,CE39,IF(CD39=$BY$5,IF(AND(CA39=$CA$4,BX39=$CC$4),0,BZ39),CE39))</f>
        <v>0</v>
      </c>
    </row>
    <row r="40" spans="1:87">
      <c r="A40">
        <v>32</v>
      </c>
      <c r="B40" s="112"/>
      <c r="C40" t="str">
        <f t="shared" si="19"/>
        <v>Hea 01</v>
      </c>
      <c r="D40" s="662" t="s">
        <v>729</v>
      </c>
      <c r="E40" s="754" t="s">
        <v>896</v>
      </c>
      <c r="F40" s="605"/>
      <c r="G40" s="605"/>
      <c r="H40" s="605"/>
      <c r="I40" s="605"/>
      <c r="J40" s="605"/>
      <c r="K40" s="605"/>
      <c r="L40" s="605"/>
      <c r="M40" s="605"/>
      <c r="N40" s="605"/>
      <c r="O40" s="605"/>
      <c r="P40" s="605"/>
      <c r="Q40" s="605"/>
      <c r="R40" s="605"/>
      <c r="T40" s="175">
        <f t="shared" si="66"/>
        <v>0</v>
      </c>
      <c r="U40" s="137"/>
      <c r="V40" s="35"/>
      <c r="W40" s="35"/>
      <c r="X40" s="138"/>
      <c r="Y40" s="139"/>
      <c r="Z40" s="894"/>
      <c r="AA40" s="139">
        <f t="shared" si="68"/>
        <v>0</v>
      </c>
      <c r="AB40" s="140">
        <f>IF($AC$5='Manuell filtrering og justering'!$J$2,Z40,(T40-AA40))</f>
        <v>0</v>
      </c>
      <c r="AD40" s="141">
        <f t="shared" ref="AD40" si="76">(Hea_Weight/Hea_Credits)*AB40</f>
        <v>0</v>
      </c>
      <c r="AE40" s="141">
        <f t="shared" ref="AE40" si="77">IF(AB40=0,0,(AD40/AB40)*AI40)</f>
        <v>0</v>
      </c>
      <c r="AF40" s="141">
        <f t="shared" ref="AF40" si="78">IF(AB40=0,0,(AD40/AB40)*AJ40)</f>
        <v>0</v>
      </c>
      <c r="AG40" s="141">
        <f t="shared" ref="AG40" si="79">IF(AB40=0,0,(AD40/AB40)*AK40)</f>
        <v>0</v>
      </c>
      <c r="AI40" s="142"/>
      <c r="AJ40" s="142"/>
      <c r="AK40" s="142"/>
      <c r="AM40" s="242"/>
      <c r="AN40" s="150"/>
      <c r="AO40" s="255"/>
      <c r="AP40" s="244"/>
      <c r="AQ40" s="245"/>
      <c r="AS40" s="243"/>
      <c r="AT40" s="244"/>
      <c r="AU40" s="244"/>
      <c r="AV40" s="244"/>
      <c r="AW40" s="245"/>
      <c r="AY40" s="151"/>
      <c r="AZ40" s="152"/>
      <c r="BA40" s="152"/>
      <c r="BB40" s="152"/>
      <c r="BC40" s="146"/>
      <c r="BD40" s="535">
        <f t="shared" ref="BD40" si="80">IF(BC40=0,9,IF((AI40-CG40)&gt;=BC40,5,IF((AI40-CG40)&gt;=BB40,4,IF((AI40-CG40)&gt;=BA40,3,IF((AI40-CG40)&gt;=AZ40,2,IF((AI40-CG40)&lt;AY40,0,1))))))</f>
        <v>9</v>
      </c>
      <c r="BE40" s="37" t="str">
        <f t="shared" si="71"/>
        <v>N/A</v>
      </c>
      <c r="BF40" s="154"/>
      <c r="BG40" s="151">
        <f t="shared" ref="BG40" si="81">IF(BC40=0,9,IF((AJ40-CG40)&gt;=BC40,5,IF((AJ40-CG40)&gt;=BB40,4,IF((AJ40-CG40)&gt;=BA40,3,IF((AJ40-CG40)&gt;=AZ40,2,IF((AJ40-CG40)&lt;AY40,0,1))))))</f>
        <v>9</v>
      </c>
      <c r="BH40" s="37" t="str">
        <f t="shared" si="73"/>
        <v>N/A</v>
      </c>
      <c r="BI40" s="154"/>
      <c r="BJ40" s="151">
        <f t="shared" ref="BJ40" si="82">IF(BC40=0,9,IF((AK40-CG40)&gt;=BC40,5,IF((AK40-CG40)&gt;=BB40,4,IF((AK40-CG40)&gt;=BA40,3,IF((AK40-CG40)&gt;=AZ40,2,IF((AK40-CG40)&lt;AY40,0,1))))))</f>
        <v>9</v>
      </c>
      <c r="BK40" s="37" t="str">
        <f t="shared" si="74"/>
        <v>N/A</v>
      </c>
      <c r="BL40" s="154"/>
      <c r="BO40" s="35"/>
      <c r="BP40" s="35"/>
      <c r="BQ40" s="35" t="str">
        <f t="shared" si="15"/>
        <v/>
      </c>
      <c r="BR40" s="35">
        <f t="shared" si="55"/>
        <v>9</v>
      </c>
      <c r="BS40" s="35">
        <f t="shared" si="56"/>
        <v>9</v>
      </c>
      <c r="BT40" s="35">
        <f t="shared" si="57"/>
        <v>9</v>
      </c>
      <c r="BW40" s="525"/>
      <c r="BX40" s="37"/>
      <c r="BY40" s="525"/>
      <c r="BZ40" s="37"/>
      <c r="CA40" s="523"/>
      <c r="CB40" s="37"/>
      <c r="CD40" s="54"/>
      <c r="CE40" s="35"/>
      <c r="CG40" s="54"/>
    </row>
    <row r="41" spans="1:87">
      <c r="A41">
        <v>33</v>
      </c>
      <c r="B41" t="str">
        <f t="shared" ref="B41:B45" si="83">$D$39&amp;D41</f>
        <v>Hea 01b</v>
      </c>
      <c r="C41" t="str">
        <f t="shared" si="19"/>
        <v>Hea 01</v>
      </c>
      <c r="D41" s="135" t="s">
        <v>730</v>
      </c>
      <c r="E41" s="857" t="s">
        <v>582</v>
      </c>
      <c r="F41" s="753">
        <v>3</v>
      </c>
      <c r="G41" s="753">
        <v>3</v>
      </c>
      <c r="H41" s="753">
        <v>3</v>
      </c>
      <c r="I41" s="753">
        <v>3</v>
      </c>
      <c r="J41" s="753">
        <v>3</v>
      </c>
      <c r="K41" s="753">
        <v>3</v>
      </c>
      <c r="L41" s="753">
        <v>3</v>
      </c>
      <c r="M41" s="753">
        <v>3</v>
      </c>
      <c r="N41" s="753">
        <v>3</v>
      </c>
      <c r="O41" s="753">
        <v>3</v>
      </c>
      <c r="P41" s="753">
        <v>3</v>
      </c>
      <c r="Q41" s="753">
        <v>3</v>
      </c>
      <c r="R41" s="753">
        <v>3</v>
      </c>
      <c r="T41" s="175">
        <f t="shared" si="66"/>
        <v>3</v>
      </c>
      <c r="U41" s="137"/>
      <c r="V41" s="35"/>
      <c r="W41" s="35"/>
      <c r="X41" s="138"/>
      <c r="Y41" s="139"/>
      <c r="Z41" s="894">
        <f>VLOOKUP(B41,'Manuell filtrering og justering'!$A$7:$H$107,'Manuell filtrering og justering'!$H$1,FALSE)</f>
        <v>3</v>
      </c>
      <c r="AA41" s="139">
        <f t="shared" si="68"/>
        <v>0</v>
      </c>
      <c r="AB41" s="140">
        <f>IF($AC$5='Manuell filtrering og justering'!$J$2,Z41,(T41-AA41))</f>
        <v>3</v>
      </c>
      <c r="AD41" s="141">
        <f t="shared" si="69"/>
        <v>2.5263157894736842E-2</v>
      </c>
      <c r="AE41" s="141">
        <f>IF(AB41=0,0,(AD41/AB41)*AI41)</f>
        <v>0</v>
      </c>
      <c r="AF41" s="141">
        <f>IF(AB41=0,0,(AD41/AB41)*AJ41)</f>
        <v>0</v>
      </c>
      <c r="AG41" s="141">
        <f>IF(AB41=0,0,(AD41/AB41)*AK41)</f>
        <v>0</v>
      </c>
      <c r="AI41" s="821">
        <f>IF(AI$234=AD_no,0,IF(VLOOKUP(E41,'Pre-Assessment Estimator'!$E$11:$Z$227,'Pre-Assessment Estimator'!$G$2,FALSE)&gt;AB41,AB41,VLOOKUP(E41,'Pre-Assessment Estimator'!$E$11:$Z$227,'Pre-Assessment Estimator'!$G$2,FALSE)))</f>
        <v>0</v>
      </c>
      <c r="AJ41" s="821">
        <f>IF($AJ$234=AD_no,0,IF(VLOOKUP(E41,'Pre-Assessment Estimator'!$E$11:$Z$227,'Pre-Assessment Estimator'!$N$2,FALSE)&gt;AB41,AB41,VLOOKUP(E41,'Pre-Assessment Estimator'!$E$11:$Z$227,'Pre-Assessment Estimator'!$N$2,FALSE)))</f>
        <v>0</v>
      </c>
      <c r="AK41" s="821">
        <f>IF($AK$234=AD_no,0,IF(VLOOKUP(E41,'Pre-Assessment Estimator'!$E$11:$Z$227,'Pre-Assessment Estimator'!$U$2,FALSE)&gt;AB41,AB41,VLOOKUP(E41,'Pre-Assessment Estimator'!$E$11:$Z$227,'Pre-Assessment Estimator'!$U$2,FALSE)))</f>
        <v>0</v>
      </c>
      <c r="AM41" s="664"/>
      <c r="AN41" s="665"/>
      <c r="AO41" s="665"/>
      <c r="AP41" s="665"/>
      <c r="AQ41" s="666"/>
      <c r="AS41" s="664"/>
      <c r="AT41" s="665"/>
      <c r="AU41" s="665"/>
      <c r="AV41" s="665"/>
      <c r="AW41" s="666"/>
      <c r="AY41" s="135"/>
      <c r="AZ41" s="37"/>
      <c r="BA41" s="37"/>
      <c r="BB41" s="37"/>
      <c r="BC41" s="667"/>
      <c r="BD41" s="535">
        <f t="shared" ref="BD41:BD45" si="84">IF(BC41=0,9,IF((AI41-CG41)&gt;=BC41,5,IF((AI41-CG41)&gt;=BB41,4,IF((AI41-CG41)&gt;=BA41,3,IF((AI41-CG41)&gt;=AZ41,2,IF((AI41-CG41)&lt;AY41,0,1))))))</f>
        <v>9</v>
      </c>
      <c r="BE41" s="37" t="str">
        <f t="shared" si="71"/>
        <v>N/A</v>
      </c>
      <c r="BF41" s="154"/>
      <c r="BG41" s="151">
        <f t="shared" ref="BG41:BG45" si="85">IF(BC41=0,9,IF((AJ41-CG41)&gt;=BC41,5,IF((AJ41-CG41)&gt;=BB41,4,IF((AJ41-CG41)&gt;=BA41,3,IF((AJ41-CG41)&gt;=AZ41,2,IF((AJ41-CG41)&lt;AY41,0,1))))))</f>
        <v>9</v>
      </c>
      <c r="BH41" s="37" t="str">
        <f t="shared" si="73"/>
        <v>N/A</v>
      </c>
      <c r="BI41" s="154"/>
      <c r="BJ41" s="151">
        <f t="shared" ref="BJ41:BJ45" si="86">IF(BC41=0,9,IF((AK41-CG41)&gt;=BC41,5,IF((AK41-CG41)&gt;=BB41,4,IF((AK41-CG41)&gt;=BA41,3,IF((AK41-CG41)&gt;=AZ41,2,IF((AK41-CG41)&lt;AY41,0,1))))))</f>
        <v>9</v>
      </c>
      <c r="BK41" s="37" t="str">
        <f t="shared" si="74"/>
        <v>N/A</v>
      </c>
      <c r="BL41" s="659"/>
      <c r="BO41" s="35"/>
      <c r="BP41" s="35"/>
      <c r="BQ41" s="35" t="str">
        <f t="shared" si="15"/>
        <v/>
      </c>
      <c r="BR41" s="35">
        <f t="shared" si="55"/>
        <v>9</v>
      </c>
      <c r="BS41" s="35">
        <f t="shared" si="56"/>
        <v>9</v>
      </c>
      <c r="BT41" s="35">
        <f t="shared" si="57"/>
        <v>9</v>
      </c>
      <c r="BW41" s="525"/>
      <c r="BX41" s="37"/>
      <c r="BY41" s="525"/>
      <c r="BZ41" s="37"/>
      <c r="CA41" s="523"/>
      <c r="CB41" s="37"/>
      <c r="CD41" s="54"/>
      <c r="CE41" s="35"/>
      <c r="CG41" s="54"/>
    </row>
    <row r="42" spans="1:87">
      <c r="A42">
        <v>34</v>
      </c>
      <c r="B42" t="str">
        <f t="shared" si="83"/>
        <v>Hea 01c</v>
      </c>
      <c r="C42" t="str">
        <f t="shared" si="19"/>
        <v>Hea 01</v>
      </c>
      <c r="D42" s="135" t="s">
        <v>731</v>
      </c>
      <c r="E42" s="857" t="s">
        <v>583</v>
      </c>
      <c r="F42" s="753">
        <v>1</v>
      </c>
      <c r="G42" s="753">
        <v>1</v>
      </c>
      <c r="H42" s="801">
        <v>0</v>
      </c>
      <c r="I42" s="753">
        <v>1</v>
      </c>
      <c r="J42" s="753">
        <v>1</v>
      </c>
      <c r="K42" s="753">
        <v>1</v>
      </c>
      <c r="L42" s="753">
        <v>1</v>
      </c>
      <c r="M42" s="753">
        <v>1</v>
      </c>
      <c r="N42" s="753">
        <v>1</v>
      </c>
      <c r="O42" s="753">
        <v>1</v>
      </c>
      <c r="P42" s="753">
        <v>1</v>
      </c>
      <c r="Q42" s="753">
        <v>1</v>
      </c>
      <c r="R42" s="753">
        <v>1</v>
      </c>
      <c r="T42" s="175">
        <f t="shared" si="66"/>
        <v>1</v>
      </c>
      <c r="U42" s="137"/>
      <c r="V42" s="35"/>
      <c r="W42" s="35"/>
      <c r="X42" s="138"/>
      <c r="Y42" s="139">
        <f>IF(OR($Y$4=$Y$5,$Y$4=$Y$6),T42,0)</f>
        <v>0</v>
      </c>
      <c r="Z42" s="894">
        <f>VLOOKUP(B42,'Manuell filtrering og justering'!$A$7:$H$107,'Manuell filtrering og justering'!$H$1,FALSE)</f>
        <v>1</v>
      </c>
      <c r="AA42" s="139">
        <f t="shared" si="68"/>
        <v>0</v>
      </c>
      <c r="AB42" s="140">
        <f>IF($AC$5='Manuell filtrering og justering'!$J$2,Z42,(T42-AA42))</f>
        <v>1</v>
      </c>
      <c r="AD42" s="141">
        <f t="shared" si="69"/>
        <v>8.4210526315789472E-3</v>
      </c>
      <c r="AE42" s="141">
        <f t="shared" ref="AE42:AE64" si="87">IF(AB42=0,0,(AD42/AB42)*AI42)</f>
        <v>0</v>
      </c>
      <c r="AF42" s="141">
        <f t="shared" ref="AF42:AF64" si="88">IF(AB42=0,0,(AD42/AB42)*AJ42)</f>
        <v>0</v>
      </c>
      <c r="AG42" s="141">
        <f t="shared" ref="AG42:AG64" si="89">IF(AB42=0,0,(AD42/AB42)*AK42)</f>
        <v>0</v>
      </c>
      <c r="AI42" s="821">
        <f>IF(AI$234=AD_no,0,IF(VLOOKUP(E42,'Pre-Assessment Estimator'!$E$11:$Z$227,'Pre-Assessment Estimator'!$G$2,FALSE)&gt;AB42,AB42,VLOOKUP(E42,'Pre-Assessment Estimator'!$E$11:$Z$227,'Pre-Assessment Estimator'!$G$2,FALSE)))</f>
        <v>0</v>
      </c>
      <c r="AJ42" s="821">
        <f>IF($AJ$234=AD_no,0,IF(VLOOKUP(E42,'Pre-Assessment Estimator'!$E$11:$Z$227,'Pre-Assessment Estimator'!$N$2,FALSE)&gt;AB42,AB42,VLOOKUP(E42,'Pre-Assessment Estimator'!$E$11:$Z$227,'Pre-Assessment Estimator'!$N$2,FALSE)))</f>
        <v>0</v>
      </c>
      <c r="AK42" s="821">
        <f>IF($AK$234=AD_no,0,IF(VLOOKUP(E42,'Pre-Assessment Estimator'!$E$11:$Z$227,'Pre-Assessment Estimator'!$U$2,FALSE)&gt;AB42,AB42,VLOOKUP(E42,'Pre-Assessment Estimator'!$E$11:$Z$227,'Pre-Assessment Estimator'!$U$2,FALSE)))</f>
        <v>0</v>
      </c>
      <c r="AM42" s="664"/>
      <c r="AN42" s="665"/>
      <c r="AO42" s="665"/>
      <c r="AP42" s="665"/>
      <c r="AQ42" s="666"/>
      <c r="AS42" s="664"/>
      <c r="AT42" s="665"/>
      <c r="AU42" s="665"/>
      <c r="AV42" s="665"/>
      <c r="AW42" s="666"/>
      <c r="AY42" s="135"/>
      <c r="AZ42" s="37"/>
      <c r="BA42" s="37"/>
      <c r="BB42" s="37"/>
      <c r="BC42" s="667"/>
      <c r="BD42" s="535">
        <f t="shared" si="84"/>
        <v>9</v>
      </c>
      <c r="BE42" s="37" t="str">
        <f t="shared" si="71"/>
        <v>N/A</v>
      </c>
      <c r="BF42" s="154"/>
      <c r="BG42" s="151">
        <f t="shared" si="85"/>
        <v>9</v>
      </c>
      <c r="BH42" s="37" t="str">
        <f t="shared" si="73"/>
        <v>N/A</v>
      </c>
      <c r="BI42" s="154"/>
      <c r="BJ42" s="151">
        <f t="shared" si="86"/>
        <v>9</v>
      </c>
      <c r="BK42" s="37" t="str">
        <f t="shared" si="74"/>
        <v>N/A</v>
      </c>
      <c r="BL42" s="659"/>
      <c r="BO42" s="35"/>
      <c r="BP42" s="35"/>
      <c r="BQ42" s="35" t="str">
        <f t="shared" si="15"/>
        <v/>
      </c>
      <c r="BR42" s="35">
        <f t="shared" si="55"/>
        <v>9</v>
      </c>
      <c r="BS42" s="35">
        <f t="shared" si="56"/>
        <v>9</v>
      </c>
      <c r="BT42" s="35">
        <f t="shared" si="57"/>
        <v>9</v>
      </c>
      <c r="BW42" s="525"/>
      <c r="BX42" s="37"/>
      <c r="BY42" s="525"/>
      <c r="BZ42" s="37"/>
      <c r="CA42" s="523"/>
      <c r="CB42" s="37"/>
      <c r="CD42" s="54"/>
      <c r="CE42" s="35"/>
      <c r="CG42" s="54"/>
    </row>
    <row r="43" spans="1:87">
      <c r="A43">
        <v>35</v>
      </c>
      <c r="B43" t="str">
        <f t="shared" si="83"/>
        <v>Hea 01d</v>
      </c>
      <c r="C43" t="str">
        <f t="shared" si="19"/>
        <v>Hea 01</v>
      </c>
      <c r="D43" s="135" t="s">
        <v>732</v>
      </c>
      <c r="E43" s="857" t="s">
        <v>584</v>
      </c>
      <c r="F43" s="753">
        <v>1</v>
      </c>
      <c r="G43" s="753">
        <v>1</v>
      </c>
      <c r="H43" s="753">
        <v>1</v>
      </c>
      <c r="I43" s="753">
        <v>1</v>
      </c>
      <c r="J43" s="753">
        <v>1</v>
      </c>
      <c r="K43" s="753">
        <v>1</v>
      </c>
      <c r="L43" s="753">
        <v>1</v>
      </c>
      <c r="M43" s="753">
        <v>1</v>
      </c>
      <c r="N43" s="753">
        <v>1</v>
      </c>
      <c r="O43" s="753">
        <v>1</v>
      </c>
      <c r="P43" s="753">
        <v>1</v>
      </c>
      <c r="Q43" s="753">
        <v>1</v>
      </c>
      <c r="R43" s="753">
        <v>1</v>
      </c>
      <c r="T43" s="175">
        <f t="shared" si="66"/>
        <v>1</v>
      </c>
      <c r="U43" s="137"/>
      <c r="V43" s="35"/>
      <c r="W43" s="35"/>
      <c r="X43" s="138"/>
      <c r="Y43" s="139"/>
      <c r="Z43" s="894">
        <f>VLOOKUP(B43,'Manuell filtrering og justering'!$A$7:$H$107,'Manuell filtrering og justering'!$H$1,FALSE)</f>
        <v>1</v>
      </c>
      <c r="AA43" s="139">
        <f t="shared" si="68"/>
        <v>0</v>
      </c>
      <c r="AB43" s="140">
        <f>IF($AC$5='Manuell filtrering og justering'!$J$2,Z43,(T43-AA43))</f>
        <v>1</v>
      </c>
      <c r="AD43" s="141">
        <f t="shared" si="69"/>
        <v>8.4210526315789472E-3</v>
      </c>
      <c r="AE43" s="141">
        <f t="shared" si="87"/>
        <v>0</v>
      </c>
      <c r="AF43" s="141">
        <f t="shared" si="88"/>
        <v>0</v>
      </c>
      <c r="AG43" s="141">
        <f t="shared" si="89"/>
        <v>0</v>
      </c>
      <c r="AI43" s="821">
        <f>IF(AI$234=AD_no,0,IF(VLOOKUP(E43,'Pre-Assessment Estimator'!$E$11:$Z$227,'Pre-Assessment Estimator'!$G$2,FALSE)&gt;AB43,AB43,VLOOKUP(E43,'Pre-Assessment Estimator'!$E$11:$Z$227,'Pre-Assessment Estimator'!$G$2,FALSE)))</f>
        <v>0</v>
      </c>
      <c r="AJ43" s="821">
        <f>IF($AJ$234=AD_no,0,IF(VLOOKUP(E43,'Pre-Assessment Estimator'!$E$11:$Z$227,'Pre-Assessment Estimator'!$N$2,FALSE)&gt;AB43,AB43,VLOOKUP(E43,'Pre-Assessment Estimator'!$E$11:$Z$227,'Pre-Assessment Estimator'!$N$2,FALSE)))</f>
        <v>0</v>
      </c>
      <c r="AK43" s="821">
        <f>IF($AK$234=AD_no,0,IF(VLOOKUP(E43,'Pre-Assessment Estimator'!$E$11:$Z$227,'Pre-Assessment Estimator'!$U$2,FALSE)&gt;AB43,AB43,VLOOKUP(E43,'Pre-Assessment Estimator'!$E$11:$Z$227,'Pre-Assessment Estimator'!$U$2,FALSE)))</f>
        <v>0</v>
      </c>
      <c r="AM43" s="664"/>
      <c r="AN43" s="665"/>
      <c r="AO43" s="665"/>
      <c r="AP43" s="665"/>
      <c r="AQ43" s="666"/>
      <c r="AS43" s="664"/>
      <c r="AT43" s="665"/>
      <c r="AU43" s="665"/>
      <c r="AV43" s="665"/>
      <c r="AW43" s="666"/>
      <c r="AY43" s="135"/>
      <c r="AZ43" s="37"/>
      <c r="BA43" s="37"/>
      <c r="BB43" s="37"/>
      <c r="BC43" s="667"/>
      <c r="BD43" s="535">
        <f t="shared" si="84"/>
        <v>9</v>
      </c>
      <c r="BE43" s="37" t="str">
        <f t="shared" si="71"/>
        <v>N/A</v>
      </c>
      <c r="BF43" s="154"/>
      <c r="BG43" s="151">
        <f t="shared" si="85"/>
        <v>9</v>
      </c>
      <c r="BH43" s="37" t="str">
        <f t="shared" si="73"/>
        <v>N/A</v>
      </c>
      <c r="BI43" s="154"/>
      <c r="BJ43" s="151">
        <f t="shared" si="86"/>
        <v>9</v>
      </c>
      <c r="BK43" s="37" t="str">
        <f t="shared" si="74"/>
        <v>N/A</v>
      </c>
      <c r="BL43" s="659"/>
      <c r="BO43" s="35"/>
      <c r="BP43" s="35"/>
      <c r="BQ43" s="35" t="str">
        <f t="shared" si="15"/>
        <v/>
      </c>
      <c r="BR43" s="35">
        <f t="shared" si="55"/>
        <v>9</v>
      </c>
      <c r="BS43" s="35">
        <f t="shared" si="56"/>
        <v>9</v>
      </c>
      <c r="BT43" s="35">
        <f t="shared" si="57"/>
        <v>9</v>
      </c>
      <c r="BW43" s="525"/>
      <c r="BX43" s="37"/>
      <c r="BY43" s="525"/>
      <c r="BZ43" s="37"/>
      <c r="CA43" s="523"/>
      <c r="CB43" s="37"/>
      <c r="CD43" s="54"/>
      <c r="CE43" s="35"/>
      <c r="CG43" s="54"/>
    </row>
    <row r="44" spans="1:87">
      <c r="A44">
        <v>36</v>
      </c>
      <c r="B44" t="str">
        <f t="shared" si="83"/>
        <v>Hea 01e</v>
      </c>
      <c r="C44" t="str">
        <f t="shared" si="19"/>
        <v>Hea 01</v>
      </c>
      <c r="D44" s="135" t="s">
        <v>733</v>
      </c>
      <c r="E44" s="857" t="s">
        <v>585</v>
      </c>
      <c r="F44" s="753">
        <v>1</v>
      </c>
      <c r="G44" s="753">
        <v>1</v>
      </c>
      <c r="H44" s="753">
        <v>1</v>
      </c>
      <c r="I44" s="753">
        <v>1</v>
      </c>
      <c r="J44" s="753">
        <v>1</v>
      </c>
      <c r="K44" s="753">
        <v>1</v>
      </c>
      <c r="L44" s="753">
        <v>1</v>
      </c>
      <c r="M44" s="753">
        <v>1</v>
      </c>
      <c r="N44" s="753">
        <v>1</v>
      </c>
      <c r="O44" s="753">
        <v>1</v>
      </c>
      <c r="P44" s="753">
        <v>1</v>
      </c>
      <c r="Q44" s="753">
        <v>1</v>
      </c>
      <c r="R44" s="753">
        <v>1</v>
      </c>
      <c r="T44" s="175">
        <f t="shared" si="66"/>
        <v>1</v>
      </c>
      <c r="U44" s="137"/>
      <c r="V44" s="35"/>
      <c r="W44" s="35"/>
      <c r="X44" s="138"/>
      <c r="Y44" s="139"/>
      <c r="Z44" s="894">
        <f>VLOOKUP(B44,'Manuell filtrering og justering'!$A$7:$H$107,'Manuell filtrering og justering'!$H$1,FALSE)</f>
        <v>1</v>
      </c>
      <c r="AA44" s="139">
        <f t="shared" si="68"/>
        <v>0</v>
      </c>
      <c r="AB44" s="140">
        <f>IF($AC$5='Manuell filtrering og justering'!$J$2,Z44,(T44-AA44))</f>
        <v>1</v>
      </c>
      <c r="AD44" s="141">
        <f t="shared" si="69"/>
        <v>8.4210526315789472E-3</v>
      </c>
      <c r="AE44" s="141">
        <f t="shared" si="87"/>
        <v>0</v>
      </c>
      <c r="AF44" s="141">
        <f t="shared" si="88"/>
        <v>0</v>
      </c>
      <c r="AG44" s="141">
        <f t="shared" si="89"/>
        <v>0</v>
      </c>
      <c r="AI44" s="821">
        <f>IF(AI$234=AD_no,0,IF(VLOOKUP(E44,'Pre-Assessment Estimator'!$E$11:$Z$227,'Pre-Assessment Estimator'!$G$2,FALSE)&gt;AB44,AB44,VLOOKUP(E44,'Pre-Assessment Estimator'!$E$11:$Z$227,'Pre-Assessment Estimator'!$G$2,FALSE)))</f>
        <v>0</v>
      </c>
      <c r="AJ44" s="821">
        <f>IF($AJ$234=AD_no,0,IF(VLOOKUP(E44,'Pre-Assessment Estimator'!$E$11:$Z$227,'Pre-Assessment Estimator'!$N$2,FALSE)&gt;AB44,AB44,VLOOKUP(E44,'Pre-Assessment Estimator'!$E$11:$Z$227,'Pre-Assessment Estimator'!$N$2,FALSE)))</f>
        <v>0</v>
      </c>
      <c r="AK44" s="821">
        <f>IF($AK$234=AD_no,0,IF(VLOOKUP(E44,'Pre-Assessment Estimator'!$E$11:$Z$227,'Pre-Assessment Estimator'!$U$2,FALSE)&gt;AB44,AB44,VLOOKUP(E44,'Pre-Assessment Estimator'!$E$11:$Z$227,'Pre-Assessment Estimator'!$U$2,FALSE)))</f>
        <v>0</v>
      </c>
      <c r="AM44" s="664"/>
      <c r="AN44" s="665"/>
      <c r="AO44" s="665"/>
      <c r="AP44" s="665"/>
      <c r="AQ44" s="666"/>
      <c r="AS44" s="664"/>
      <c r="AT44" s="665"/>
      <c r="AU44" s="665"/>
      <c r="AV44" s="665"/>
      <c r="AW44" s="666"/>
      <c r="AY44" s="135"/>
      <c r="AZ44" s="37"/>
      <c r="BA44" s="37"/>
      <c r="BB44" s="37"/>
      <c r="BC44" s="667"/>
      <c r="BD44" s="535">
        <f t="shared" si="84"/>
        <v>9</v>
      </c>
      <c r="BE44" s="37" t="str">
        <f t="shared" si="71"/>
        <v>N/A</v>
      </c>
      <c r="BF44" s="154"/>
      <c r="BG44" s="151">
        <f t="shared" si="85"/>
        <v>9</v>
      </c>
      <c r="BH44" s="37" t="str">
        <f t="shared" si="73"/>
        <v>N/A</v>
      </c>
      <c r="BI44" s="154"/>
      <c r="BJ44" s="151">
        <f t="shared" si="86"/>
        <v>9</v>
      </c>
      <c r="BK44" s="37" t="str">
        <f t="shared" si="74"/>
        <v>N/A</v>
      </c>
      <c r="BL44" s="659"/>
      <c r="BO44" s="35"/>
      <c r="BP44" s="35"/>
      <c r="BQ44" s="35" t="str">
        <f t="shared" si="15"/>
        <v/>
      </c>
      <c r="BR44" s="35">
        <f t="shared" si="55"/>
        <v>9</v>
      </c>
      <c r="BS44" s="35">
        <f t="shared" si="56"/>
        <v>9</v>
      </c>
      <c r="BT44" s="35">
        <f t="shared" si="57"/>
        <v>9</v>
      </c>
      <c r="BW44" s="525"/>
      <c r="BX44" s="37"/>
      <c r="BY44" s="525"/>
      <c r="BZ44" s="37"/>
      <c r="CA44" s="523"/>
      <c r="CB44" s="37"/>
      <c r="CD44" s="54"/>
      <c r="CE44" s="35"/>
      <c r="CG44" s="54"/>
    </row>
    <row r="45" spans="1:87">
      <c r="A45">
        <v>37</v>
      </c>
      <c r="B45" t="str">
        <f t="shared" si="83"/>
        <v>Hea 01f</v>
      </c>
      <c r="C45" t="str">
        <f t="shared" si="19"/>
        <v>Hea 01</v>
      </c>
      <c r="D45" s="135" t="s">
        <v>739</v>
      </c>
      <c r="E45" s="857" t="s">
        <v>588</v>
      </c>
      <c r="F45" s="753">
        <v>1</v>
      </c>
      <c r="G45" s="753">
        <v>1</v>
      </c>
      <c r="H45" s="801">
        <v>0</v>
      </c>
      <c r="I45" s="753">
        <v>1</v>
      </c>
      <c r="J45" s="753">
        <v>1</v>
      </c>
      <c r="K45" s="753">
        <v>1</v>
      </c>
      <c r="L45" s="753">
        <v>1</v>
      </c>
      <c r="M45" s="753">
        <v>1</v>
      </c>
      <c r="N45" s="753">
        <v>1</v>
      </c>
      <c r="O45" s="753">
        <v>1</v>
      </c>
      <c r="P45" s="753">
        <v>1</v>
      </c>
      <c r="Q45" s="753">
        <v>1</v>
      </c>
      <c r="R45" s="753">
        <v>1</v>
      </c>
      <c r="T45" s="175">
        <f t="shared" si="66"/>
        <v>1</v>
      </c>
      <c r="U45" s="137"/>
      <c r="V45" s="35"/>
      <c r="W45" s="35"/>
      <c r="X45" s="138"/>
      <c r="Y45" s="139"/>
      <c r="Z45" s="894">
        <f>VLOOKUP(B45,'Manuell filtrering og justering'!$A$7:$H$107,'Manuell filtrering og justering'!$H$1,FALSE)</f>
        <v>1</v>
      </c>
      <c r="AA45" s="139">
        <f t="shared" si="68"/>
        <v>0</v>
      </c>
      <c r="AB45" s="140">
        <f>IF($AC$5='Manuell filtrering og justering'!$J$2,Z45,(T45-AA45))</f>
        <v>1</v>
      </c>
      <c r="AD45" s="141">
        <f t="shared" si="69"/>
        <v>8.4210526315789472E-3</v>
      </c>
      <c r="AE45" s="141">
        <f t="shared" si="87"/>
        <v>0</v>
      </c>
      <c r="AF45" s="141">
        <f t="shared" si="88"/>
        <v>0</v>
      </c>
      <c r="AG45" s="141">
        <f t="shared" si="89"/>
        <v>0</v>
      </c>
      <c r="AI45" s="821">
        <f>IF(AI$234=AD_no,0,IF(VLOOKUP(E45,'Pre-Assessment Estimator'!$E$11:$Z$227,'Pre-Assessment Estimator'!$G$2,FALSE)&gt;AB45,AB45,VLOOKUP(E45,'Pre-Assessment Estimator'!$E$11:$Z$227,'Pre-Assessment Estimator'!$G$2,FALSE)))</f>
        <v>0</v>
      </c>
      <c r="AJ45" s="821">
        <f>IF($AJ$234=AD_no,0,IF(VLOOKUP(E45,'Pre-Assessment Estimator'!$E$11:$Z$227,'Pre-Assessment Estimator'!$N$2,FALSE)&gt;AB45,AB45,VLOOKUP(E45,'Pre-Assessment Estimator'!$E$11:$Z$227,'Pre-Assessment Estimator'!$N$2,FALSE)))</f>
        <v>0</v>
      </c>
      <c r="AK45" s="821">
        <f>IF($AK$234=AD_no,0,IF(VLOOKUP(E45,'Pre-Assessment Estimator'!$E$11:$Z$227,'Pre-Assessment Estimator'!$U$2,FALSE)&gt;AB45,AB45,VLOOKUP(E45,'Pre-Assessment Estimator'!$E$11:$Z$227,'Pre-Assessment Estimator'!$U$2,FALSE)))</f>
        <v>0</v>
      </c>
      <c r="AM45" s="664"/>
      <c r="AN45" s="665"/>
      <c r="AO45" s="665"/>
      <c r="AP45" s="665"/>
      <c r="AQ45" s="666"/>
      <c r="AS45" s="664"/>
      <c r="AT45" s="665"/>
      <c r="AU45" s="665"/>
      <c r="AV45" s="665"/>
      <c r="AW45" s="666"/>
      <c r="AY45" s="135"/>
      <c r="AZ45" s="37"/>
      <c r="BA45" s="37"/>
      <c r="BB45" s="37"/>
      <c r="BC45" s="667"/>
      <c r="BD45" s="535">
        <f t="shared" si="84"/>
        <v>9</v>
      </c>
      <c r="BE45" s="37" t="str">
        <f t="shared" si="71"/>
        <v>N/A</v>
      </c>
      <c r="BF45" s="154"/>
      <c r="BG45" s="151">
        <f t="shared" si="85"/>
        <v>9</v>
      </c>
      <c r="BH45" s="37" t="str">
        <f t="shared" si="73"/>
        <v>N/A</v>
      </c>
      <c r="BI45" s="154"/>
      <c r="BJ45" s="151">
        <f t="shared" si="86"/>
        <v>9</v>
      </c>
      <c r="BK45" s="37" t="str">
        <f t="shared" si="74"/>
        <v>N/A</v>
      </c>
      <c r="BL45" s="659"/>
      <c r="BO45" s="35"/>
      <c r="BP45" s="35"/>
      <c r="BQ45" s="35" t="str">
        <f t="shared" si="15"/>
        <v/>
      </c>
      <c r="BR45" s="35">
        <f t="shared" si="55"/>
        <v>9</v>
      </c>
      <c r="BS45" s="35">
        <f t="shared" si="56"/>
        <v>9</v>
      </c>
      <c r="BT45" s="35">
        <f t="shared" si="57"/>
        <v>9</v>
      </c>
      <c r="BW45" s="525"/>
      <c r="BX45" s="37"/>
      <c r="BY45" s="525"/>
      <c r="BZ45" s="37"/>
      <c r="CA45" s="523"/>
      <c r="CB45" s="37"/>
      <c r="CD45" s="54"/>
      <c r="CE45" s="35"/>
      <c r="CG45" s="54"/>
    </row>
    <row r="46" spans="1:87">
      <c r="A46">
        <v>38</v>
      </c>
      <c r="B46" s="112" t="str">
        <f>D46</f>
        <v>Hea 02</v>
      </c>
      <c r="C46" s="112" t="str">
        <f>B46</f>
        <v>Hea 02</v>
      </c>
      <c r="D46" s="663" t="s">
        <v>187</v>
      </c>
      <c r="E46" s="661" t="s">
        <v>304</v>
      </c>
      <c r="F46" s="748">
        <f t="shared" ref="F46:R46" si="90">SUM(F47:F50)</f>
        <v>4</v>
      </c>
      <c r="G46" s="748">
        <f t="shared" si="90"/>
        <v>4</v>
      </c>
      <c r="H46" s="748">
        <f t="shared" si="90"/>
        <v>4</v>
      </c>
      <c r="I46" s="748">
        <f t="shared" si="90"/>
        <v>4</v>
      </c>
      <c r="J46" s="748">
        <f t="shared" si="90"/>
        <v>4</v>
      </c>
      <c r="K46" s="748">
        <f t="shared" si="90"/>
        <v>4</v>
      </c>
      <c r="L46" s="748">
        <f t="shared" si="90"/>
        <v>4</v>
      </c>
      <c r="M46" s="748">
        <f t="shared" si="90"/>
        <v>4</v>
      </c>
      <c r="N46" s="748">
        <f t="shared" si="90"/>
        <v>4</v>
      </c>
      <c r="O46" s="748">
        <f t="shared" si="90"/>
        <v>4</v>
      </c>
      <c r="P46" s="748">
        <f t="shared" si="90"/>
        <v>4</v>
      </c>
      <c r="Q46" s="748">
        <f t="shared" ref="Q46" si="91">SUM(Q47:Q50)</f>
        <v>4</v>
      </c>
      <c r="R46" s="748">
        <f t="shared" si="90"/>
        <v>4</v>
      </c>
      <c r="T46" s="766">
        <f t="shared" si="66"/>
        <v>4</v>
      </c>
      <c r="U46" s="182">
        <f>U48+U49+U50</f>
        <v>0</v>
      </c>
      <c r="V46" s="53"/>
      <c r="W46" s="53"/>
      <c r="X46" s="849">
        <f>'Manuell filtrering og justering'!E18</f>
        <v>0</v>
      </c>
      <c r="Y46" s="768"/>
      <c r="Z46" s="911">
        <f t="shared" ref="Z46" si="92">SUM(Z47:Z50)</f>
        <v>4</v>
      </c>
      <c r="AA46" s="768">
        <f t="shared" si="68"/>
        <v>0</v>
      </c>
      <c r="AB46" s="820">
        <f>SUM(AB47:AB50)</f>
        <v>4</v>
      </c>
      <c r="AD46" s="141">
        <f t="shared" si="69"/>
        <v>3.3684210526315789E-2</v>
      </c>
      <c r="AE46" s="736">
        <f>SUM(AE47:AE50)</f>
        <v>0</v>
      </c>
      <c r="AF46" s="736">
        <f t="shared" ref="AF46:AG46" si="93">SUM(AF47:AF50)</f>
        <v>0</v>
      </c>
      <c r="AG46" s="736">
        <f t="shared" si="93"/>
        <v>0</v>
      </c>
      <c r="AI46" s="763">
        <f t="shared" ref="AI46:AK46" si="94">SUM(AI47:AI50)</f>
        <v>0</v>
      </c>
      <c r="AJ46" s="763">
        <f t="shared" si="94"/>
        <v>0</v>
      </c>
      <c r="AK46" s="763">
        <f t="shared" si="94"/>
        <v>0</v>
      </c>
      <c r="AL46" t="s">
        <v>223</v>
      </c>
      <c r="AM46" s="242"/>
      <c r="AN46" s="150"/>
      <c r="AO46" s="255"/>
      <c r="AP46" s="244"/>
      <c r="AQ46" s="245"/>
      <c r="AS46" s="243"/>
      <c r="AT46" s="244"/>
      <c r="AU46" s="244"/>
      <c r="AV46" s="244"/>
      <c r="AW46" s="245"/>
      <c r="AY46" s="151"/>
      <c r="AZ46" s="152"/>
      <c r="BA46" s="152"/>
      <c r="BB46" s="152"/>
      <c r="BC46" s="146"/>
      <c r="BD46" s="535">
        <f>IF(BC46=0,9,IF((AI46-CG46)&gt;=BC46,5,IF((AI46-CG46)&gt;=BB46,4,IF((AI46-CG46)&gt;=BA46,3,IF((AI46-CG46)&gt;=AZ46,2,IF((AI46-CG46)&lt;AY46,0,1))))))</f>
        <v>9</v>
      </c>
      <c r="BE46" s="37" t="str">
        <f t="shared" si="71"/>
        <v>N/A</v>
      </c>
      <c r="BF46" s="154"/>
      <c r="BG46" s="151">
        <f>IF(BC46=0,9,IF((AJ46-CG46)&gt;=BC46,5,IF((AJ46-CG46)&gt;=BB46,4,IF((AJ46-CG46)&gt;=BA46,3,IF((AJ46-CG46)&gt;=AZ46,2,IF((AJ46-CG46)&lt;AY46,0,1))))))</f>
        <v>9</v>
      </c>
      <c r="BH46" s="37" t="str">
        <f t="shared" si="73"/>
        <v>N/A</v>
      </c>
      <c r="BI46" s="154"/>
      <c r="BJ46" s="151">
        <f>IF(BC46=0,9,IF((AK46-CG46)&gt;=BC46,5,IF((AK46-CG46)&gt;=BB46,4,IF((AK46-CG46)&gt;=BA46,3,IF((AK46-CG46)&gt;=AZ46,2,IF((AK46-CG46)&lt;AY46,0,1))))))</f>
        <v>9</v>
      </c>
      <c r="BK46" s="37" t="str">
        <f t="shared" si="74"/>
        <v>N/A</v>
      </c>
      <c r="BL46" s="154"/>
      <c r="BM46" t="s">
        <v>897</v>
      </c>
      <c r="BO46" s="35"/>
      <c r="BP46" s="35"/>
      <c r="BQ46" s="35" t="str">
        <f t="shared" si="15"/>
        <v/>
      </c>
      <c r="BR46" s="35">
        <f t="shared" si="55"/>
        <v>9</v>
      </c>
      <c r="BS46" s="35">
        <f t="shared" si="56"/>
        <v>9</v>
      </c>
      <c r="BT46" s="35">
        <f t="shared" si="57"/>
        <v>9</v>
      </c>
      <c r="BW46" s="35" t="str">
        <f>D46</f>
        <v>Hea 02</v>
      </c>
      <c r="BX46" s="35" t="str">
        <f>IFERROR(VLOOKUP($E46,'Pre-Assessment Estimator'!$E$11:$AB$227,'Pre-Assessment Estimator'!AB$2,FALSE),"")</f>
        <v>O2: VOC (AC 8-9: -1,0 c)</v>
      </c>
      <c r="BY46" s="53" t="str">
        <f>IFERROR(VLOOKUP($E46,'Pre-Assessment Estimator'!$E$11:$AI$227,'Pre-Assessment Estimator'!AI$2,FALSE),"")</f>
        <v>Ja</v>
      </c>
      <c r="BZ46" s="35">
        <f>IFERROR(VLOOKUP($BX46,$E$293:$H$326,F$291,FALSE),"")</f>
        <v>-1</v>
      </c>
      <c r="CA46" s="523" t="s">
        <v>847</v>
      </c>
      <c r="CB46" s="35">
        <f>H303</f>
        <v>5</v>
      </c>
      <c r="CC46" t="s">
        <v>895</v>
      </c>
      <c r="CD46" t="s">
        <v>898</v>
      </c>
      <c r="CE46" s="35">
        <f t="shared" si="75"/>
        <v>0</v>
      </c>
      <c r="CG46" s="54">
        <f>IF($BX$5=ais_nei,CE46,IF(AND(CA46=$CA$4,BX46=$CC$4),0,BZ46))</f>
        <v>0</v>
      </c>
      <c r="CI46" t="s">
        <v>844</v>
      </c>
    </row>
    <row r="47" spans="1:87">
      <c r="A47">
        <v>39</v>
      </c>
      <c r="C47" t="str">
        <f t="shared" si="19"/>
        <v>Hea 02</v>
      </c>
      <c r="D47" s="135" t="s">
        <v>729</v>
      </c>
      <c r="E47" s="754" t="s">
        <v>899</v>
      </c>
      <c r="F47" s="605"/>
      <c r="G47" s="605"/>
      <c r="H47" s="605"/>
      <c r="I47" s="605"/>
      <c r="J47" s="605"/>
      <c r="K47" s="605"/>
      <c r="L47" s="605"/>
      <c r="M47" s="605"/>
      <c r="N47" s="605"/>
      <c r="O47" s="605"/>
      <c r="P47" s="605"/>
      <c r="Q47" s="605"/>
      <c r="R47" s="605"/>
      <c r="T47" s="175">
        <f t="shared" si="66"/>
        <v>0</v>
      </c>
      <c r="U47" s="137"/>
      <c r="V47" s="35"/>
      <c r="W47" s="35"/>
      <c r="X47" s="138"/>
      <c r="Y47" s="139"/>
      <c r="Z47" s="894"/>
      <c r="AA47" s="139">
        <f t="shared" si="68"/>
        <v>0</v>
      </c>
      <c r="AB47" s="140">
        <f>IF($AC$5='Manuell filtrering og justering'!$J$2,Z47,(T47-AA47))</f>
        <v>0</v>
      </c>
      <c r="AD47" s="141">
        <f t="shared" si="69"/>
        <v>0</v>
      </c>
      <c r="AE47" s="141">
        <f t="shared" si="87"/>
        <v>0</v>
      </c>
      <c r="AF47" s="141">
        <f t="shared" si="88"/>
        <v>0</v>
      </c>
      <c r="AG47" s="141">
        <f t="shared" si="89"/>
        <v>0</v>
      </c>
      <c r="AI47" s="142">
        <f>IF(VLOOKUP(E47,'Pre-Assessment Estimator'!$E$11:$Z$227,'Pre-Assessment Estimator'!$G$2,FALSE)&gt;AB47,AB47,VLOOKUP(E47,'Pre-Assessment Estimator'!$E$11:$Z$227,'Pre-Assessment Estimator'!$G$2,FALSE))</f>
        <v>0</v>
      </c>
      <c r="AJ47" s="142">
        <f>IF(VLOOKUP(E47,'Pre-Assessment Estimator'!$E$11:$Z$227,'Pre-Assessment Estimator'!$N$2,FALSE)&gt;AB47,AB47,VLOOKUP(E47,'Pre-Assessment Estimator'!$E$11:$Z$227,'Pre-Assessment Estimator'!$N$2,FALSE))</f>
        <v>0</v>
      </c>
      <c r="AK47" s="142">
        <f>IF(VLOOKUP(E47,'Pre-Assessment Estimator'!$E$11:$Z$227,'Pre-Assessment Estimator'!$U$2,FALSE)&gt;AB47,AB47,VLOOKUP(E47,'Pre-Assessment Estimator'!$E$11:$Z$227,'Pre-Assessment Estimator'!$U$2,FALSE))</f>
        <v>0</v>
      </c>
      <c r="AM47" s="242"/>
      <c r="AN47" s="150"/>
      <c r="AO47" s="255"/>
      <c r="AP47" s="244"/>
      <c r="AQ47" s="245"/>
      <c r="AS47" s="243"/>
      <c r="AT47" s="244"/>
      <c r="AU47" s="244"/>
      <c r="AV47" s="244"/>
      <c r="AW47" s="245"/>
      <c r="AY47" s="151"/>
      <c r="AZ47" s="152"/>
      <c r="BA47" s="152"/>
      <c r="BB47" s="152"/>
      <c r="BC47" s="146"/>
      <c r="BD47" s="535">
        <f t="shared" ref="BD47:BD64" si="95">IF(BC47=0,9,IF((AI47-CG47)&gt;=BC47,5,IF((AI47-CG47)&gt;=BB47,4,IF((AI47-CG47)&gt;=BA47,3,IF((AI47-CG47)&gt;=AZ47,2,IF((AI47-CG47)&lt;AY47,0,1))))))</f>
        <v>9</v>
      </c>
      <c r="BE47" s="37" t="str">
        <f t="shared" si="71"/>
        <v>N/A</v>
      </c>
      <c r="BF47" s="154"/>
      <c r="BG47" s="151">
        <f t="shared" ref="BG47:BG64" si="96">IF(BC47=0,9,IF((AJ47-CG47)&gt;=BC47,5,IF((AJ47-CG47)&gt;=BB47,4,IF((AJ47-CG47)&gt;=BA47,3,IF((AJ47-CG47)&gt;=AZ47,2,IF((AJ47-CG47)&lt;AY47,0,1))))))</f>
        <v>9</v>
      </c>
      <c r="BH47" s="37" t="str">
        <f t="shared" si="73"/>
        <v>N/A</v>
      </c>
      <c r="BI47" s="154"/>
      <c r="BJ47" s="151">
        <f t="shared" ref="BJ47:BJ64" si="97">IF(BC47=0,9,IF((AK47-CG47)&gt;=BC47,5,IF((AK47-CG47)&gt;=BB47,4,IF((AK47-CG47)&gt;=BA47,3,IF((AK47-CG47)&gt;=AZ47,2,IF((AK47-CG47)&lt;AY47,0,1))))))</f>
        <v>9</v>
      </c>
      <c r="BK47" s="37" t="str">
        <f t="shared" si="74"/>
        <v>N/A</v>
      </c>
      <c r="BL47" s="154"/>
      <c r="BO47" s="35"/>
      <c r="BP47" s="35"/>
      <c r="BQ47" s="35" t="str">
        <f t="shared" si="15"/>
        <v/>
      </c>
      <c r="BR47" s="35">
        <f t="shared" si="55"/>
        <v>9</v>
      </c>
      <c r="BS47" s="35">
        <f t="shared" si="56"/>
        <v>9</v>
      </c>
      <c r="BT47" s="35">
        <f t="shared" si="57"/>
        <v>9</v>
      </c>
      <c r="BW47" s="35"/>
      <c r="BX47" s="35"/>
      <c r="BY47" s="53"/>
      <c r="BZ47" s="35"/>
      <c r="CA47" s="524"/>
      <c r="CB47" s="35"/>
      <c r="CE47" s="35"/>
      <c r="CG47" s="54"/>
    </row>
    <row r="48" spans="1:87">
      <c r="A48">
        <v>40</v>
      </c>
      <c r="B48" t="str">
        <f t="shared" ref="B48:B50" si="98">$D$46&amp;D48</f>
        <v>Hea 02b</v>
      </c>
      <c r="C48" t="str">
        <f t="shared" si="19"/>
        <v>Hea 02</v>
      </c>
      <c r="D48" s="135" t="s">
        <v>730</v>
      </c>
      <c r="E48" s="857" t="s">
        <v>590</v>
      </c>
      <c r="F48" s="607">
        <v>1</v>
      </c>
      <c r="G48" s="607">
        <v>1</v>
      </c>
      <c r="H48" s="607">
        <v>1</v>
      </c>
      <c r="I48" s="607">
        <v>1</v>
      </c>
      <c r="J48" s="607">
        <v>1</v>
      </c>
      <c r="K48" s="607">
        <v>1</v>
      </c>
      <c r="L48" s="607">
        <v>1</v>
      </c>
      <c r="M48" s="607">
        <v>1</v>
      </c>
      <c r="N48" s="607">
        <v>1</v>
      </c>
      <c r="O48" s="607">
        <v>1</v>
      </c>
      <c r="P48" s="607">
        <v>1</v>
      </c>
      <c r="Q48" s="607">
        <v>1</v>
      </c>
      <c r="R48" s="607">
        <v>1</v>
      </c>
      <c r="T48" s="175">
        <f t="shared" si="66"/>
        <v>1</v>
      </c>
      <c r="U48" s="182">
        <f>IF(AND(ADBT0=ADBT1,ADIND_option03=AD_no),Poeng!T48,0)</f>
        <v>0</v>
      </c>
      <c r="V48" s="35"/>
      <c r="W48" s="35"/>
      <c r="X48" s="138"/>
      <c r="Y48" s="139"/>
      <c r="Z48" s="894">
        <f>VLOOKUP(B48,'Manuell filtrering og justering'!$A$7:$H$107,'Manuell filtrering og justering'!$H$1,FALSE)</f>
        <v>1</v>
      </c>
      <c r="AA48" s="139">
        <f t="shared" si="68"/>
        <v>0</v>
      </c>
      <c r="AB48" s="140">
        <f>IF($AC$5='Manuell filtrering og justering'!$J$2,Z48,(T48-AA48))</f>
        <v>1</v>
      </c>
      <c r="AD48" s="141">
        <f t="shared" si="69"/>
        <v>8.4210526315789472E-3</v>
      </c>
      <c r="AE48" s="141">
        <f t="shared" si="87"/>
        <v>0</v>
      </c>
      <c r="AF48" s="141">
        <f t="shared" si="88"/>
        <v>0</v>
      </c>
      <c r="AG48" s="141">
        <f t="shared" si="89"/>
        <v>0</v>
      </c>
      <c r="AI48" s="821">
        <f>IF(OR(AI236=AD_no,AI236=0,AI281=0),0,IF(VLOOKUP(E48,'Pre-Assessment Estimator'!$E$11:$Z$227,'Pre-Assessment Estimator'!$G$2,FALSE)&gt;AB48,AB48,VLOOKUP(E48,'Pre-Assessment Estimator'!$E$11:$Z$227,'Pre-Assessment Estimator'!$G$2,FALSE)))</f>
        <v>0</v>
      </c>
      <c r="AJ48" s="821">
        <f>IF(OR(AJ236=AD_no,AJ236=0,AJ281=0),0,IF(VLOOKUP(E48,'Pre-Assessment Estimator'!$E$11:$Z$227,'Pre-Assessment Estimator'!$N$2,FALSE)&gt;AB48,AB48,VLOOKUP(E48,'Pre-Assessment Estimator'!$E$11:$Z$227,'Pre-Assessment Estimator'!$N$2,FALSE)))</f>
        <v>0</v>
      </c>
      <c r="AK48" s="821">
        <f>IF(OR(AK236=AD_no,AK236=0,AK281=0),0,IF(VLOOKUP(E48,'Pre-Assessment Estimator'!$E$11:$Z$227,'Pre-Assessment Estimator'!$U$2,FALSE)&gt;AB48,AB48,VLOOKUP(E48,'Pre-Assessment Estimator'!$E$11:$Z$227,'Pre-Assessment Estimator'!$U$2,FALSE)))</f>
        <v>0</v>
      </c>
      <c r="AM48" s="242"/>
      <c r="AN48" s="150"/>
      <c r="AO48" s="255"/>
      <c r="AP48" s="244"/>
      <c r="AQ48" s="245"/>
      <c r="AS48" s="243"/>
      <c r="AT48" s="244"/>
      <c r="AU48" s="244"/>
      <c r="AV48" s="244"/>
      <c r="AW48" s="245"/>
      <c r="AY48" s="151"/>
      <c r="AZ48" s="152"/>
      <c r="BA48" s="152"/>
      <c r="BB48" s="152"/>
      <c r="BC48" s="146"/>
      <c r="BD48" s="535">
        <f t="shared" si="95"/>
        <v>9</v>
      </c>
      <c r="BE48" s="37" t="str">
        <f t="shared" si="71"/>
        <v>N/A</v>
      </c>
      <c r="BF48" s="154"/>
      <c r="BG48" s="151">
        <f t="shared" si="96"/>
        <v>9</v>
      </c>
      <c r="BH48" s="37" t="str">
        <f t="shared" si="73"/>
        <v>N/A</v>
      </c>
      <c r="BI48" s="154"/>
      <c r="BJ48" s="151">
        <f t="shared" si="97"/>
        <v>9</v>
      </c>
      <c r="BK48" s="37" t="str">
        <f t="shared" si="74"/>
        <v>N/A</v>
      </c>
      <c r="BL48" s="154"/>
      <c r="BO48" s="35"/>
      <c r="BP48" s="35"/>
      <c r="BQ48" s="35" t="str">
        <f t="shared" si="15"/>
        <v/>
      </c>
      <c r="BR48" s="35">
        <f t="shared" si="55"/>
        <v>9</v>
      </c>
      <c r="BS48" s="35">
        <f t="shared" si="56"/>
        <v>9</v>
      </c>
      <c r="BT48" s="35">
        <f t="shared" si="57"/>
        <v>9</v>
      </c>
      <c r="BW48" s="35"/>
      <c r="BX48" s="35"/>
      <c r="BY48" s="53"/>
      <c r="BZ48" s="35"/>
      <c r="CA48" s="524"/>
      <c r="CB48" s="35"/>
      <c r="CE48" s="35"/>
      <c r="CG48" s="54"/>
    </row>
    <row r="49" spans="1:85">
      <c r="A49">
        <v>41</v>
      </c>
      <c r="B49" t="str">
        <f t="shared" si="98"/>
        <v>Hea 02c</v>
      </c>
      <c r="C49" t="str">
        <f t="shared" si="19"/>
        <v>Hea 02</v>
      </c>
      <c r="D49" s="137" t="s">
        <v>731</v>
      </c>
      <c r="E49" s="971" t="s">
        <v>900</v>
      </c>
      <c r="F49" s="607">
        <v>2</v>
      </c>
      <c r="G49" s="607">
        <v>2</v>
      </c>
      <c r="H49" s="607">
        <v>2</v>
      </c>
      <c r="I49" s="607">
        <v>2</v>
      </c>
      <c r="J49" s="607">
        <v>2</v>
      </c>
      <c r="K49" s="607">
        <v>2</v>
      </c>
      <c r="L49" s="607">
        <v>2</v>
      </c>
      <c r="M49" s="607">
        <v>2</v>
      </c>
      <c r="N49" s="607">
        <v>2</v>
      </c>
      <c r="O49" s="607">
        <v>2</v>
      </c>
      <c r="P49" s="607">
        <v>2</v>
      </c>
      <c r="Q49" s="607">
        <v>2</v>
      </c>
      <c r="R49" s="607">
        <v>2</v>
      </c>
      <c r="T49" s="175">
        <f t="shared" si="66"/>
        <v>2</v>
      </c>
      <c r="U49" s="182">
        <f>IF(AND(ADBT0=ADBT1,ADIND_option03=AD_no),Poeng!T49,0)</f>
        <v>0</v>
      </c>
      <c r="V49" s="35"/>
      <c r="W49" s="35"/>
      <c r="X49" s="138"/>
      <c r="Y49" s="139">
        <f>IF($Y$4=$Y$6,1,0)</f>
        <v>0</v>
      </c>
      <c r="Z49" s="894">
        <f>VLOOKUP(B49,'Manuell filtrering og justering'!$A$7:$H$107,'Manuell filtrering og justering'!$H$1,FALSE)</f>
        <v>2</v>
      </c>
      <c r="AA49" s="139">
        <f t="shared" si="68"/>
        <v>0</v>
      </c>
      <c r="AB49" s="140">
        <f>IF($AC$5='Manuell filtrering og justering'!$J$2,Z49,(T49-AA49))</f>
        <v>2</v>
      </c>
      <c r="AD49" s="141">
        <f t="shared" si="69"/>
        <v>1.6842105263157894E-2</v>
      </c>
      <c r="AE49" s="141">
        <f t="shared" si="87"/>
        <v>0</v>
      </c>
      <c r="AF49" s="141">
        <f t="shared" si="88"/>
        <v>0</v>
      </c>
      <c r="AG49" s="141">
        <f t="shared" si="89"/>
        <v>0</v>
      </c>
      <c r="AI49" s="821">
        <f>IF(OR(AI236=AD_no,AI236=0,AI281=0),0,IF(VLOOKUP(E49,'Pre-Assessment Estimator'!$E$11:$Z$227,'Pre-Assessment Estimator'!$G$2,FALSE)&gt;AB49,AB49,VLOOKUP(E49,'Pre-Assessment Estimator'!$E$11:$Z$227,'Pre-Assessment Estimator'!$G$2,FALSE)))</f>
        <v>0</v>
      </c>
      <c r="AJ49" s="821">
        <f>IF(OR(AJ236=AD_no,AJ236=0,AJ281=0),0,IF(VLOOKUP(E49,'Pre-Assessment Estimator'!$E$11:$Z$227,'Pre-Assessment Estimator'!$N$2,FALSE)&gt;AB49,AB49,VLOOKUP(E49,'Pre-Assessment Estimator'!$E$11:$Z$227,'Pre-Assessment Estimator'!$N$2,FALSE)))</f>
        <v>0</v>
      </c>
      <c r="AK49" s="821">
        <f>IF(OR(AK236=AD_no,AK236=0,AK281=0),0,IF(VLOOKUP(E49,'Pre-Assessment Estimator'!$E$11:$Z$227,'Pre-Assessment Estimator'!$U$2,FALSE)&gt;AB49,AB49,VLOOKUP(E49,'Pre-Assessment Estimator'!$E$11:$Z$227,'Pre-Assessment Estimator'!$U$2,FALSE)))</f>
        <v>0</v>
      </c>
      <c r="AM49" s="242"/>
      <c r="AN49" s="150"/>
      <c r="AO49" s="921">
        <f>IF(AND(Y4=Y3,AB49=0),0,IF(AND($Y$4&lt;&gt;$Y$3,Y49&gt;0),0,1))</f>
        <v>1</v>
      </c>
      <c r="AP49" s="921">
        <f>IF(AND(Y4=Y3,AB49=0),0,IF(AND($Y$4&lt;&gt;$Y$3,Y49&gt;0),0,2))</f>
        <v>2</v>
      </c>
      <c r="AQ49" s="923">
        <f>IF(AND(Y4=Y3,AB49=0),0,IF(AND($Y$4&lt;&gt;$Y$3,Y49&gt;0),0,2))</f>
        <v>2</v>
      </c>
      <c r="AR49" s="112"/>
      <c r="AS49" s="778"/>
      <c r="AT49" s="776"/>
      <c r="AU49" s="776">
        <v>1</v>
      </c>
      <c r="AV49" s="776">
        <v>2</v>
      </c>
      <c r="AW49" s="777">
        <v>2</v>
      </c>
      <c r="AY49" s="151"/>
      <c r="AZ49" s="152"/>
      <c r="BA49" s="152">
        <f>IF($E$6=$H$9,AU49,AO49)</f>
        <v>1</v>
      </c>
      <c r="BB49" s="152">
        <f>IF($E$6=$H$9,AV49,AP49)</f>
        <v>2</v>
      </c>
      <c r="BC49" s="146">
        <f>IF($E$6=$H$9,AW49,AQ49)</f>
        <v>2</v>
      </c>
      <c r="BD49" s="535">
        <f t="shared" si="95"/>
        <v>2</v>
      </c>
      <c r="BE49" s="37" t="str">
        <f t="shared" si="71"/>
        <v>Good</v>
      </c>
      <c r="BF49" s="154"/>
      <c r="BG49" s="151">
        <f t="shared" si="96"/>
        <v>2</v>
      </c>
      <c r="BH49" s="37" t="str">
        <f t="shared" si="73"/>
        <v>Good</v>
      </c>
      <c r="BI49" s="154"/>
      <c r="BJ49" s="151">
        <f t="shared" si="97"/>
        <v>2</v>
      </c>
      <c r="BK49" s="37" t="str">
        <f t="shared" si="74"/>
        <v>Good</v>
      </c>
      <c r="BL49" s="154"/>
      <c r="BO49" s="35"/>
      <c r="BP49" s="35">
        <v>2</v>
      </c>
      <c r="BQ49" s="35">
        <f t="shared" si="15"/>
        <v>2</v>
      </c>
      <c r="BR49" s="915">
        <f>IF(AB49=0,9,IF(BQ49="",9,(IF(AI49&gt;=BQ49,5,0))))</f>
        <v>0</v>
      </c>
      <c r="BS49" s="915">
        <f>IF(AB49=0,9,IF(BQ49="",9,(IF(AJ49&gt;=BQ49,5,0))))</f>
        <v>0</v>
      </c>
      <c r="BT49" s="915">
        <f>IF(AB49=0,9,IF(BQ49="",9,(IF(AK49&gt;=BQ49,5,0))))</f>
        <v>0</v>
      </c>
      <c r="BW49" s="35"/>
      <c r="BX49" s="35"/>
      <c r="BY49" s="53"/>
      <c r="BZ49" s="35"/>
      <c r="CA49" s="524"/>
      <c r="CB49" s="35"/>
      <c r="CE49" s="35"/>
      <c r="CG49" s="54"/>
    </row>
    <row r="50" spans="1:85">
      <c r="A50">
        <v>42</v>
      </c>
      <c r="B50" t="str">
        <f t="shared" si="98"/>
        <v>Hea 02d</v>
      </c>
      <c r="C50" t="str">
        <f t="shared" si="19"/>
        <v>Hea 02</v>
      </c>
      <c r="D50" s="137" t="s">
        <v>732</v>
      </c>
      <c r="E50" s="857" t="s">
        <v>592</v>
      </c>
      <c r="F50" s="607">
        <v>1</v>
      </c>
      <c r="G50" s="607">
        <v>1</v>
      </c>
      <c r="H50" s="607">
        <v>1</v>
      </c>
      <c r="I50" s="607">
        <v>1</v>
      </c>
      <c r="J50" s="607">
        <v>1</v>
      </c>
      <c r="K50" s="607">
        <v>1</v>
      </c>
      <c r="L50" s="607">
        <v>1</v>
      </c>
      <c r="M50" s="607">
        <v>1</v>
      </c>
      <c r="N50" s="607">
        <v>1</v>
      </c>
      <c r="O50" s="607">
        <v>1</v>
      </c>
      <c r="P50" s="607">
        <v>1</v>
      </c>
      <c r="Q50" s="607">
        <v>1</v>
      </c>
      <c r="R50" s="607">
        <v>1</v>
      </c>
      <c r="T50" s="175">
        <f t="shared" si="66"/>
        <v>1</v>
      </c>
      <c r="U50" s="182">
        <f>IF(AND(ADBT0=ADBT1,ADIND_option03=AD_no),Poeng!T50,0)</f>
        <v>0</v>
      </c>
      <c r="V50" s="35"/>
      <c r="W50" s="35"/>
      <c r="X50" s="138"/>
      <c r="Y50" s="139">
        <f>IF(OR($Y$4=$Y$5,$Y$4=$Y$6),T50,0)</f>
        <v>0</v>
      </c>
      <c r="Z50" s="894">
        <f>VLOOKUP(B50,'Manuell filtrering og justering'!$A$7:$H$107,'Manuell filtrering og justering'!$H$1,FALSE)</f>
        <v>1</v>
      </c>
      <c r="AA50" s="139">
        <f t="shared" si="68"/>
        <v>0</v>
      </c>
      <c r="AB50" s="140">
        <f>IF($AC$5='Manuell filtrering og justering'!$J$2,Z50,(T50-AA50))</f>
        <v>1</v>
      </c>
      <c r="AD50" s="141">
        <f t="shared" si="69"/>
        <v>8.4210526315789472E-3</v>
      </c>
      <c r="AE50" s="141">
        <f t="shared" si="87"/>
        <v>0</v>
      </c>
      <c r="AF50" s="141">
        <f t="shared" si="88"/>
        <v>0</v>
      </c>
      <c r="AG50" s="141">
        <f t="shared" si="89"/>
        <v>0</v>
      </c>
      <c r="AI50" s="821">
        <f>IF(OR(AI236=AD_no,AI236=0,AI281=0),0,IF(VLOOKUP(E50,'Pre-Assessment Estimator'!$E$11:$Z$227,'Pre-Assessment Estimator'!$G$2,FALSE)&gt;AB50,AB50,VLOOKUP(E50,'Pre-Assessment Estimator'!$E$11:$Z$227,'Pre-Assessment Estimator'!$G$2,FALSE)))</f>
        <v>0</v>
      </c>
      <c r="AJ50" s="821">
        <f>IF(OR(AJ236=AD_no,AJ236=0,AJ281=0),0,IF(VLOOKUP(E50,'Pre-Assessment Estimator'!$E$11:$Z$227,'Pre-Assessment Estimator'!$N$2,FALSE)&gt;AB50,AB50,VLOOKUP(E50,'Pre-Assessment Estimator'!$E$11:$Z$227,'Pre-Assessment Estimator'!$N$2,FALSE)))</f>
        <v>0</v>
      </c>
      <c r="AK50" s="821">
        <f>IF(OR(AK236=AD_no,AK236=0,AK281=0),0,IF(VLOOKUP(E50,'Pre-Assessment Estimator'!$E$11:$Z$227,'Pre-Assessment Estimator'!$U$2,FALSE)&gt;AB50,AB50,VLOOKUP(E50,'Pre-Assessment Estimator'!$E$11:$Z$227,'Pre-Assessment Estimator'!$U$2,FALSE)))</f>
        <v>0</v>
      </c>
      <c r="AM50" s="242"/>
      <c r="AN50" s="150"/>
      <c r="AO50" s="255"/>
      <c r="AP50" s="244"/>
      <c r="AQ50" s="245"/>
      <c r="AS50" s="243"/>
      <c r="AT50" s="244"/>
      <c r="AU50" s="244"/>
      <c r="AV50" s="244"/>
      <c r="AW50" s="245"/>
      <c r="AY50" s="151"/>
      <c r="AZ50" s="152"/>
      <c r="BA50" s="152"/>
      <c r="BB50" s="152"/>
      <c r="BC50" s="146"/>
      <c r="BD50" s="535">
        <f t="shared" si="95"/>
        <v>9</v>
      </c>
      <c r="BE50" s="37" t="str">
        <f t="shared" si="71"/>
        <v>N/A</v>
      </c>
      <c r="BF50" s="154"/>
      <c r="BG50" s="151">
        <f t="shared" si="96"/>
        <v>9</v>
      </c>
      <c r="BH50" s="37" t="str">
        <f t="shared" si="73"/>
        <v>N/A</v>
      </c>
      <c r="BI50" s="154"/>
      <c r="BJ50" s="151">
        <f t="shared" si="97"/>
        <v>9</v>
      </c>
      <c r="BK50" s="37" t="str">
        <f t="shared" si="74"/>
        <v>N/A</v>
      </c>
      <c r="BL50" s="154"/>
      <c r="BO50" s="35"/>
      <c r="BP50" s="35"/>
      <c r="BQ50" s="35" t="str">
        <f t="shared" si="15"/>
        <v/>
      </c>
      <c r="BR50" s="35">
        <f t="shared" si="55"/>
        <v>9</v>
      </c>
      <c r="BS50" s="35">
        <f t="shared" si="56"/>
        <v>9</v>
      </c>
      <c r="BT50" s="35">
        <f t="shared" si="57"/>
        <v>9</v>
      </c>
      <c r="BW50" s="35"/>
      <c r="BX50" s="35"/>
      <c r="BY50" s="53"/>
      <c r="BZ50" s="35"/>
      <c r="CA50" s="524"/>
      <c r="CB50" s="35"/>
      <c r="CE50" s="35"/>
      <c r="CG50" s="54"/>
    </row>
    <row r="51" spans="1:85">
      <c r="A51">
        <v>43</v>
      </c>
      <c r="B51" s="112" t="str">
        <f>D51</f>
        <v>Hea 03</v>
      </c>
      <c r="C51" s="112" t="str">
        <f>B51</f>
        <v>Hea 03</v>
      </c>
      <c r="D51" s="663" t="s">
        <v>313</v>
      </c>
      <c r="E51" s="661" t="s">
        <v>314</v>
      </c>
      <c r="F51" s="748">
        <f t="shared" ref="F51:R51" si="99">SUM(F52:F54)</f>
        <v>3</v>
      </c>
      <c r="G51" s="748">
        <f t="shared" si="99"/>
        <v>3</v>
      </c>
      <c r="H51" s="748">
        <f t="shared" si="99"/>
        <v>3</v>
      </c>
      <c r="I51" s="748">
        <f t="shared" si="99"/>
        <v>3</v>
      </c>
      <c r="J51" s="748">
        <f t="shared" si="99"/>
        <v>3</v>
      </c>
      <c r="K51" s="748">
        <f t="shared" si="99"/>
        <v>3</v>
      </c>
      <c r="L51" s="748">
        <f t="shared" si="99"/>
        <v>3</v>
      </c>
      <c r="M51" s="748">
        <f t="shared" si="99"/>
        <v>3</v>
      </c>
      <c r="N51" s="748">
        <f t="shared" si="99"/>
        <v>3</v>
      </c>
      <c r="O51" s="748">
        <f t="shared" si="99"/>
        <v>3</v>
      </c>
      <c r="P51" s="748">
        <f t="shared" si="99"/>
        <v>3</v>
      </c>
      <c r="Q51" s="748">
        <f t="shared" ref="Q51" si="100">SUM(Q52:Q54)</f>
        <v>3</v>
      </c>
      <c r="R51" s="748">
        <f t="shared" si="99"/>
        <v>3</v>
      </c>
      <c r="T51" s="766">
        <f t="shared" si="66"/>
        <v>3</v>
      </c>
      <c r="U51" s="182">
        <f>U52+U53+U54</f>
        <v>0</v>
      </c>
      <c r="V51" s="53"/>
      <c r="W51" s="53"/>
      <c r="X51" s="849">
        <f>'Manuell filtrering og justering'!E19</f>
        <v>0</v>
      </c>
      <c r="Y51" s="768"/>
      <c r="Z51" s="911">
        <f t="shared" ref="Z51" si="101">SUM(Z52:Z54)</f>
        <v>3</v>
      </c>
      <c r="AA51" s="768">
        <f t="shared" si="68"/>
        <v>0</v>
      </c>
      <c r="AB51" s="820">
        <f>SUM(AB52:AB54)</f>
        <v>3</v>
      </c>
      <c r="AD51" s="141">
        <f t="shared" si="69"/>
        <v>2.5263157894736842E-2</v>
      </c>
      <c r="AE51" s="736">
        <f>SUM(AE52:AE54)</f>
        <v>0</v>
      </c>
      <c r="AF51" s="736">
        <f t="shared" ref="AF51:AG51" si="102">SUM(AF52:AF54)</f>
        <v>0</v>
      </c>
      <c r="AG51" s="736">
        <f t="shared" si="102"/>
        <v>0</v>
      </c>
      <c r="AI51" s="763">
        <f t="shared" ref="AI51:AK51" si="103">SUM(AI52:AI54)</f>
        <v>0</v>
      </c>
      <c r="AJ51" s="763">
        <f t="shared" si="103"/>
        <v>0</v>
      </c>
      <c r="AK51" s="763">
        <f t="shared" si="103"/>
        <v>0</v>
      </c>
      <c r="AL51" t="s">
        <v>223</v>
      </c>
      <c r="AM51" s="243"/>
      <c r="AN51" s="244"/>
      <c r="AO51" s="244"/>
      <c r="AP51" s="244"/>
      <c r="AQ51" s="245"/>
      <c r="AS51" s="243"/>
      <c r="AT51" s="244"/>
      <c r="AU51" s="244"/>
      <c r="AV51" s="244"/>
      <c r="AW51" s="245"/>
      <c r="AY51" s="137"/>
      <c r="AZ51" s="35"/>
      <c r="BA51" s="35"/>
      <c r="BB51" s="35"/>
      <c r="BC51" s="138"/>
      <c r="BD51" s="535">
        <f t="shared" si="95"/>
        <v>9</v>
      </c>
      <c r="BE51" s="37" t="str">
        <f t="shared" si="71"/>
        <v>N/A</v>
      </c>
      <c r="BF51" s="154"/>
      <c r="BG51" s="151">
        <f t="shared" si="96"/>
        <v>9</v>
      </c>
      <c r="BH51" s="37" t="str">
        <f t="shared" si="73"/>
        <v>N/A</v>
      </c>
      <c r="BI51" s="154"/>
      <c r="BJ51" s="151">
        <f t="shared" si="97"/>
        <v>9</v>
      </c>
      <c r="BK51" s="37" t="str">
        <f t="shared" si="74"/>
        <v>N/A</v>
      </c>
      <c r="BL51" s="154"/>
      <c r="BO51" s="35"/>
      <c r="BP51" s="35"/>
      <c r="BQ51" s="35" t="str">
        <f t="shared" si="15"/>
        <v/>
      </c>
      <c r="BR51" s="35">
        <f t="shared" si="55"/>
        <v>9</v>
      </c>
      <c r="BS51" s="35">
        <f t="shared" si="56"/>
        <v>9</v>
      </c>
      <c r="BT51" s="35">
        <f t="shared" si="57"/>
        <v>9</v>
      </c>
      <c r="BW51" s="35" t="str">
        <f>D51</f>
        <v>Hea 03</v>
      </c>
      <c r="BX51" s="35" t="str">
        <f>IFERROR(VLOOKUP($E51,'Pre-Assessment Estimator'!$E$11:$AB$227,'Pre-Assessment Estimator'!AB$2,FALSE),"")</f>
        <v>No</v>
      </c>
      <c r="BY51" s="53" t="str">
        <f>IFERROR(VLOOKUP($E51,'Pre-Assessment Estimator'!$E$11:$AI$227,'Pre-Assessment Estimator'!AI$2,FALSE),"")</f>
        <v>Ja</v>
      </c>
      <c r="BZ51" s="35">
        <f>IFERROR(VLOOKUP($BX51,$E$293:$H$326,F$291,FALSE),"")</f>
        <v>1</v>
      </c>
      <c r="CA51" s="529" t="s">
        <v>851</v>
      </c>
      <c r="CB51" s="35"/>
      <c r="CC51" t="str">
        <f>IFERROR(VLOOKUP($BX51,$E$293:$H$326,I$291,FALSE),"")</f>
        <v/>
      </c>
      <c r="CD51" t="s">
        <v>898</v>
      </c>
      <c r="CE51" s="35">
        <f t="shared" si="75"/>
        <v>1</v>
      </c>
      <c r="CG51" s="54">
        <f>IF($BX$5=ais_nei,CE51,IF(AND(CA51=$CA$4,BX51=$CC$4),0,BZ51))</f>
        <v>1</v>
      </c>
    </row>
    <row r="52" spans="1:85">
      <c r="A52">
        <v>44</v>
      </c>
      <c r="B52" t="str">
        <f t="shared" ref="B52:B54" si="104">$D$51&amp;D52</f>
        <v>Hea 03a</v>
      </c>
      <c r="C52" t="str">
        <f t="shared" si="19"/>
        <v>Hea 03</v>
      </c>
      <c r="D52" s="135" t="s">
        <v>729</v>
      </c>
      <c r="E52" s="857" t="s">
        <v>594</v>
      </c>
      <c r="F52" s="607">
        <v>1</v>
      </c>
      <c r="G52" s="607">
        <v>1</v>
      </c>
      <c r="H52" s="607">
        <v>1</v>
      </c>
      <c r="I52" s="607">
        <v>1</v>
      </c>
      <c r="J52" s="607">
        <v>1</v>
      </c>
      <c r="K52" s="607">
        <v>1</v>
      </c>
      <c r="L52" s="607">
        <v>1</v>
      </c>
      <c r="M52" s="607">
        <v>1</v>
      </c>
      <c r="N52" s="607">
        <v>1</v>
      </c>
      <c r="O52" s="607">
        <v>1</v>
      </c>
      <c r="P52" s="607">
        <v>1</v>
      </c>
      <c r="Q52" s="607">
        <v>1</v>
      </c>
      <c r="R52" s="607">
        <v>1</v>
      </c>
      <c r="T52" s="175">
        <f t="shared" si="66"/>
        <v>1</v>
      </c>
      <c r="U52" s="182">
        <f>IF(AND(ADBT0=ADBT1,ADIND_option03=AD_no),Poeng!T52,0)</f>
        <v>0</v>
      </c>
      <c r="V52" s="35"/>
      <c r="W52" s="35"/>
      <c r="X52" s="138"/>
      <c r="Y52" s="139">
        <f>IF($Y$4=$Y$6,T52,0)</f>
        <v>0</v>
      </c>
      <c r="Z52" s="894">
        <f>VLOOKUP(B52,'Manuell filtrering og justering'!$A$7:$H$107,'Manuell filtrering og justering'!$H$1,FALSE)</f>
        <v>1</v>
      </c>
      <c r="AA52" s="139">
        <f t="shared" si="68"/>
        <v>0</v>
      </c>
      <c r="AB52" s="140">
        <f>IF($AC$5='Manuell filtrering og justering'!$J$2,Z52,(T52-AA52))</f>
        <v>1</v>
      </c>
      <c r="AD52" s="141">
        <f t="shared" si="69"/>
        <v>8.4210526315789472E-3</v>
      </c>
      <c r="AE52" s="141">
        <f t="shared" si="87"/>
        <v>0</v>
      </c>
      <c r="AF52" s="141">
        <f t="shared" si="88"/>
        <v>0</v>
      </c>
      <c r="AG52" s="141">
        <f t="shared" si="89"/>
        <v>0</v>
      </c>
      <c r="AI52" s="142">
        <f>IF(VLOOKUP(E52,'Pre-Assessment Estimator'!$E$11:$Z$227,'Pre-Assessment Estimator'!$G$2,FALSE)&gt;AB52,AB52,VLOOKUP(E52,'Pre-Assessment Estimator'!$E$11:$Z$227,'Pre-Assessment Estimator'!$G$2,FALSE))</f>
        <v>0</v>
      </c>
      <c r="AJ52" s="142">
        <f>IF(VLOOKUP(E52,'Pre-Assessment Estimator'!$E$11:$Z$227,'Pre-Assessment Estimator'!$N$2,FALSE)&gt;AB52,AB52,VLOOKUP(E52,'Pre-Assessment Estimator'!$E$11:$Z$227,'Pre-Assessment Estimator'!$N$2,FALSE))</f>
        <v>0</v>
      </c>
      <c r="AK52" s="142">
        <f>IF(VLOOKUP(E52,'Pre-Assessment Estimator'!$E$11:$Z$227,'Pre-Assessment Estimator'!$U$2,FALSE)&gt;AB52,AB52,VLOOKUP(E52,'Pre-Assessment Estimator'!$E$11:$Z$227,'Pre-Assessment Estimator'!$U$2,FALSE))</f>
        <v>0</v>
      </c>
      <c r="AM52" s="243"/>
      <c r="AN52" s="244"/>
      <c r="AO52" s="244"/>
      <c r="AP52" s="244"/>
      <c r="AQ52" s="245"/>
      <c r="AS52" s="243"/>
      <c r="AT52" s="244"/>
      <c r="AU52" s="244"/>
      <c r="AV52" s="244"/>
      <c r="AW52" s="245"/>
      <c r="AY52" s="137"/>
      <c r="AZ52" s="35"/>
      <c r="BA52" s="35"/>
      <c r="BB52" s="35"/>
      <c r="BC52" s="138"/>
      <c r="BD52" s="535">
        <f t="shared" si="95"/>
        <v>9</v>
      </c>
      <c r="BE52" s="37" t="str">
        <f t="shared" si="71"/>
        <v>N/A</v>
      </c>
      <c r="BF52" s="154"/>
      <c r="BG52" s="151">
        <f t="shared" si="96"/>
        <v>9</v>
      </c>
      <c r="BH52" s="37" t="str">
        <f t="shared" si="73"/>
        <v>N/A</v>
      </c>
      <c r="BI52" s="154"/>
      <c r="BJ52" s="151">
        <f t="shared" si="97"/>
        <v>9</v>
      </c>
      <c r="BK52" s="37" t="str">
        <f t="shared" si="74"/>
        <v>N/A</v>
      </c>
      <c r="BL52" s="154"/>
      <c r="BO52" s="35"/>
      <c r="BP52" s="35"/>
      <c r="BQ52" s="35" t="str">
        <f t="shared" si="15"/>
        <v/>
      </c>
      <c r="BR52" s="35">
        <f t="shared" si="55"/>
        <v>9</v>
      </c>
      <c r="BS52" s="35">
        <f t="shared" si="56"/>
        <v>9</v>
      </c>
      <c r="BT52" s="35">
        <f t="shared" si="57"/>
        <v>9</v>
      </c>
      <c r="BW52" s="35"/>
      <c r="BX52" s="35"/>
      <c r="BY52" s="53"/>
      <c r="BZ52" s="35"/>
      <c r="CA52" s="529"/>
      <c r="CB52" s="35"/>
      <c r="CE52" s="35"/>
      <c r="CG52" s="54"/>
    </row>
    <row r="53" spans="1:85">
      <c r="A53">
        <v>45</v>
      </c>
      <c r="B53" t="str">
        <f t="shared" si="104"/>
        <v>Hea 03b</v>
      </c>
      <c r="C53" t="str">
        <f t="shared" si="19"/>
        <v>Hea 03</v>
      </c>
      <c r="D53" s="135" t="s">
        <v>730</v>
      </c>
      <c r="E53" s="857" t="s">
        <v>595</v>
      </c>
      <c r="F53" s="607">
        <v>1</v>
      </c>
      <c r="G53" s="607">
        <v>1</v>
      </c>
      <c r="H53" s="607">
        <v>1</v>
      </c>
      <c r="I53" s="607">
        <v>1</v>
      </c>
      <c r="J53" s="607">
        <v>1</v>
      </c>
      <c r="K53" s="607">
        <v>1</v>
      </c>
      <c r="L53" s="607">
        <v>1</v>
      </c>
      <c r="M53" s="607">
        <v>1</v>
      </c>
      <c r="N53" s="607">
        <v>1</v>
      </c>
      <c r="O53" s="607">
        <v>1</v>
      </c>
      <c r="P53" s="607">
        <v>1</v>
      </c>
      <c r="Q53" s="607">
        <v>1</v>
      </c>
      <c r="R53" s="607">
        <v>1</v>
      </c>
      <c r="T53" s="175">
        <f t="shared" si="66"/>
        <v>1</v>
      </c>
      <c r="U53" s="182">
        <f>IF(AND(ADBT0=ADBT1,ADIND_option03=AD_no),Poeng!T53,0)</f>
        <v>0</v>
      </c>
      <c r="V53" s="35"/>
      <c r="W53" s="35"/>
      <c r="X53" s="138"/>
      <c r="Y53" s="139">
        <f>IF($Y$4=$Y$6,T53,0)</f>
        <v>0</v>
      </c>
      <c r="Z53" s="894">
        <f>VLOOKUP(B53,'Manuell filtrering og justering'!$A$7:$H$107,'Manuell filtrering og justering'!$H$1,FALSE)</f>
        <v>1</v>
      </c>
      <c r="AA53" s="139">
        <f t="shared" si="68"/>
        <v>0</v>
      </c>
      <c r="AB53" s="140">
        <f>IF($AC$5='Manuell filtrering og justering'!$J$2,Z53,(T53-AA53))</f>
        <v>1</v>
      </c>
      <c r="AD53" s="141">
        <f t="shared" si="69"/>
        <v>8.4210526315789472E-3</v>
      </c>
      <c r="AE53" s="141">
        <f t="shared" si="87"/>
        <v>0</v>
      </c>
      <c r="AF53" s="141">
        <f t="shared" si="88"/>
        <v>0</v>
      </c>
      <c r="AG53" s="141">
        <f t="shared" si="89"/>
        <v>0</v>
      </c>
      <c r="AI53" s="142">
        <f>IF(VLOOKUP(E53,'Pre-Assessment Estimator'!$E$11:$Z$227,'Pre-Assessment Estimator'!$G$2,FALSE)&gt;AB53,AB53,VLOOKUP(E53,'Pre-Assessment Estimator'!$E$11:$Z$227,'Pre-Assessment Estimator'!$G$2,FALSE))</f>
        <v>0</v>
      </c>
      <c r="AJ53" s="142">
        <f>IF(VLOOKUP(E53,'Pre-Assessment Estimator'!$E$11:$Z$227,'Pre-Assessment Estimator'!$N$2,FALSE)&gt;AB53,AB53,VLOOKUP(E53,'Pre-Assessment Estimator'!$E$11:$Z$227,'Pre-Assessment Estimator'!$N$2,FALSE))</f>
        <v>0</v>
      </c>
      <c r="AK53" s="142">
        <f>IF(VLOOKUP(E53,'Pre-Assessment Estimator'!$E$11:$Z$227,'Pre-Assessment Estimator'!$U$2,FALSE)&gt;AB53,AB53,VLOOKUP(E53,'Pre-Assessment Estimator'!$E$11:$Z$227,'Pre-Assessment Estimator'!$U$2,FALSE))</f>
        <v>0</v>
      </c>
      <c r="AM53" s="243"/>
      <c r="AN53" s="244"/>
      <c r="AO53" s="244"/>
      <c r="AP53" s="244"/>
      <c r="AQ53" s="245"/>
      <c r="AS53" s="243"/>
      <c r="AT53" s="244"/>
      <c r="AU53" s="244"/>
      <c r="AV53" s="244"/>
      <c r="AW53" s="245"/>
      <c r="AY53" s="137"/>
      <c r="AZ53" s="35"/>
      <c r="BA53" s="35"/>
      <c r="BB53" s="35"/>
      <c r="BC53" s="138"/>
      <c r="BD53" s="535">
        <f t="shared" si="95"/>
        <v>9</v>
      </c>
      <c r="BE53" s="37" t="str">
        <f t="shared" si="71"/>
        <v>N/A</v>
      </c>
      <c r="BF53" s="154"/>
      <c r="BG53" s="151">
        <f t="shared" si="96"/>
        <v>9</v>
      </c>
      <c r="BH53" s="37" t="str">
        <f t="shared" si="73"/>
        <v>N/A</v>
      </c>
      <c r="BI53" s="154"/>
      <c r="BJ53" s="151">
        <f t="shared" si="97"/>
        <v>9</v>
      </c>
      <c r="BK53" s="37" t="str">
        <f t="shared" si="74"/>
        <v>N/A</v>
      </c>
      <c r="BL53" s="154"/>
      <c r="BO53" s="35"/>
      <c r="BP53" s="35"/>
      <c r="BQ53" s="35" t="str">
        <f t="shared" si="15"/>
        <v/>
      </c>
      <c r="BR53" s="35">
        <f t="shared" si="55"/>
        <v>9</v>
      </c>
      <c r="BS53" s="35">
        <f t="shared" si="56"/>
        <v>9</v>
      </c>
      <c r="BT53" s="35">
        <f t="shared" si="57"/>
        <v>9</v>
      </c>
      <c r="BW53" s="35"/>
      <c r="BX53" s="35"/>
      <c r="BY53" s="53"/>
      <c r="BZ53" s="35"/>
      <c r="CA53" s="529"/>
      <c r="CB53" s="35"/>
      <c r="CE53" s="35"/>
      <c r="CG53" s="54"/>
    </row>
    <row r="54" spans="1:85">
      <c r="A54">
        <v>46</v>
      </c>
      <c r="B54" t="str">
        <f t="shared" si="104"/>
        <v>Hea 03c</v>
      </c>
      <c r="C54" t="str">
        <f t="shared" si="19"/>
        <v>Hea 03</v>
      </c>
      <c r="D54" s="137" t="s">
        <v>731</v>
      </c>
      <c r="E54" s="857" t="s">
        <v>754</v>
      </c>
      <c r="F54" s="607">
        <v>1</v>
      </c>
      <c r="G54" s="607">
        <v>1</v>
      </c>
      <c r="H54" s="607">
        <v>1</v>
      </c>
      <c r="I54" s="607">
        <v>1</v>
      </c>
      <c r="J54" s="607">
        <v>1</v>
      </c>
      <c r="K54" s="607">
        <v>1</v>
      </c>
      <c r="L54" s="607">
        <v>1</v>
      </c>
      <c r="M54" s="607">
        <v>1</v>
      </c>
      <c r="N54" s="607">
        <v>1</v>
      </c>
      <c r="O54" s="607">
        <v>1</v>
      </c>
      <c r="P54" s="607">
        <v>1</v>
      </c>
      <c r="Q54" s="607">
        <v>1</v>
      </c>
      <c r="R54" s="607">
        <v>1</v>
      </c>
      <c r="T54" s="175">
        <f t="shared" si="66"/>
        <v>1</v>
      </c>
      <c r="U54" s="182">
        <f>IF(AND(ADBT0=ADBT1,ADIND_option03=AD_no),Poeng!T54,0)</f>
        <v>0</v>
      </c>
      <c r="V54" s="35"/>
      <c r="W54" s="35"/>
      <c r="X54" s="138"/>
      <c r="Y54" s="139">
        <f>IF(OR($Y$4=$Y$5,$Y$4=$Y$6),T54,0)</f>
        <v>0</v>
      </c>
      <c r="Z54" s="894">
        <f>VLOOKUP(B54,'Manuell filtrering og justering'!$A$7:$H$107,'Manuell filtrering og justering'!$H$1,FALSE)</f>
        <v>1</v>
      </c>
      <c r="AA54" s="139">
        <f t="shared" si="68"/>
        <v>0</v>
      </c>
      <c r="AB54" s="140">
        <f>IF($AC$5='Manuell filtrering og justering'!$J$2,Z54,(T54-AA54))</f>
        <v>1</v>
      </c>
      <c r="AD54" s="141">
        <f t="shared" si="69"/>
        <v>8.4210526315789472E-3</v>
      </c>
      <c r="AE54" s="141">
        <f t="shared" si="87"/>
        <v>0</v>
      </c>
      <c r="AF54" s="141">
        <f t="shared" si="88"/>
        <v>0</v>
      </c>
      <c r="AG54" s="141">
        <f t="shared" si="89"/>
        <v>0</v>
      </c>
      <c r="AI54" s="142">
        <f>IF(VLOOKUP(E54,'Pre-Assessment Estimator'!$E$11:$Z$227,'Pre-Assessment Estimator'!$G$2,FALSE)&gt;AB54,AB54,VLOOKUP(E54,'Pre-Assessment Estimator'!$E$11:$Z$227,'Pre-Assessment Estimator'!$G$2,FALSE))</f>
        <v>0</v>
      </c>
      <c r="AJ54" s="142">
        <f>IF(VLOOKUP(E54,'Pre-Assessment Estimator'!$E$11:$Z$227,'Pre-Assessment Estimator'!$N$2,FALSE)&gt;AB54,AB54,VLOOKUP(E54,'Pre-Assessment Estimator'!$E$11:$Z$227,'Pre-Assessment Estimator'!$N$2,FALSE))</f>
        <v>0</v>
      </c>
      <c r="AK54" s="142">
        <f>IF(VLOOKUP(E54,'Pre-Assessment Estimator'!$E$11:$Z$227,'Pre-Assessment Estimator'!$U$2,FALSE)&gt;AB54,AB54,VLOOKUP(E54,'Pre-Assessment Estimator'!$E$11:$Z$227,'Pre-Assessment Estimator'!$U$2,FALSE))</f>
        <v>0</v>
      </c>
      <c r="AM54" s="243"/>
      <c r="AN54" s="244"/>
      <c r="AO54" s="244"/>
      <c r="AP54" s="244"/>
      <c r="AQ54" s="245"/>
      <c r="AS54" s="243"/>
      <c r="AT54" s="244"/>
      <c r="AU54" s="244"/>
      <c r="AV54" s="244"/>
      <c r="AW54" s="245"/>
      <c r="AY54" s="137"/>
      <c r="AZ54" s="35"/>
      <c r="BA54" s="35"/>
      <c r="BB54" s="35"/>
      <c r="BC54" s="138"/>
      <c r="BD54" s="535">
        <f t="shared" si="95"/>
        <v>9</v>
      </c>
      <c r="BE54" s="37" t="str">
        <f t="shared" si="71"/>
        <v>N/A</v>
      </c>
      <c r="BF54" s="154"/>
      <c r="BG54" s="151">
        <f t="shared" si="96"/>
        <v>9</v>
      </c>
      <c r="BH54" s="37" t="str">
        <f t="shared" si="73"/>
        <v>N/A</v>
      </c>
      <c r="BI54" s="154"/>
      <c r="BJ54" s="151">
        <f t="shared" si="97"/>
        <v>9</v>
      </c>
      <c r="BK54" s="37" t="str">
        <f t="shared" si="74"/>
        <v>N/A</v>
      </c>
      <c r="BL54" s="154"/>
      <c r="BO54" s="35"/>
      <c r="BP54" s="35"/>
      <c r="BQ54" s="35" t="str">
        <f t="shared" si="15"/>
        <v/>
      </c>
      <c r="BR54" s="35">
        <f t="shared" si="55"/>
        <v>9</v>
      </c>
      <c r="BS54" s="35">
        <f t="shared" si="56"/>
        <v>9</v>
      </c>
      <c r="BT54" s="35">
        <f t="shared" si="57"/>
        <v>9</v>
      </c>
      <c r="BW54" s="35"/>
      <c r="BX54" s="35"/>
      <c r="BY54" s="53"/>
      <c r="BZ54" s="35"/>
      <c r="CA54" s="529"/>
      <c r="CB54" s="35"/>
      <c r="CE54" s="35"/>
      <c r="CG54" s="54"/>
    </row>
    <row r="55" spans="1:85">
      <c r="A55">
        <v>47</v>
      </c>
      <c r="D55" s="548" t="s">
        <v>738</v>
      </c>
      <c r="E55" s="549"/>
      <c r="F55" s="750"/>
      <c r="G55" s="750"/>
      <c r="H55" s="750"/>
      <c r="I55" s="750"/>
      <c r="J55" s="750"/>
      <c r="K55" s="750"/>
      <c r="L55" s="750"/>
      <c r="M55" s="750"/>
      <c r="N55" s="750"/>
      <c r="O55" s="750"/>
      <c r="P55" s="750"/>
      <c r="Q55" s="750"/>
      <c r="R55" s="750"/>
      <c r="T55" s="767"/>
      <c r="U55" s="548"/>
      <c r="V55" s="547"/>
      <c r="W55" s="547"/>
      <c r="X55" s="760"/>
      <c r="Y55" s="761"/>
      <c r="Z55" s="894"/>
      <c r="AA55" s="761"/>
      <c r="AB55" s="762"/>
      <c r="AD55" s="141">
        <f t="shared" si="69"/>
        <v>0</v>
      </c>
      <c r="AE55" s="765"/>
      <c r="AF55" s="765"/>
      <c r="AG55" s="765"/>
      <c r="AI55" s="562"/>
      <c r="AJ55" s="562"/>
      <c r="AK55" s="562"/>
      <c r="AL55" t="s">
        <v>223</v>
      </c>
      <c r="AM55" s="243"/>
      <c r="AN55" s="244"/>
      <c r="AO55" s="244"/>
      <c r="AP55" s="244"/>
      <c r="AQ55" s="245"/>
      <c r="AS55" s="243"/>
      <c r="AT55" s="244"/>
      <c r="AU55" s="244"/>
      <c r="AV55" s="244"/>
      <c r="AW55" s="245"/>
      <c r="AY55" s="137"/>
      <c r="AZ55" s="35"/>
      <c r="BA55" s="35"/>
      <c r="BB55" s="35"/>
      <c r="BC55" s="138"/>
      <c r="BD55" s="535">
        <f t="shared" si="95"/>
        <v>9</v>
      </c>
      <c r="BE55" s="37" t="str">
        <f t="shared" si="71"/>
        <v>N/A</v>
      </c>
      <c r="BF55" s="154"/>
      <c r="BG55" s="151">
        <f t="shared" si="96"/>
        <v>9</v>
      </c>
      <c r="BH55" s="37" t="str">
        <f t="shared" si="73"/>
        <v>N/A</v>
      </c>
      <c r="BI55" s="154"/>
      <c r="BJ55" s="151">
        <f t="shared" si="97"/>
        <v>9</v>
      </c>
      <c r="BK55" s="37" t="str">
        <f t="shared" si="74"/>
        <v>N/A</v>
      </c>
      <c r="BL55" s="154"/>
      <c r="BO55" s="35"/>
      <c r="BP55" s="35"/>
      <c r="BQ55" s="35" t="str">
        <f t="shared" si="15"/>
        <v/>
      </c>
      <c r="BR55" s="35">
        <f t="shared" si="55"/>
        <v>9</v>
      </c>
      <c r="BS55" s="35">
        <f t="shared" si="56"/>
        <v>9</v>
      </c>
      <c r="BT55" s="35">
        <f t="shared" si="57"/>
        <v>9</v>
      </c>
      <c r="BW55" s="35" t="str">
        <f>D55</f>
        <v>Hea 04</v>
      </c>
      <c r="BX55" s="35" t="str">
        <f>IFERROR(VLOOKUP($E55,'Pre-Assessment Estimator'!$E$11:$AB$227,'Pre-Assessment Estimator'!AB$2,FALSE),"")</f>
        <v/>
      </c>
      <c r="BY55" s="53" t="str">
        <f>IFERROR(VLOOKUP($E55,'Pre-Assessment Estimator'!$E$11:$AI$227,'Pre-Assessment Estimator'!AI$2,FALSE),"")</f>
        <v/>
      </c>
      <c r="BZ55" s="35" t="str">
        <f>IFERROR(VLOOKUP($BX55,$E$293:$H$326,F$291,FALSE),"")</f>
        <v/>
      </c>
      <c r="CA55" s="529" t="s">
        <v>851</v>
      </c>
      <c r="CB55" s="35"/>
      <c r="CC55" t="str">
        <f>IFERROR(VLOOKUP($BX55,$E$293:$H$326,I$291,FALSE),"")</f>
        <v/>
      </c>
      <c r="CD55" t="s">
        <v>898</v>
      </c>
      <c r="CE55" s="35">
        <f t="shared" si="75"/>
        <v>1</v>
      </c>
      <c r="CG55" s="54">
        <f>IF($BX$5=ais_nei,CE55,IF(AND(CA55=$CA$4,BX55=$CC$4),0,BZ55))</f>
        <v>1</v>
      </c>
    </row>
    <row r="56" spans="1:85">
      <c r="A56">
        <v>48</v>
      </c>
      <c r="B56" s="112" t="str">
        <f>D56</f>
        <v>Hea 05</v>
      </c>
      <c r="C56" s="112" t="str">
        <f>B56</f>
        <v>Hea 05</v>
      </c>
      <c r="D56" s="663" t="s">
        <v>319</v>
      </c>
      <c r="E56" s="661" t="s">
        <v>320</v>
      </c>
      <c r="F56" s="748">
        <f t="shared" ref="F56:R56" si="105">SUM(F57:F58)</f>
        <v>3</v>
      </c>
      <c r="G56" s="748">
        <f t="shared" si="105"/>
        <v>3</v>
      </c>
      <c r="H56" s="748">
        <f t="shared" si="105"/>
        <v>4</v>
      </c>
      <c r="I56" s="748">
        <f t="shared" si="105"/>
        <v>3</v>
      </c>
      <c r="J56" s="748">
        <f t="shared" si="105"/>
        <v>3</v>
      </c>
      <c r="K56" s="748">
        <f t="shared" si="105"/>
        <v>3</v>
      </c>
      <c r="L56" s="748">
        <f t="shared" si="105"/>
        <v>3</v>
      </c>
      <c r="M56" s="748">
        <f t="shared" si="105"/>
        <v>4</v>
      </c>
      <c r="N56" s="748">
        <f t="shared" si="105"/>
        <v>4</v>
      </c>
      <c r="O56" s="748">
        <f t="shared" si="105"/>
        <v>3</v>
      </c>
      <c r="P56" s="748">
        <f t="shared" si="105"/>
        <v>3</v>
      </c>
      <c r="Q56" s="748">
        <f t="shared" ref="Q56" si="106">SUM(Q57:Q58)</f>
        <v>3</v>
      </c>
      <c r="R56" s="748">
        <f t="shared" si="105"/>
        <v>3</v>
      </c>
      <c r="S56" s="518" t="s">
        <v>901</v>
      </c>
      <c r="T56" s="766">
        <f t="shared" ref="T56:T61" si="107">HLOOKUP($E$6,$F$9:$R$231,$A56,FALSE)</f>
        <v>3</v>
      </c>
      <c r="U56" s="182"/>
      <c r="V56" s="53"/>
      <c r="W56" s="53"/>
      <c r="X56" s="849">
        <f>'Manuell filtrering og justering'!E21</f>
        <v>0</v>
      </c>
      <c r="Y56" s="768"/>
      <c r="Z56" s="911">
        <f t="shared" ref="Z56" si="108">SUM(Z57:Z58)</f>
        <v>3</v>
      </c>
      <c r="AA56" s="768">
        <f t="shared" ref="AA56:AA61" si="109">IF(SUM(U56:Y56)&gt;T56,T56,SUM(U56:Y56))</f>
        <v>0</v>
      </c>
      <c r="AB56" s="820">
        <f t="shared" ref="AB56" si="110">SUM(AB57:AB58)</f>
        <v>3</v>
      </c>
      <c r="AD56" s="141">
        <f t="shared" si="69"/>
        <v>2.5263157894736842E-2</v>
      </c>
      <c r="AE56" s="736">
        <f>SUM(AE57:AE58)</f>
        <v>0</v>
      </c>
      <c r="AF56" s="736">
        <f t="shared" ref="AF56:AG56" si="111">SUM(AF57:AF58)</f>
        <v>0</v>
      </c>
      <c r="AG56" s="736">
        <f t="shared" si="111"/>
        <v>0</v>
      </c>
      <c r="AI56" s="763">
        <f t="shared" ref="AI56:AK56" si="112">SUM(AI57:AI58)</f>
        <v>0</v>
      </c>
      <c r="AJ56" s="763">
        <f t="shared" si="112"/>
        <v>0</v>
      </c>
      <c r="AK56" s="763">
        <f t="shared" si="112"/>
        <v>0</v>
      </c>
      <c r="AM56" s="243"/>
      <c r="AN56" s="244"/>
      <c r="AO56" s="244"/>
      <c r="AP56" s="244"/>
      <c r="AQ56" s="245"/>
      <c r="AS56" s="243"/>
      <c r="AT56" s="244"/>
      <c r="AU56" s="244"/>
      <c r="AV56" s="244"/>
      <c r="AW56" s="245"/>
      <c r="AY56" s="137"/>
      <c r="AZ56" s="35"/>
      <c r="BA56" s="35"/>
      <c r="BB56" s="35"/>
      <c r="BC56" s="138"/>
      <c r="BD56" s="535">
        <f t="shared" si="95"/>
        <v>9</v>
      </c>
      <c r="BE56" s="37" t="str">
        <f t="shared" si="71"/>
        <v>N/A</v>
      </c>
      <c r="BF56" s="154"/>
      <c r="BG56" s="151">
        <f t="shared" si="96"/>
        <v>9</v>
      </c>
      <c r="BH56" s="37" t="str">
        <f t="shared" si="73"/>
        <v>N/A</v>
      </c>
      <c r="BI56" s="154"/>
      <c r="BJ56" s="151">
        <f t="shared" si="97"/>
        <v>9</v>
      </c>
      <c r="BK56" s="37" t="str">
        <f t="shared" si="74"/>
        <v>N/A</v>
      </c>
      <c r="BL56" s="154"/>
      <c r="BO56" s="35"/>
      <c r="BP56" s="35"/>
      <c r="BQ56" s="35" t="str">
        <f t="shared" si="15"/>
        <v/>
      </c>
      <c r="BR56" s="35">
        <f t="shared" si="55"/>
        <v>9</v>
      </c>
      <c r="BS56" s="35">
        <f t="shared" si="56"/>
        <v>9</v>
      </c>
      <c r="BT56" s="35">
        <f t="shared" si="57"/>
        <v>9</v>
      </c>
      <c r="BW56" s="35" t="str">
        <f>D56</f>
        <v>Hea 05</v>
      </c>
      <c r="BX56" s="35" t="str">
        <f>IFERROR(VLOOKUP($E56,'Pre-Assessment Estimator'!$E$11:$AB$227,'Pre-Assessment Estimator'!AB$2,FALSE),"")</f>
        <v>No</v>
      </c>
      <c r="BY56" s="35">
        <f>IFERROR(VLOOKUP($E56,'Pre-Assessment Estimator'!$E$11:$AI$227,'Pre-Assessment Estimator'!AI$2,FALSE),"")</f>
        <v>0</v>
      </c>
      <c r="BZ56" s="35">
        <f>IFERROR(VLOOKUP($BX56,$E$293:$H$326,F$291,FALSE),"")</f>
        <v>1</v>
      </c>
      <c r="CA56" s="35">
        <f>IFERROR(VLOOKUP($BX56,$E$293:$H$326,G$291,FALSE),"")</f>
        <v>0</v>
      </c>
      <c r="CB56" s="35"/>
      <c r="CC56" t="str">
        <f>IFERROR(VLOOKUP($BX56,$E$293:$H$326,I$291,FALSE),"")</f>
        <v/>
      </c>
    </row>
    <row r="57" spans="1:85">
      <c r="A57">
        <v>49</v>
      </c>
      <c r="C57" t="str">
        <f t="shared" si="19"/>
        <v>Hea 05</v>
      </c>
      <c r="D57" s="135" t="s">
        <v>729</v>
      </c>
      <c r="E57" s="754" t="s">
        <v>755</v>
      </c>
      <c r="F57" s="605"/>
      <c r="G57" s="605"/>
      <c r="H57" s="605"/>
      <c r="I57" s="605"/>
      <c r="J57" s="605"/>
      <c r="K57" s="605"/>
      <c r="L57" s="605"/>
      <c r="M57" s="605"/>
      <c r="N57" s="605"/>
      <c r="O57" s="605"/>
      <c r="P57" s="605"/>
      <c r="Q57" s="605"/>
      <c r="R57" s="605"/>
      <c r="S57" s="518"/>
      <c r="T57" s="175">
        <f t="shared" si="107"/>
        <v>0</v>
      </c>
      <c r="U57" s="137"/>
      <c r="V57" s="35"/>
      <c r="W57" s="35"/>
      <c r="X57" s="138"/>
      <c r="Y57" s="139"/>
      <c r="Z57" s="894"/>
      <c r="AA57" s="139">
        <f t="shared" si="109"/>
        <v>0</v>
      </c>
      <c r="AB57" s="140">
        <f>IF($AC$5='Manuell filtrering og justering'!$J$2,Z57,(T57-AA57))</f>
        <v>0</v>
      </c>
      <c r="AD57" s="141">
        <f t="shared" si="69"/>
        <v>0</v>
      </c>
      <c r="AE57" s="141">
        <f t="shared" si="87"/>
        <v>0</v>
      </c>
      <c r="AF57" s="141">
        <f t="shared" si="88"/>
        <v>0</v>
      </c>
      <c r="AG57" s="141">
        <f t="shared" si="89"/>
        <v>0</v>
      </c>
      <c r="AI57" s="142">
        <f>IF(VLOOKUP(E57,'Pre-Assessment Estimator'!$E$11:$Z$227,'Pre-Assessment Estimator'!$G$2,FALSE)&gt;AB57,AB57,VLOOKUP(E57,'Pre-Assessment Estimator'!$E$11:$Z$227,'Pre-Assessment Estimator'!$G$2,FALSE))</f>
        <v>0</v>
      </c>
      <c r="AJ57" s="142">
        <f>IF(VLOOKUP(E57,'Pre-Assessment Estimator'!$E$11:$Z$227,'Pre-Assessment Estimator'!$N$2,FALSE)&gt;AB57,AB57,VLOOKUP(E57,'Pre-Assessment Estimator'!$E$11:$Z$227,'Pre-Assessment Estimator'!$N$2,FALSE))</f>
        <v>0</v>
      </c>
      <c r="AK57" s="142">
        <f>IF(VLOOKUP(E57,'Pre-Assessment Estimator'!$E$11:$Z$227,'Pre-Assessment Estimator'!$U$2,FALSE)&gt;AB57,AB57,VLOOKUP(E57,'Pre-Assessment Estimator'!$E$11:$Z$227,'Pre-Assessment Estimator'!$U$2,FALSE))</f>
        <v>0</v>
      </c>
      <c r="AM57" s="243"/>
      <c r="AN57" s="244"/>
      <c r="AO57" s="244"/>
      <c r="AP57" s="244"/>
      <c r="AQ57" s="245"/>
      <c r="AS57" s="243"/>
      <c r="AT57" s="244"/>
      <c r="AU57" s="244"/>
      <c r="AV57" s="244"/>
      <c r="AW57" s="245"/>
      <c r="AY57" s="137"/>
      <c r="AZ57" s="35"/>
      <c r="BA57" s="35"/>
      <c r="BB57" s="35"/>
      <c r="BC57" s="138"/>
      <c r="BD57" s="535">
        <f t="shared" si="95"/>
        <v>9</v>
      </c>
      <c r="BE57" s="37" t="str">
        <f t="shared" si="71"/>
        <v>N/A</v>
      </c>
      <c r="BF57" s="154"/>
      <c r="BG57" s="151">
        <f t="shared" si="96"/>
        <v>9</v>
      </c>
      <c r="BH57" s="37" t="str">
        <f t="shared" si="73"/>
        <v>N/A</v>
      </c>
      <c r="BI57" s="154"/>
      <c r="BJ57" s="151">
        <f t="shared" si="97"/>
        <v>9</v>
      </c>
      <c r="BK57" s="37" t="str">
        <f t="shared" si="74"/>
        <v>N/A</v>
      </c>
      <c r="BL57" s="154"/>
      <c r="BO57" s="35"/>
      <c r="BP57" s="35"/>
      <c r="BQ57" s="35" t="str">
        <f t="shared" si="15"/>
        <v/>
      </c>
      <c r="BR57" s="35">
        <f t="shared" si="55"/>
        <v>9</v>
      </c>
      <c r="BS57" s="35">
        <f t="shared" si="56"/>
        <v>9</v>
      </c>
      <c r="BT57" s="35">
        <f t="shared" si="57"/>
        <v>9</v>
      </c>
      <c r="BW57" s="35"/>
      <c r="BX57" s="35"/>
      <c r="BY57" s="35"/>
      <c r="BZ57" s="35"/>
      <c r="CA57" s="35"/>
      <c r="CB57" s="35"/>
    </row>
    <row r="58" spans="1:85">
      <c r="A58">
        <v>50</v>
      </c>
      <c r="B58" t="str">
        <f t="shared" ref="B58" si="113">$D$56&amp;D58</f>
        <v>Hea 05b</v>
      </c>
      <c r="C58" t="str">
        <f t="shared" si="19"/>
        <v>Hea 05</v>
      </c>
      <c r="D58" s="135" t="s">
        <v>730</v>
      </c>
      <c r="E58" s="857" t="s">
        <v>597</v>
      </c>
      <c r="F58" s="607">
        <v>3</v>
      </c>
      <c r="G58" s="607">
        <v>3</v>
      </c>
      <c r="H58" s="801">
        <v>4</v>
      </c>
      <c r="I58" s="607">
        <v>3</v>
      </c>
      <c r="J58" s="607">
        <v>3</v>
      </c>
      <c r="K58" s="607">
        <v>3</v>
      </c>
      <c r="L58" s="607">
        <v>3</v>
      </c>
      <c r="M58" s="801">
        <v>4</v>
      </c>
      <c r="N58" s="801">
        <v>4</v>
      </c>
      <c r="O58" s="607">
        <v>3</v>
      </c>
      <c r="P58" s="607">
        <v>3</v>
      </c>
      <c r="Q58" s="607">
        <v>3</v>
      </c>
      <c r="R58" s="607">
        <v>3</v>
      </c>
      <c r="S58" s="518"/>
      <c r="T58" s="175">
        <f t="shared" si="107"/>
        <v>3</v>
      </c>
      <c r="U58" s="137"/>
      <c r="V58" s="35"/>
      <c r="W58" s="35"/>
      <c r="X58" s="138"/>
      <c r="Y58" s="139">
        <f>IF($Y$4=$Y$6,T58,0)</f>
        <v>0</v>
      </c>
      <c r="Z58" s="894">
        <f>VLOOKUP(B58,'Manuell filtrering og justering'!$A$7:$H$107,'Manuell filtrering og justering'!$H$1,FALSE)</f>
        <v>3</v>
      </c>
      <c r="AA58" s="139">
        <f t="shared" si="109"/>
        <v>0</v>
      </c>
      <c r="AB58" s="140">
        <f>IF($AC$5='Manuell filtrering og justering'!$J$2,Z58,(T58-AA58))</f>
        <v>3</v>
      </c>
      <c r="AD58" s="141">
        <f t="shared" si="69"/>
        <v>2.5263157894736842E-2</v>
      </c>
      <c r="AE58" s="141">
        <f t="shared" si="87"/>
        <v>0</v>
      </c>
      <c r="AF58" s="141">
        <f t="shared" si="88"/>
        <v>0</v>
      </c>
      <c r="AG58" s="141">
        <f t="shared" si="89"/>
        <v>0</v>
      </c>
      <c r="AI58" s="821">
        <f>IF(AI237=AD_no,0,IF(VLOOKUP(E58,'Pre-Assessment Estimator'!$E$11:$Z$227,'Pre-Assessment Estimator'!$G$2,FALSE)&gt;AB58,AB58,VLOOKUP(E58,'Pre-Assessment Estimator'!$E$11:$Z$227,'Pre-Assessment Estimator'!$G$2,FALSE)))</f>
        <v>0</v>
      </c>
      <c r="AJ58" s="821">
        <f>IF(AJ237=AD_no,0,IF(VLOOKUP(E58,'Pre-Assessment Estimator'!$E$11:$Z$227,'Pre-Assessment Estimator'!$N$2,FALSE)&gt;AB58,AB58,VLOOKUP(E58,'Pre-Assessment Estimator'!$E$11:$Z$227,'Pre-Assessment Estimator'!$N$2,FALSE)))</f>
        <v>0</v>
      </c>
      <c r="AK58" s="821">
        <f>IF(AK237=AD_no,0,IF(VLOOKUP(E58,'Pre-Assessment Estimator'!$E$11:$Z$227,'Pre-Assessment Estimator'!$U$2,FALSE)&gt;AB58,AB58,VLOOKUP(E58,'Pre-Assessment Estimator'!$E$11:$Z$227,'Pre-Assessment Estimator'!$U$2,FALSE)))</f>
        <v>0</v>
      </c>
      <c r="AM58" s="243"/>
      <c r="AN58" s="244"/>
      <c r="AO58" s="244"/>
      <c r="AP58" s="244"/>
      <c r="AQ58" s="245"/>
      <c r="AS58" s="243"/>
      <c r="AT58" s="244"/>
      <c r="AU58" s="244"/>
      <c r="AV58" s="244"/>
      <c r="AW58" s="245"/>
      <c r="AY58" s="137"/>
      <c r="AZ58" s="35"/>
      <c r="BA58" s="35"/>
      <c r="BB58" s="35"/>
      <c r="BC58" s="138"/>
      <c r="BD58" s="535">
        <f t="shared" si="95"/>
        <v>9</v>
      </c>
      <c r="BE58" s="37" t="str">
        <f t="shared" si="71"/>
        <v>N/A</v>
      </c>
      <c r="BF58" s="154"/>
      <c r="BG58" s="151">
        <f t="shared" si="96"/>
        <v>9</v>
      </c>
      <c r="BH58" s="37" t="str">
        <f t="shared" si="73"/>
        <v>N/A</v>
      </c>
      <c r="BI58" s="154"/>
      <c r="BJ58" s="151">
        <f t="shared" si="97"/>
        <v>9</v>
      </c>
      <c r="BK58" s="37" t="str">
        <f t="shared" si="74"/>
        <v>N/A</v>
      </c>
      <c r="BL58" s="154"/>
      <c r="BO58" s="35"/>
      <c r="BP58" s="35"/>
      <c r="BQ58" s="35" t="str">
        <f t="shared" si="15"/>
        <v/>
      </c>
      <c r="BR58" s="35">
        <f t="shared" si="55"/>
        <v>9</v>
      </c>
      <c r="BS58" s="35">
        <f t="shared" si="56"/>
        <v>9</v>
      </c>
      <c r="BT58" s="35">
        <f t="shared" si="57"/>
        <v>9</v>
      </c>
      <c r="BW58" s="35"/>
      <c r="BX58" s="35"/>
      <c r="BY58" s="35"/>
      <c r="BZ58" s="35"/>
      <c r="CA58" s="35"/>
      <c r="CB58" s="35"/>
    </row>
    <row r="59" spans="1:85">
      <c r="A59">
        <v>51</v>
      </c>
      <c r="B59" s="112" t="str">
        <f>D59</f>
        <v>Hea 06</v>
      </c>
      <c r="C59" s="112" t="str">
        <f>B59</f>
        <v>Hea 06</v>
      </c>
      <c r="D59" s="663" t="s">
        <v>323</v>
      </c>
      <c r="E59" s="661" t="s">
        <v>324</v>
      </c>
      <c r="F59" s="748">
        <f t="shared" ref="F59:R59" si="114">SUM(F60:F61)</f>
        <v>2</v>
      </c>
      <c r="G59" s="748">
        <f t="shared" si="114"/>
        <v>2</v>
      </c>
      <c r="H59" s="748">
        <f t="shared" si="114"/>
        <v>3</v>
      </c>
      <c r="I59" s="748">
        <f t="shared" si="114"/>
        <v>2</v>
      </c>
      <c r="J59" s="748">
        <f t="shared" si="114"/>
        <v>2</v>
      </c>
      <c r="K59" s="748">
        <f t="shared" si="114"/>
        <v>2</v>
      </c>
      <c r="L59" s="748">
        <f t="shared" si="114"/>
        <v>2</v>
      </c>
      <c r="M59" s="748">
        <f t="shared" si="114"/>
        <v>3</v>
      </c>
      <c r="N59" s="748">
        <f t="shared" si="114"/>
        <v>2</v>
      </c>
      <c r="O59" s="748">
        <f t="shared" si="114"/>
        <v>2</v>
      </c>
      <c r="P59" s="748">
        <f t="shared" si="114"/>
        <v>2</v>
      </c>
      <c r="Q59" s="748">
        <f t="shared" ref="Q59" si="115">SUM(Q60:Q61)</f>
        <v>2</v>
      </c>
      <c r="R59" s="748">
        <f t="shared" si="114"/>
        <v>2</v>
      </c>
      <c r="S59" s="764" t="s">
        <v>902</v>
      </c>
      <c r="T59" s="766">
        <f t="shared" si="107"/>
        <v>2</v>
      </c>
      <c r="U59" s="182"/>
      <c r="V59" s="53"/>
      <c r="W59" s="53"/>
      <c r="X59" s="849">
        <f>'Manuell filtrering og justering'!E22</f>
        <v>0</v>
      </c>
      <c r="Y59" s="768"/>
      <c r="Z59" s="911">
        <f t="shared" ref="Z59" si="116">SUM(Z60:Z61)</f>
        <v>3</v>
      </c>
      <c r="AA59" s="768">
        <f t="shared" si="109"/>
        <v>0</v>
      </c>
      <c r="AB59" s="820">
        <f t="shared" ref="AB59" si="117">SUM(AB60:AB61)</f>
        <v>2</v>
      </c>
      <c r="AD59" s="141">
        <f t="shared" si="69"/>
        <v>1.6842105263157894E-2</v>
      </c>
      <c r="AE59" s="736">
        <f>SUM(AE60:AE61)</f>
        <v>0</v>
      </c>
      <c r="AF59" s="736">
        <f t="shared" ref="AF59:AG59" si="118">SUM(AF60:AF62)</f>
        <v>0</v>
      </c>
      <c r="AG59" s="736">
        <f t="shared" si="118"/>
        <v>0</v>
      </c>
      <c r="AI59" s="763">
        <f t="shared" ref="AI59:AK59" si="119">SUM(AI60:AI61)</f>
        <v>0</v>
      </c>
      <c r="AJ59" s="763">
        <f t="shared" si="119"/>
        <v>0</v>
      </c>
      <c r="AK59" s="763">
        <f t="shared" si="119"/>
        <v>0</v>
      </c>
      <c r="AM59" s="243"/>
      <c r="AN59" s="244"/>
      <c r="AO59" s="244"/>
      <c r="AP59" s="244"/>
      <c r="AQ59" s="245"/>
      <c r="AS59" s="243"/>
      <c r="AT59" s="244"/>
      <c r="AU59" s="244"/>
      <c r="AV59" s="244"/>
      <c r="AW59" s="245"/>
      <c r="AY59" s="137"/>
      <c r="AZ59" s="35"/>
      <c r="BA59" s="35"/>
      <c r="BB59" s="35"/>
      <c r="BC59" s="138"/>
      <c r="BD59" s="535">
        <f t="shared" si="95"/>
        <v>9</v>
      </c>
      <c r="BE59" s="37" t="str">
        <f t="shared" si="71"/>
        <v>N/A</v>
      </c>
      <c r="BF59" s="154"/>
      <c r="BG59" s="151">
        <f t="shared" si="96"/>
        <v>9</v>
      </c>
      <c r="BH59" s="37" t="str">
        <f t="shared" si="73"/>
        <v>N/A</v>
      </c>
      <c r="BI59" s="154"/>
      <c r="BJ59" s="151">
        <f t="shared" si="97"/>
        <v>9</v>
      </c>
      <c r="BK59" s="37" t="str">
        <f t="shared" si="74"/>
        <v>N/A</v>
      </c>
      <c r="BL59" s="154"/>
      <c r="BO59" s="35"/>
      <c r="BP59" s="35"/>
      <c r="BQ59" s="35" t="str">
        <f t="shared" si="15"/>
        <v/>
      </c>
      <c r="BR59" s="35">
        <f t="shared" si="55"/>
        <v>9</v>
      </c>
      <c r="BS59" s="35">
        <f t="shared" si="56"/>
        <v>9</v>
      </c>
      <c r="BT59" s="35">
        <f t="shared" si="57"/>
        <v>9</v>
      </c>
      <c r="BW59" s="35" t="str">
        <f>D59</f>
        <v>Hea 06</v>
      </c>
      <c r="BX59" s="35" t="str">
        <f>IFERROR(VLOOKUP($E59,'Pre-Assessment Estimator'!$E$11:$AB$227,'Pre-Assessment Estimator'!AB$2,FALSE),"")</f>
        <v>N/A</v>
      </c>
      <c r="BY59" s="35">
        <f>IFERROR(VLOOKUP($E59,'Pre-Assessment Estimator'!$E$11:$AI$227,'Pre-Assessment Estimator'!AI$2,FALSE),"")</f>
        <v>0</v>
      </c>
      <c r="BZ59" s="35">
        <f>IFERROR(VLOOKUP($BX59,$E$293:$H$326,F$291,FALSE),"")</f>
        <v>1</v>
      </c>
      <c r="CA59" s="35">
        <f>IFERROR(VLOOKUP($BX59,$E$293:$H$326,G$291,FALSE),"")</f>
        <v>0</v>
      </c>
      <c r="CB59" s="35"/>
      <c r="CC59" t="str">
        <f>IFERROR(VLOOKUP($BX59,$E$293:$H$326,I$291,FALSE),"")</f>
        <v/>
      </c>
    </row>
    <row r="60" spans="1:85">
      <c r="A60">
        <v>52</v>
      </c>
      <c r="B60" t="str">
        <f t="shared" ref="B60:B61" si="120">$D$59&amp;D60</f>
        <v>Hea 06a</v>
      </c>
      <c r="C60" t="str">
        <f t="shared" si="19"/>
        <v>Hea 06</v>
      </c>
      <c r="D60" s="135" t="s">
        <v>729</v>
      </c>
      <c r="E60" s="857" t="s">
        <v>756</v>
      </c>
      <c r="F60" s="607">
        <v>1</v>
      </c>
      <c r="G60" s="607">
        <v>1</v>
      </c>
      <c r="H60" s="801">
        <v>2</v>
      </c>
      <c r="I60" s="607">
        <v>1</v>
      </c>
      <c r="J60" s="607">
        <v>1</v>
      </c>
      <c r="K60" s="607">
        <v>1</v>
      </c>
      <c r="L60" s="607">
        <v>1</v>
      </c>
      <c r="M60" s="801">
        <v>2</v>
      </c>
      <c r="N60" s="607">
        <v>1</v>
      </c>
      <c r="O60" s="607">
        <v>1</v>
      </c>
      <c r="P60" s="607">
        <v>1</v>
      </c>
      <c r="Q60" s="607">
        <v>1</v>
      </c>
      <c r="R60" s="607">
        <v>1</v>
      </c>
      <c r="S60" s="632"/>
      <c r="T60" s="175">
        <f t="shared" si="107"/>
        <v>1</v>
      </c>
      <c r="U60" s="137">
        <f>IF(AND(T60=2,ADBT0=ADBT16,'Assessment Details'!F6&lt;&gt;'Assessment Details'!Z7),1,0)</f>
        <v>0</v>
      </c>
      <c r="V60" s="35"/>
      <c r="W60" s="35"/>
      <c r="X60" s="138"/>
      <c r="Y60" s="139">
        <f>IF($Y$4=$Y$6,T60,0)</f>
        <v>0</v>
      </c>
      <c r="Z60" s="894">
        <f>VLOOKUP(B60,'Manuell filtrering og justering'!$A$7:$H$107,'Manuell filtrering og justering'!$H$1,FALSE)</f>
        <v>2</v>
      </c>
      <c r="AA60" s="139">
        <f t="shared" si="109"/>
        <v>0</v>
      </c>
      <c r="AB60" s="140">
        <f>IF($AC$5='Manuell filtrering og justering'!$J$2,Z60,(T60-AA60))</f>
        <v>1</v>
      </c>
      <c r="AD60" s="141">
        <f t="shared" si="69"/>
        <v>8.4210526315789472E-3</v>
      </c>
      <c r="AE60" s="141">
        <f t="shared" si="87"/>
        <v>0</v>
      </c>
      <c r="AF60" s="141">
        <f t="shared" si="88"/>
        <v>0</v>
      </c>
      <c r="AG60" s="141">
        <f t="shared" si="89"/>
        <v>0</v>
      </c>
      <c r="AI60" s="142">
        <f>IF(VLOOKUP(E60,'Pre-Assessment Estimator'!$E$11:$Z$227,'Pre-Assessment Estimator'!$G$2,FALSE)&gt;AB60,AB60,VLOOKUP(E60,'Pre-Assessment Estimator'!$E$11:$Z$227,'Pre-Assessment Estimator'!$G$2,FALSE))</f>
        <v>0</v>
      </c>
      <c r="AJ60" s="142">
        <f>IF(VLOOKUP(E60,'Pre-Assessment Estimator'!$E$11:$Z$227,'Pre-Assessment Estimator'!$N$2,FALSE)&gt;AB60,AB60,VLOOKUP(E60,'Pre-Assessment Estimator'!$E$11:$Z$227,'Pre-Assessment Estimator'!$N$2,FALSE))</f>
        <v>0</v>
      </c>
      <c r="AK60" s="142">
        <f>IF(VLOOKUP(E60,'Pre-Assessment Estimator'!$E$11:$Z$227,'Pre-Assessment Estimator'!$U$2,FALSE)&gt;AB60,AB60,VLOOKUP(E60,'Pre-Assessment Estimator'!$E$11:$Z$227,'Pre-Assessment Estimator'!$U$2,FALSE))</f>
        <v>0</v>
      </c>
      <c r="AM60" s="243"/>
      <c r="AN60" s="244"/>
      <c r="AO60" s="244"/>
      <c r="AP60" s="244"/>
      <c r="AQ60" s="245"/>
      <c r="AS60" s="243"/>
      <c r="AT60" s="244"/>
      <c r="AU60" s="244"/>
      <c r="AV60" s="244"/>
      <c r="AW60" s="245"/>
      <c r="AY60" s="137"/>
      <c r="AZ60" s="35"/>
      <c r="BA60" s="35"/>
      <c r="BB60" s="35"/>
      <c r="BC60" s="138"/>
      <c r="BD60" s="535">
        <f t="shared" si="95"/>
        <v>9</v>
      </c>
      <c r="BE60" s="37" t="str">
        <f t="shared" si="71"/>
        <v>N/A</v>
      </c>
      <c r="BF60" s="154"/>
      <c r="BG60" s="151">
        <f t="shared" si="96"/>
        <v>9</v>
      </c>
      <c r="BH60" s="37" t="str">
        <f t="shared" si="73"/>
        <v>N/A</v>
      </c>
      <c r="BI60" s="154"/>
      <c r="BJ60" s="151">
        <f t="shared" si="97"/>
        <v>9</v>
      </c>
      <c r="BK60" s="37" t="str">
        <f t="shared" si="74"/>
        <v>N/A</v>
      </c>
      <c r="BL60" s="154"/>
      <c r="BO60" s="35"/>
      <c r="BP60" s="35"/>
      <c r="BQ60" s="35" t="str">
        <f t="shared" si="15"/>
        <v/>
      </c>
      <c r="BR60" s="35">
        <f t="shared" si="55"/>
        <v>9</v>
      </c>
      <c r="BS60" s="35">
        <f t="shared" si="56"/>
        <v>9</v>
      </c>
      <c r="BT60" s="35">
        <f t="shared" si="57"/>
        <v>9</v>
      </c>
      <c r="BW60" s="35"/>
      <c r="BX60" s="35"/>
      <c r="BY60" s="35"/>
      <c r="BZ60" s="35"/>
      <c r="CA60" s="35"/>
      <c r="CB60" s="35"/>
    </row>
    <row r="61" spans="1:85">
      <c r="A61">
        <v>53</v>
      </c>
      <c r="B61" t="str">
        <f t="shared" si="120"/>
        <v>Hea 06b</v>
      </c>
      <c r="C61" t="str">
        <f t="shared" si="19"/>
        <v>Hea 06</v>
      </c>
      <c r="D61" s="135" t="s">
        <v>730</v>
      </c>
      <c r="E61" s="857" t="s">
        <v>757</v>
      </c>
      <c r="F61" s="607">
        <v>1</v>
      </c>
      <c r="G61" s="607">
        <v>1</v>
      </c>
      <c r="H61" s="607">
        <v>1</v>
      </c>
      <c r="I61" s="607">
        <v>1</v>
      </c>
      <c r="J61" s="607">
        <v>1</v>
      </c>
      <c r="K61" s="607">
        <v>1</v>
      </c>
      <c r="L61" s="607">
        <v>1</v>
      </c>
      <c r="M61" s="607">
        <v>1</v>
      </c>
      <c r="N61" s="607">
        <v>1</v>
      </c>
      <c r="O61" s="607">
        <v>1</v>
      </c>
      <c r="P61" s="607">
        <v>1</v>
      </c>
      <c r="Q61" s="607">
        <v>1</v>
      </c>
      <c r="R61" s="607">
        <v>1</v>
      </c>
      <c r="S61" s="632"/>
      <c r="T61" s="175">
        <f t="shared" si="107"/>
        <v>1</v>
      </c>
      <c r="U61" s="137"/>
      <c r="V61" s="35"/>
      <c r="W61" s="35"/>
      <c r="X61" s="138"/>
      <c r="Y61" s="139">
        <f>IF(OR($Y$4=$Y$5,$Y$4=$Y$6),T61,0)</f>
        <v>0</v>
      </c>
      <c r="Z61" s="894">
        <f>VLOOKUP(B61,'Manuell filtrering og justering'!$A$7:$H$107,'Manuell filtrering og justering'!$H$1,FALSE)</f>
        <v>1</v>
      </c>
      <c r="AA61" s="139">
        <f t="shared" si="109"/>
        <v>0</v>
      </c>
      <c r="AB61" s="140">
        <f>IF($AC$5='Manuell filtrering og justering'!$J$2,Z61,(T61-AA61))</f>
        <v>1</v>
      </c>
      <c r="AD61" s="141">
        <f t="shared" si="69"/>
        <v>8.4210526315789472E-3</v>
      </c>
      <c r="AE61" s="141">
        <f t="shared" si="87"/>
        <v>0</v>
      </c>
      <c r="AF61" s="141">
        <f t="shared" si="88"/>
        <v>0</v>
      </c>
      <c r="AG61" s="141">
        <f t="shared" si="89"/>
        <v>0</v>
      </c>
      <c r="AI61" s="142">
        <f>IF(VLOOKUP(E61,'Pre-Assessment Estimator'!$E$11:$Z$227,'Pre-Assessment Estimator'!$G$2,FALSE)&gt;AB61,AB61,VLOOKUP(E61,'Pre-Assessment Estimator'!$E$11:$Z$227,'Pre-Assessment Estimator'!$G$2,FALSE))</f>
        <v>0</v>
      </c>
      <c r="AJ61" s="142">
        <f>IF(VLOOKUP(E61,'Pre-Assessment Estimator'!$E$11:$Z$227,'Pre-Assessment Estimator'!$N$2,FALSE)&gt;AB61,AB61,VLOOKUP(E61,'Pre-Assessment Estimator'!$E$11:$Z$227,'Pre-Assessment Estimator'!$N$2,FALSE))</f>
        <v>0</v>
      </c>
      <c r="AK61" s="142">
        <f>IF(VLOOKUP(E61,'Pre-Assessment Estimator'!$E$11:$Z$227,'Pre-Assessment Estimator'!$U$2,FALSE)&gt;AB61,AB61,VLOOKUP(E61,'Pre-Assessment Estimator'!$E$11:$Z$227,'Pre-Assessment Estimator'!$U$2,FALSE))</f>
        <v>0</v>
      </c>
      <c r="AM61" s="243"/>
      <c r="AN61" s="244"/>
      <c r="AO61" s="244"/>
      <c r="AP61" s="244"/>
      <c r="AQ61" s="245"/>
      <c r="AS61" s="243"/>
      <c r="AT61" s="244"/>
      <c r="AU61" s="244"/>
      <c r="AV61" s="244"/>
      <c r="AW61" s="245"/>
      <c r="AY61" s="137"/>
      <c r="AZ61" s="35"/>
      <c r="BA61" s="35"/>
      <c r="BB61" s="35"/>
      <c r="BC61" s="138"/>
      <c r="BD61" s="535">
        <f t="shared" si="95"/>
        <v>9</v>
      </c>
      <c r="BE61" s="37" t="str">
        <f t="shared" si="71"/>
        <v>N/A</v>
      </c>
      <c r="BF61" s="154"/>
      <c r="BG61" s="151">
        <f t="shared" si="96"/>
        <v>9</v>
      </c>
      <c r="BH61" s="37" t="str">
        <f t="shared" si="73"/>
        <v>N/A</v>
      </c>
      <c r="BI61" s="154"/>
      <c r="BJ61" s="151">
        <f t="shared" si="97"/>
        <v>9</v>
      </c>
      <c r="BK61" s="37" t="str">
        <f t="shared" si="74"/>
        <v>N/A</v>
      </c>
      <c r="BL61" s="154"/>
      <c r="BO61" s="35"/>
      <c r="BP61" s="35"/>
      <c r="BQ61" s="35" t="str">
        <f t="shared" si="15"/>
        <v/>
      </c>
      <c r="BR61" s="35">
        <f t="shared" si="55"/>
        <v>9</v>
      </c>
      <c r="BS61" s="35">
        <f t="shared" si="56"/>
        <v>9</v>
      </c>
      <c r="BT61" s="35">
        <f t="shared" si="57"/>
        <v>9</v>
      </c>
      <c r="BW61" s="35"/>
      <c r="BX61" s="35"/>
      <c r="BY61" s="35"/>
      <c r="BZ61" s="35"/>
      <c r="CA61" s="35"/>
      <c r="CB61" s="35"/>
    </row>
    <row r="62" spans="1:85">
      <c r="A62">
        <v>54</v>
      </c>
      <c r="D62" s="548" t="s">
        <v>741</v>
      </c>
      <c r="E62" s="547"/>
      <c r="F62" s="750"/>
      <c r="G62" s="750"/>
      <c r="H62" s="750"/>
      <c r="I62" s="750"/>
      <c r="J62" s="750"/>
      <c r="K62" s="750"/>
      <c r="L62" s="750"/>
      <c r="M62" s="750"/>
      <c r="N62" s="750"/>
      <c r="O62" s="750"/>
      <c r="P62" s="750"/>
      <c r="Q62" s="750"/>
      <c r="R62" s="750"/>
      <c r="T62" s="767"/>
      <c r="U62" s="548"/>
      <c r="V62" s="547"/>
      <c r="W62" s="547"/>
      <c r="X62" s="760"/>
      <c r="Y62" s="761"/>
      <c r="Z62" s="894"/>
      <c r="AA62" s="761"/>
      <c r="AB62" s="762"/>
      <c r="AD62" s="141">
        <f t="shared" si="69"/>
        <v>0</v>
      </c>
      <c r="AE62" s="765"/>
      <c r="AF62" s="765"/>
      <c r="AG62" s="765"/>
      <c r="AI62" s="562"/>
      <c r="AJ62" s="562"/>
      <c r="AK62" s="562"/>
      <c r="AM62" s="243"/>
      <c r="AN62" s="244"/>
      <c r="AO62" s="244"/>
      <c r="AP62" s="244"/>
      <c r="AQ62" s="245"/>
      <c r="AS62" s="243"/>
      <c r="AT62" s="244"/>
      <c r="AU62" s="244"/>
      <c r="AV62" s="244"/>
      <c r="AW62" s="245"/>
      <c r="AY62" s="137"/>
      <c r="AZ62" s="35"/>
      <c r="BA62" s="35"/>
      <c r="BB62" s="35"/>
      <c r="BC62" s="138"/>
      <c r="BD62" s="535">
        <f t="shared" si="95"/>
        <v>9</v>
      </c>
      <c r="BE62" s="37" t="str">
        <f t="shared" si="71"/>
        <v>N/A</v>
      </c>
      <c r="BF62" s="154"/>
      <c r="BG62" s="151">
        <f t="shared" si="96"/>
        <v>9</v>
      </c>
      <c r="BH62" s="37" t="str">
        <f t="shared" si="73"/>
        <v>N/A</v>
      </c>
      <c r="BI62" s="154"/>
      <c r="BJ62" s="151">
        <f t="shared" si="97"/>
        <v>9</v>
      </c>
      <c r="BK62" s="37" t="str">
        <f t="shared" si="74"/>
        <v>N/A</v>
      </c>
      <c r="BL62" s="154"/>
      <c r="BO62" s="35"/>
      <c r="BP62" s="35"/>
      <c r="BQ62" s="35" t="str">
        <f t="shared" si="15"/>
        <v/>
      </c>
      <c r="BR62" s="35">
        <f t="shared" si="55"/>
        <v>9</v>
      </c>
      <c r="BS62" s="35">
        <f t="shared" si="56"/>
        <v>9</v>
      </c>
      <c r="BT62" s="35">
        <f t="shared" si="57"/>
        <v>9</v>
      </c>
      <c r="BW62" s="35" t="str">
        <f>D62</f>
        <v>Hea 07</v>
      </c>
      <c r="BX62" s="35" t="str">
        <f>IFERROR(VLOOKUP($E62,'Pre-Assessment Estimator'!$E$11:$AB$227,'Pre-Assessment Estimator'!AB$2,FALSE),"")</f>
        <v/>
      </c>
      <c r="BY62" s="35" t="str">
        <f>IFERROR(VLOOKUP($E62,'Pre-Assessment Estimator'!$E$11:$AI$227,'Pre-Assessment Estimator'!AI$2,FALSE),"")</f>
        <v/>
      </c>
      <c r="BZ62" s="35" t="str">
        <f>IFERROR(VLOOKUP($BX62,$E$293:$H$326,F$291,FALSE),"")</f>
        <v/>
      </c>
      <c r="CA62" s="35" t="str">
        <f>IFERROR(VLOOKUP($BX62,$E$293:$H$326,G$291,FALSE),"")</f>
        <v/>
      </c>
      <c r="CB62" s="35"/>
      <c r="CC62" t="str">
        <f>IFERROR(VLOOKUP($BX62,$E$293:$H$326,I$291,FALSE),"")</f>
        <v/>
      </c>
    </row>
    <row r="63" spans="1:85">
      <c r="A63">
        <v>55</v>
      </c>
      <c r="B63" s="112" t="str">
        <f>D63</f>
        <v>Hea 08</v>
      </c>
      <c r="C63" s="112" t="str">
        <f>B63</f>
        <v>Hea 08</v>
      </c>
      <c r="D63" s="663" t="s">
        <v>327</v>
      </c>
      <c r="E63" s="661" t="s">
        <v>328</v>
      </c>
      <c r="F63" s="748">
        <f t="shared" ref="F63:R63" si="121">SUM(F64:F65)</f>
        <v>0</v>
      </c>
      <c r="G63" s="748">
        <f t="shared" si="121"/>
        <v>0</v>
      </c>
      <c r="H63" s="748">
        <f t="shared" si="121"/>
        <v>1</v>
      </c>
      <c r="I63" s="748">
        <f t="shared" si="121"/>
        <v>0</v>
      </c>
      <c r="J63" s="748">
        <f t="shared" si="121"/>
        <v>0</v>
      </c>
      <c r="K63" s="748">
        <f t="shared" si="121"/>
        <v>0</v>
      </c>
      <c r="L63" s="748">
        <f t="shared" si="121"/>
        <v>0</v>
      </c>
      <c r="M63" s="748">
        <f t="shared" si="121"/>
        <v>0</v>
      </c>
      <c r="N63" s="748">
        <f t="shared" si="121"/>
        <v>0</v>
      </c>
      <c r="O63" s="748">
        <f t="shared" si="121"/>
        <v>0</v>
      </c>
      <c r="P63" s="748">
        <f t="shared" si="121"/>
        <v>0</v>
      </c>
      <c r="Q63" s="748">
        <f t="shared" ref="Q63" si="122">SUM(Q64:Q65)</f>
        <v>0</v>
      </c>
      <c r="R63" s="748">
        <f t="shared" si="121"/>
        <v>0</v>
      </c>
      <c r="T63" s="766">
        <f>HLOOKUP($E$6,$F$9:$R$231,$A63,FALSE)</f>
        <v>0</v>
      </c>
      <c r="U63" s="182"/>
      <c r="V63" s="53"/>
      <c r="W63" s="53"/>
      <c r="X63" s="849">
        <f>'Manuell filtrering og justering'!E24</f>
        <v>0</v>
      </c>
      <c r="Y63" s="768"/>
      <c r="Z63" s="911">
        <f t="shared" ref="Z63" si="123">SUM(Z64:Z65)</f>
        <v>0</v>
      </c>
      <c r="AA63" s="768">
        <f>IF(SUM(U63:Y63)&gt;T63,T63,SUM(U63:Y63))</f>
        <v>0</v>
      </c>
      <c r="AB63" s="820">
        <f>SUM(AB64)</f>
        <v>0</v>
      </c>
      <c r="AD63" s="141">
        <f t="shared" si="69"/>
        <v>0</v>
      </c>
      <c r="AE63" s="736">
        <f>SUM(AE64)</f>
        <v>0</v>
      </c>
      <c r="AF63" s="736">
        <f t="shared" ref="AF63:AG63" si="124">SUM(AF64)</f>
        <v>0</v>
      </c>
      <c r="AG63" s="736">
        <f t="shared" si="124"/>
        <v>0</v>
      </c>
      <c r="AI63" s="763">
        <f t="shared" ref="AI63:AK63" si="125">SUM(AI64:AI65)</f>
        <v>0</v>
      </c>
      <c r="AJ63" s="763">
        <f t="shared" si="125"/>
        <v>0</v>
      </c>
      <c r="AK63" s="763">
        <f t="shared" si="125"/>
        <v>0</v>
      </c>
      <c r="AM63" s="242"/>
      <c r="AN63" s="150"/>
      <c r="AO63" s="150"/>
      <c r="AP63" s="150"/>
      <c r="AQ63" s="155"/>
      <c r="AS63" s="242"/>
      <c r="AT63" s="150"/>
      <c r="AU63" s="150"/>
      <c r="AV63" s="150"/>
      <c r="AW63" s="245"/>
      <c r="AY63" s="151"/>
      <c r="AZ63" s="152"/>
      <c r="BA63" s="152"/>
      <c r="BB63" s="152"/>
      <c r="BC63" s="156"/>
      <c r="BD63" s="535">
        <f t="shared" si="95"/>
        <v>9</v>
      </c>
      <c r="BE63" s="37" t="str">
        <f t="shared" si="71"/>
        <v>N/A</v>
      </c>
      <c r="BF63" s="154"/>
      <c r="BG63" s="151">
        <f t="shared" si="96"/>
        <v>9</v>
      </c>
      <c r="BH63" s="37" t="str">
        <f t="shared" si="73"/>
        <v>N/A</v>
      </c>
      <c r="BI63" s="154"/>
      <c r="BJ63" s="151">
        <f t="shared" si="97"/>
        <v>9</v>
      </c>
      <c r="BK63" s="37" t="str">
        <f t="shared" si="74"/>
        <v>N/A</v>
      </c>
      <c r="BL63" s="154"/>
      <c r="BO63" s="779"/>
      <c r="BP63" s="35"/>
      <c r="BQ63" s="35" t="str">
        <f t="shared" si="15"/>
        <v/>
      </c>
      <c r="BR63" s="35">
        <f t="shared" si="55"/>
        <v>9</v>
      </c>
      <c r="BS63" s="35">
        <f t="shared" si="56"/>
        <v>9</v>
      </c>
      <c r="BT63" s="35">
        <f t="shared" si="57"/>
        <v>9</v>
      </c>
      <c r="BW63" s="35" t="str">
        <f>D63</f>
        <v>Hea 08</v>
      </c>
      <c r="BX63" s="35" t="str">
        <f>IFERROR(VLOOKUP($E63,'Pre-Assessment Estimator'!$E$11:$AB$227,'Pre-Assessment Estimator'!AB$2,FALSE),"")</f>
        <v>N/A</v>
      </c>
      <c r="BY63" s="35">
        <f>IFERROR(VLOOKUP($E63,'Pre-Assessment Estimator'!$E$11:$AI$227,'Pre-Assessment Estimator'!AI$2,FALSE),"")</f>
        <v>0</v>
      </c>
      <c r="BZ63" s="35">
        <f>IFERROR(VLOOKUP($BX63,$E$293:$H$326,F$291,FALSE),"")</f>
        <v>1</v>
      </c>
      <c r="CA63" s="35">
        <f>IFERROR(VLOOKUP($BX63,$E$293:$H$326,G$291,FALSE),"")</f>
        <v>0</v>
      </c>
      <c r="CB63" s="35"/>
      <c r="CC63" t="str">
        <f>IFERROR(VLOOKUP($BX63,$E$293:$H$326,I$291,FALSE),"")</f>
        <v/>
      </c>
    </row>
    <row r="64" spans="1:85">
      <c r="A64">
        <v>56</v>
      </c>
      <c r="B64" t="str">
        <f>$D$63&amp;D64</f>
        <v>Hea 08a</v>
      </c>
      <c r="C64" t="str">
        <f t="shared" si="19"/>
        <v>Hea 08</v>
      </c>
      <c r="D64" s="158" t="s">
        <v>729</v>
      </c>
      <c r="E64" s="857" t="s">
        <v>758</v>
      </c>
      <c r="F64" s="609">
        <v>0</v>
      </c>
      <c r="G64" s="609">
        <v>0</v>
      </c>
      <c r="H64" s="609">
        <v>1</v>
      </c>
      <c r="I64" s="609">
        <v>0</v>
      </c>
      <c r="J64" s="609">
        <v>0</v>
      </c>
      <c r="K64" s="609">
        <v>0</v>
      </c>
      <c r="L64" s="609">
        <v>0</v>
      </c>
      <c r="M64" s="609">
        <v>0</v>
      </c>
      <c r="N64" s="609">
        <v>0</v>
      </c>
      <c r="O64" s="609">
        <v>0</v>
      </c>
      <c r="P64" s="609">
        <v>0</v>
      </c>
      <c r="Q64" s="609">
        <v>0</v>
      </c>
      <c r="R64" s="609">
        <v>0</v>
      </c>
      <c r="T64" s="175">
        <f>HLOOKUP($E$6,$F$9:$R$231,$A64,FALSE)</f>
        <v>0</v>
      </c>
      <c r="U64" s="137"/>
      <c r="V64" s="35"/>
      <c r="W64" s="35"/>
      <c r="X64" s="138"/>
      <c r="Y64" s="139"/>
      <c r="Z64" s="894">
        <f>VLOOKUP(B64,'Manuell filtrering og justering'!$A$7:$H$107,'Manuell filtrering og justering'!$H$1,FALSE)</f>
        <v>0</v>
      </c>
      <c r="AA64" s="139">
        <f>IF(SUM(U64:Y64)&gt;T64,T64,SUM(U64:Y64))</f>
        <v>0</v>
      </c>
      <c r="AB64" s="140">
        <f>IF($AC$5='Manuell filtrering og justering'!$J$2,Z64,(T64-AA64))</f>
        <v>0</v>
      </c>
      <c r="AD64" s="141">
        <f t="shared" si="69"/>
        <v>0</v>
      </c>
      <c r="AE64" s="141">
        <f t="shared" si="87"/>
        <v>0</v>
      </c>
      <c r="AF64" s="141">
        <f t="shared" si="88"/>
        <v>0</v>
      </c>
      <c r="AG64" s="141">
        <f t="shared" si="89"/>
        <v>0</v>
      </c>
      <c r="AI64" s="142">
        <f>IF(VLOOKUP(E64,'Pre-Assessment Estimator'!$E$11:$Z$227,'Pre-Assessment Estimator'!$G$2,FALSE)&gt;AB64,AB64,VLOOKUP(E64,'Pre-Assessment Estimator'!$E$11:$Z$227,'Pre-Assessment Estimator'!$G$2,FALSE))</f>
        <v>0</v>
      </c>
      <c r="AJ64" s="142">
        <f>IF(VLOOKUP(E64,'Pre-Assessment Estimator'!$E$11:$Z$227,'Pre-Assessment Estimator'!$N$2,FALSE)&gt;AB64,AB64,VLOOKUP(E64,'Pre-Assessment Estimator'!$E$11:$Z$227,'Pre-Assessment Estimator'!$N$2,FALSE))</f>
        <v>0</v>
      </c>
      <c r="AK64" s="142">
        <f>IF(VLOOKUP(E64,'Pre-Assessment Estimator'!$E$11:$Z$227,'Pre-Assessment Estimator'!$U$2,FALSE)&gt;AB64,AB64,VLOOKUP(E64,'Pre-Assessment Estimator'!$E$11:$Z$227,'Pre-Assessment Estimator'!$U$2,FALSE))</f>
        <v>0</v>
      </c>
      <c r="AM64" s="668"/>
      <c r="AN64" s="669"/>
      <c r="AO64" s="669"/>
      <c r="AP64" s="669"/>
      <c r="AQ64" s="670"/>
      <c r="AS64" s="668"/>
      <c r="AT64" s="669"/>
      <c r="AU64" s="669"/>
      <c r="AV64" s="669"/>
      <c r="AW64" s="671"/>
      <c r="AY64" s="672"/>
      <c r="AZ64" s="673"/>
      <c r="BA64" s="673"/>
      <c r="BB64" s="673"/>
      <c r="BC64" s="674"/>
      <c r="BD64" s="535">
        <f t="shared" si="95"/>
        <v>9</v>
      </c>
      <c r="BE64" s="37" t="str">
        <f t="shared" si="71"/>
        <v>N/A</v>
      </c>
      <c r="BF64" s="154"/>
      <c r="BG64" s="151">
        <f t="shared" si="96"/>
        <v>9</v>
      </c>
      <c r="BH64" s="37" t="str">
        <f t="shared" si="73"/>
        <v>N/A</v>
      </c>
      <c r="BI64" s="154"/>
      <c r="BJ64" s="151">
        <f t="shared" si="97"/>
        <v>9</v>
      </c>
      <c r="BK64" s="37" t="str">
        <f t="shared" si="74"/>
        <v>N/A</v>
      </c>
      <c r="BL64" s="675"/>
      <c r="BO64" s="779"/>
      <c r="BP64" s="35"/>
      <c r="BQ64" s="35" t="str">
        <f t="shared" si="15"/>
        <v/>
      </c>
      <c r="BR64" s="35">
        <f t="shared" si="55"/>
        <v>9</v>
      </c>
      <c r="BS64" s="35">
        <f t="shared" si="56"/>
        <v>9</v>
      </c>
      <c r="BT64" s="35">
        <f t="shared" si="57"/>
        <v>9</v>
      </c>
      <c r="BW64" s="40"/>
      <c r="BX64" s="40"/>
      <c r="BY64" s="40"/>
      <c r="BZ64" s="40"/>
      <c r="CA64" s="40"/>
      <c r="CB64" s="40"/>
    </row>
    <row r="65" spans="1:87" ht="15.75" thickBot="1">
      <c r="A65">
        <v>57</v>
      </c>
      <c r="D65" s="550" t="s">
        <v>742</v>
      </c>
      <c r="E65" s="551"/>
      <c r="F65" s="751"/>
      <c r="G65" s="751"/>
      <c r="H65" s="751"/>
      <c r="I65" s="751"/>
      <c r="J65" s="751"/>
      <c r="K65" s="751"/>
      <c r="L65" s="751"/>
      <c r="M65" s="751"/>
      <c r="N65" s="751"/>
      <c r="O65" s="751"/>
      <c r="P65" s="751"/>
      <c r="Q65" s="751"/>
      <c r="R65" s="751"/>
      <c r="T65" s="767"/>
      <c r="U65" s="548"/>
      <c r="V65" s="547"/>
      <c r="W65" s="547"/>
      <c r="X65" s="760"/>
      <c r="Y65" s="913"/>
      <c r="Z65" s="894"/>
      <c r="AA65" s="761"/>
      <c r="AB65" s="762"/>
      <c r="AD65" s="141">
        <f t="shared" si="69"/>
        <v>0</v>
      </c>
      <c r="AE65" s="765"/>
      <c r="AF65" s="765"/>
      <c r="AG65" s="765"/>
      <c r="AI65" s="562"/>
      <c r="AJ65" s="562"/>
      <c r="AK65" s="562"/>
      <c r="AM65" s="252"/>
      <c r="AN65" s="253"/>
      <c r="AO65" s="253"/>
      <c r="AP65" s="253"/>
      <c r="AQ65" s="254"/>
      <c r="AS65" s="252"/>
      <c r="AT65" s="253"/>
      <c r="AU65" s="253"/>
      <c r="AV65" s="253"/>
      <c r="AW65" s="254"/>
      <c r="AY65" s="163"/>
      <c r="AZ65" s="184"/>
      <c r="BA65" s="184"/>
      <c r="BB65" s="184"/>
      <c r="BC65" s="185"/>
      <c r="BD65" s="163">
        <f t="shared" si="60"/>
        <v>9</v>
      </c>
      <c r="BE65" s="37" t="str">
        <f t="shared" si="71"/>
        <v>N/A</v>
      </c>
      <c r="BF65" s="164"/>
      <c r="BG65" s="163">
        <f t="shared" si="72"/>
        <v>9</v>
      </c>
      <c r="BH65" s="37" t="str">
        <f t="shared" si="73"/>
        <v>N/A</v>
      </c>
      <c r="BI65" s="164"/>
      <c r="BJ65" s="163">
        <f t="shared" si="28"/>
        <v>9</v>
      </c>
      <c r="BK65" s="37" t="str">
        <f t="shared" si="74"/>
        <v>N/A</v>
      </c>
      <c r="BL65" s="164"/>
      <c r="BO65" s="35"/>
      <c r="BP65" s="35"/>
      <c r="BQ65" s="35" t="str">
        <f t="shared" si="15"/>
        <v/>
      </c>
      <c r="BR65" s="35">
        <f t="shared" si="55"/>
        <v>9</v>
      </c>
      <c r="BS65" s="35">
        <f t="shared" si="56"/>
        <v>9</v>
      </c>
      <c r="BT65" s="35">
        <f t="shared" si="57"/>
        <v>9</v>
      </c>
      <c r="BW65" s="40" t="str">
        <f>D65</f>
        <v>Hea 09</v>
      </c>
      <c r="BX65" s="40" t="str">
        <f>IFERROR(VLOOKUP($E65,'Pre-Assessment Estimator'!$E$11:$AB$227,'Pre-Assessment Estimator'!AB$2,FALSE),"")</f>
        <v/>
      </c>
      <c r="BY65" s="40" t="str">
        <f>IFERROR(VLOOKUP($E65,'Pre-Assessment Estimator'!$E$11:$AI$227,'Pre-Assessment Estimator'!AI$2,FALSE),"")</f>
        <v/>
      </c>
      <c r="BZ65" s="40" t="str">
        <f t="shared" ref="BZ65:CA69" si="126">IFERROR(VLOOKUP($BX65,$E$293:$H$326,F$291,FALSE),"")</f>
        <v/>
      </c>
      <c r="CA65" s="40" t="str">
        <f t="shared" si="126"/>
        <v/>
      </c>
      <c r="CB65" s="40"/>
      <c r="CC65" t="str">
        <f>IFERROR(VLOOKUP($BX65,$E$293:$H$326,I$291,FALSE),"")</f>
        <v/>
      </c>
    </row>
    <row r="66" spans="1:87" ht="15.75" thickBot="1">
      <c r="A66">
        <v>58</v>
      </c>
      <c r="B66" t="s">
        <v>330</v>
      </c>
      <c r="D66" s="165"/>
      <c r="E66" s="42" t="s">
        <v>725</v>
      </c>
      <c r="F66" s="611">
        <f>F39+F46+F51+F56+F59+F63</f>
        <v>19</v>
      </c>
      <c r="G66" s="611">
        <f t="shared" ref="G66:R66" si="127">G39+G46+G51+G56+G59+G63</f>
        <v>19</v>
      </c>
      <c r="H66" s="611">
        <f t="shared" si="127"/>
        <v>20</v>
      </c>
      <c r="I66" s="611">
        <f t="shared" si="127"/>
        <v>19</v>
      </c>
      <c r="J66" s="611">
        <f t="shared" si="127"/>
        <v>19</v>
      </c>
      <c r="K66" s="611">
        <f t="shared" si="127"/>
        <v>19</v>
      </c>
      <c r="L66" s="611">
        <f t="shared" si="127"/>
        <v>19</v>
      </c>
      <c r="M66" s="611">
        <f t="shared" si="127"/>
        <v>21</v>
      </c>
      <c r="N66" s="611">
        <f t="shared" si="127"/>
        <v>20</v>
      </c>
      <c r="O66" s="611">
        <f t="shared" si="127"/>
        <v>19</v>
      </c>
      <c r="P66" s="611">
        <f t="shared" si="127"/>
        <v>19</v>
      </c>
      <c r="Q66" s="611">
        <f t="shared" ref="Q66" si="128">Q39+Q46+Q51+Q56+Q59+Q63</f>
        <v>19</v>
      </c>
      <c r="R66" s="611">
        <f t="shared" si="127"/>
        <v>19</v>
      </c>
      <c r="T66" s="186">
        <f>HLOOKUP($E$6,$F$9:$R$231,$A66,FALSE)</f>
        <v>19</v>
      </c>
      <c r="U66" s="167"/>
      <c r="V66" s="168"/>
      <c r="W66" s="168"/>
      <c r="X66" s="168"/>
      <c r="Y66" s="912"/>
      <c r="Z66" s="169"/>
      <c r="AA66" s="611">
        <f t="shared" ref="AA66:AG66" si="129">AA39+AA46+AA51+AA56+AA59+AA63</f>
        <v>0</v>
      </c>
      <c r="AB66" s="611">
        <f t="shared" si="129"/>
        <v>19</v>
      </c>
      <c r="AD66" s="171">
        <f t="shared" si="129"/>
        <v>0.16000000000000003</v>
      </c>
      <c r="AE66" s="171">
        <f t="shared" si="129"/>
        <v>0</v>
      </c>
      <c r="AF66" s="171">
        <f t="shared" si="129"/>
        <v>0</v>
      </c>
      <c r="AG66" s="171">
        <f t="shared" si="129"/>
        <v>0</v>
      </c>
      <c r="AI66" s="64">
        <f t="shared" ref="AI66:AK66" si="130">AI39+AI46+AI51+AI56+AI59+AI63</f>
        <v>0</v>
      </c>
      <c r="AJ66" s="64">
        <f t="shared" si="130"/>
        <v>0</v>
      </c>
      <c r="AK66" s="64">
        <f t="shared" si="130"/>
        <v>0</v>
      </c>
      <c r="AM66" s="114"/>
      <c r="AN66" s="114"/>
      <c r="AO66" s="114"/>
      <c r="AP66" s="114"/>
      <c r="AQ66" s="114"/>
      <c r="AS66" s="114"/>
      <c r="AT66" s="114"/>
      <c r="AU66" s="114"/>
      <c r="AV66" s="114"/>
      <c r="AW66" s="114"/>
      <c r="AZ66" s="172"/>
      <c r="BW66" s="42"/>
      <c r="BX66" s="42" t="str">
        <f>IFERROR(VLOOKUP($E66,'Pre-Assessment Estimator'!$E$11:$AB$227,'Pre-Assessment Estimator'!AB$2,FALSE),"")</f>
        <v/>
      </c>
      <c r="BY66" s="42" t="str">
        <f>IFERROR(VLOOKUP($E66,'Pre-Assessment Estimator'!$E$11:$AI$227,'Pre-Assessment Estimator'!AI$2,FALSE),"")</f>
        <v/>
      </c>
      <c r="BZ66" s="42" t="str">
        <f t="shared" si="126"/>
        <v/>
      </c>
      <c r="CA66" s="42" t="str">
        <f t="shared" si="126"/>
        <v/>
      </c>
      <c r="CB66" s="42"/>
      <c r="CC66" t="str">
        <f>IFERROR(VLOOKUP($BX66,$E$293:$H$326,I$291,FALSE),"")</f>
        <v/>
      </c>
    </row>
    <row r="67" spans="1:87" ht="15.75" thickBot="1">
      <c r="A67">
        <v>59</v>
      </c>
      <c r="AI67" s="1"/>
      <c r="AJ67" s="1"/>
      <c r="AK67" s="1"/>
      <c r="AM67" s="114"/>
      <c r="AN67" s="114"/>
      <c r="AO67" s="114"/>
      <c r="AP67" s="114"/>
      <c r="AQ67" s="114"/>
      <c r="AS67" s="114"/>
      <c r="AT67" s="114"/>
      <c r="AU67" s="114"/>
      <c r="AV67" s="114"/>
      <c r="AW67" s="114"/>
      <c r="BX67" t="str">
        <f>IFERROR(VLOOKUP($E67,'Pre-Assessment Estimator'!$E$11:$AB$227,'Pre-Assessment Estimator'!AB$2,FALSE),"")</f>
        <v/>
      </c>
      <c r="BY67" t="str">
        <f>IFERROR(VLOOKUP($E67,'Pre-Assessment Estimator'!$E$11:$AI$227,'Pre-Assessment Estimator'!AI$2,FALSE),"")</f>
        <v/>
      </c>
      <c r="BZ67" t="str">
        <f t="shared" si="126"/>
        <v/>
      </c>
      <c r="CA67" t="str">
        <f t="shared" si="126"/>
        <v/>
      </c>
      <c r="CC67" t="str">
        <f>IFERROR(VLOOKUP($BX67,$E$293:$H$326,I$291,FALSE),"")</f>
        <v/>
      </c>
    </row>
    <row r="68" spans="1:87" ht="60.75" thickBot="1">
      <c r="A68">
        <v>60</v>
      </c>
      <c r="D68" s="118"/>
      <c r="E68" s="39" t="s">
        <v>332</v>
      </c>
      <c r="F68" s="964" t="str">
        <f>$F$9</f>
        <v>Office</v>
      </c>
      <c r="G68" s="964" t="str">
        <f>$G$9</f>
        <v>Retail</v>
      </c>
      <c r="H68" s="968" t="str">
        <f>$H$9</f>
        <v>Residential</v>
      </c>
      <c r="I68" s="964" t="str">
        <f>$I$9</f>
        <v>Industrial</v>
      </c>
      <c r="J68" s="966" t="str">
        <f>$J$9</f>
        <v>Healthcare</v>
      </c>
      <c r="K68" s="966" t="str">
        <f>$K$9</f>
        <v>Prison</v>
      </c>
      <c r="L68" s="966" t="str">
        <f>$L$9</f>
        <v>Law Court</v>
      </c>
      <c r="M68" s="970" t="str">
        <f>$M$9</f>
        <v>Residential institution (long term stay)</v>
      </c>
      <c r="N68" s="733" t="str">
        <f>$N$9</f>
        <v>Residential institution (short term stay)</v>
      </c>
      <c r="O68" s="733" t="str">
        <f>$O$9</f>
        <v>Non-residential institution</v>
      </c>
      <c r="P68" s="733" t="str">
        <f>$P$9</f>
        <v>Assembly and leisure</v>
      </c>
      <c r="Q68" s="966" t="str">
        <f>$Q$9</f>
        <v>Education</v>
      </c>
      <c r="R68" s="683" t="str">
        <f>$R$9</f>
        <v>Other</v>
      </c>
      <c r="T68" s="113" t="str">
        <f>$E$6</f>
        <v>Office</v>
      </c>
      <c r="U68" s="173"/>
      <c r="V68" s="174"/>
      <c r="W68" s="174"/>
      <c r="X68" s="174"/>
      <c r="Y68" s="900" t="s">
        <v>871</v>
      </c>
      <c r="Z68" s="295" t="s">
        <v>25</v>
      </c>
      <c r="AA68" s="122" t="s">
        <v>725</v>
      </c>
      <c r="AB68" s="45" t="s">
        <v>860</v>
      </c>
      <c r="AI68" s="28"/>
      <c r="AJ68" s="46"/>
      <c r="AK68" s="46"/>
      <c r="AM68" s="114"/>
      <c r="AN68" s="114"/>
      <c r="AO68" s="114"/>
      <c r="AP68" s="114"/>
      <c r="AQ68" s="114"/>
      <c r="AS68" s="114"/>
      <c r="AT68" s="114"/>
      <c r="AU68" s="114"/>
      <c r="AV68" s="114"/>
      <c r="AW68" s="114"/>
      <c r="BO68" s="46"/>
      <c r="BP68" s="46"/>
      <c r="BQ68" s="46"/>
      <c r="BR68" s="46"/>
      <c r="BS68" s="46"/>
      <c r="BT68" s="46"/>
      <c r="BW68" s="39"/>
      <c r="BX68" s="39" t="str">
        <f>E68</f>
        <v>Energy</v>
      </c>
      <c r="BY68" s="39">
        <f>IFERROR(VLOOKUP($E68,'Pre-Assessment Estimator'!$E$11:$AI$227,'Pre-Assessment Estimator'!AI$2,FALSE),"")</f>
        <v>0</v>
      </c>
      <c r="BZ68" s="39" t="str">
        <f t="shared" si="126"/>
        <v/>
      </c>
      <c r="CA68" s="39" t="str">
        <f t="shared" si="126"/>
        <v/>
      </c>
      <c r="CB68" s="39"/>
      <c r="CC68" t="str">
        <f>IFERROR(VLOOKUP($BX68,$E$293:$H$326,I$291,FALSE),"")</f>
        <v/>
      </c>
    </row>
    <row r="69" spans="1:87">
      <c r="A69">
        <v>61</v>
      </c>
      <c r="B69" s="112" t="str">
        <f>D69</f>
        <v>Ene 01</v>
      </c>
      <c r="C69" s="112" t="str">
        <f>B69</f>
        <v>Ene 01</v>
      </c>
      <c r="D69" s="662" t="s">
        <v>334</v>
      </c>
      <c r="E69" s="660" t="s">
        <v>335</v>
      </c>
      <c r="F69" s="748">
        <f t="shared" ref="F69:R69" si="131">SUM(F70:F74)</f>
        <v>12</v>
      </c>
      <c r="G69" s="748">
        <f t="shared" si="131"/>
        <v>12</v>
      </c>
      <c r="H69" s="748">
        <f t="shared" si="131"/>
        <v>12</v>
      </c>
      <c r="I69" s="748">
        <f t="shared" si="131"/>
        <v>12</v>
      </c>
      <c r="J69" s="748">
        <f t="shared" si="131"/>
        <v>12</v>
      </c>
      <c r="K69" s="748">
        <f t="shared" si="131"/>
        <v>12</v>
      </c>
      <c r="L69" s="748">
        <f t="shared" si="131"/>
        <v>12</v>
      </c>
      <c r="M69" s="748">
        <f t="shared" si="131"/>
        <v>12</v>
      </c>
      <c r="N69" s="748">
        <f t="shared" si="131"/>
        <v>12</v>
      </c>
      <c r="O69" s="748">
        <f t="shared" si="131"/>
        <v>12</v>
      </c>
      <c r="P69" s="748">
        <f t="shared" si="131"/>
        <v>12</v>
      </c>
      <c r="Q69" s="748">
        <f t="shared" ref="Q69" si="132">SUM(Q70:Q74)</f>
        <v>12</v>
      </c>
      <c r="R69" s="748">
        <f t="shared" si="131"/>
        <v>12</v>
      </c>
      <c r="T69" s="122">
        <f t="shared" ref="T69:T81" si="133">HLOOKUP($E$6,$F$9:$R$231,$A69,FALSE)</f>
        <v>12</v>
      </c>
      <c r="U69" s="182"/>
      <c r="V69" s="53"/>
      <c r="W69" s="53"/>
      <c r="X69" s="53">
        <f>'Manuell filtrering og justering'!E29</f>
        <v>0</v>
      </c>
      <c r="Y69" s="53"/>
      <c r="Z69" s="763">
        <f t="shared" ref="Z69:AB69" si="134">SUM(Z70:Z74)</f>
        <v>24</v>
      </c>
      <c r="AA69" s="768">
        <f t="shared" ref="AA69:AA79" si="135">IF(SUM(U69:Y69)&gt;T69,T69,SUM(U69:Y69))</f>
        <v>0</v>
      </c>
      <c r="AB69" s="820">
        <f t="shared" si="134"/>
        <v>12</v>
      </c>
      <c r="AD69" s="141">
        <f t="shared" ref="AD69:AD96" si="136">(Ene_Weight/Ene_Credits)*AB69</f>
        <v>6.2222222222222234E-2</v>
      </c>
      <c r="AE69" s="736">
        <f>SUM(AE70:AE74)</f>
        <v>0</v>
      </c>
      <c r="AF69" s="736">
        <f t="shared" ref="AF69:AG69" si="137">SUM(AF70:AF74)</f>
        <v>0</v>
      </c>
      <c r="AG69" s="736">
        <f t="shared" si="137"/>
        <v>0</v>
      </c>
      <c r="AI69" s="763">
        <f t="shared" ref="AI69:AK69" si="138">SUM(AI70:AI74)</f>
        <v>0</v>
      </c>
      <c r="AJ69" s="763">
        <f t="shared" si="138"/>
        <v>0</v>
      </c>
      <c r="AK69" s="763">
        <f t="shared" si="138"/>
        <v>0</v>
      </c>
      <c r="AM69" s="143"/>
      <c r="AN69" s="241"/>
      <c r="AO69" s="241"/>
      <c r="AP69" s="250"/>
      <c r="AQ69" s="251"/>
      <c r="AS69" s="249"/>
      <c r="AT69" s="250"/>
      <c r="AU69" s="250"/>
      <c r="AV69" s="250"/>
      <c r="AW69" s="251"/>
      <c r="AY69" s="144"/>
      <c r="AZ69" s="145"/>
      <c r="BA69" s="145"/>
      <c r="BB69" s="145"/>
      <c r="BC69" s="188"/>
      <c r="BD69" s="144">
        <f t="shared" si="60"/>
        <v>9</v>
      </c>
      <c r="BE69" s="37" t="str">
        <f t="shared" ref="BE69:BE96" si="139">VLOOKUP(BD69,$BO$284:$BT$290,6,FALSE)</f>
        <v>N/A</v>
      </c>
      <c r="BF69" s="148"/>
      <c r="BG69" s="144">
        <f t="shared" ref="BG69:BG96" si="140">IF(BC69=0,9,IF(AJ69&gt;=BC69,5,IF(AJ69&gt;=BB69,4,IF(AJ69&gt;=BA69,3,IF(AJ69&gt;=AZ69,2,IF(AJ69&lt;AY69,0,1))))))</f>
        <v>9</v>
      </c>
      <c r="BH69" s="37" t="str">
        <f t="shared" ref="BH69:BH96" si="141">VLOOKUP(BG69,$BO$284:$BT$290,6,FALSE)</f>
        <v>N/A</v>
      </c>
      <c r="BI69" s="148"/>
      <c r="BJ69" s="144">
        <f t="shared" si="28"/>
        <v>9</v>
      </c>
      <c r="BK69" s="37" t="str">
        <f t="shared" ref="BK69:BK96" si="142">VLOOKUP(BJ69,$BO$284:$BT$290,6,FALSE)</f>
        <v>N/A</v>
      </c>
      <c r="BL69" s="148"/>
      <c r="BO69" s="35"/>
      <c r="BP69" s="35"/>
      <c r="BQ69" s="35" t="str">
        <f t="shared" si="15"/>
        <v/>
      </c>
      <c r="BR69" s="35">
        <f t="shared" si="55"/>
        <v>9</v>
      </c>
      <c r="BS69" s="35">
        <f t="shared" si="56"/>
        <v>9</v>
      </c>
      <c r="BT69" s="35">
        <f t="shared" si="57"/>
        <v>9</v>
      </c>
      <c r="BW69" s="37" t="str">
        <f>D69</f>
        <v>Ene 01</v>
      </c>
      <c r="BX69" s="37" t="str">
        <f>IFERROR(VLOOKUP($E69,'Pre-Assessment Estimator'!$E$11:$AB$227,'Pre-Assessment Estimator'!AB$2,FALSE),"")</f>
        <v>No</v>
      </c>
      <c r="BY69" s="37">
        <f>IFERROR(VLOOKUP($E69,'Pre-Assessment Estimator'!$E$11:$AI$227,'Pre-Assessment Estimator'!AI$2,FALSE),"")</f>
        <v>0</v>
      </c>
      <c r="BZ69" s="37">
        <f t="shared" si="126"/>
        <v>1</v>
      </c>
      <c r="CA69" s="37">
        <f t="shared" si="126"/>
        <v>0</v>
      </c>
      <c r="CB69" s="37"/>
      <c r="CC69" t="str">
        <f>IFERROR(VLOOKUP($BX69,$E$293:$H$326,I$291,FALSE),"")</f>
        <v/>
      </c>
    </row>
    <row r="70" spans="1:87">
      <c r="A70">
        <v>62</v>
      </c>
      <c r="B70" t="str">
        <f t="shared" ref="B70:B74" si="143">$D$69&amp;D70</f>
        <v>Ene 01a</v>
      </c>
      <c r="C70" t="str">
        <f t="shared" si="19"/>
        <v>Ene 01</v>
      </c>
      <c r="D70" s="135" t="s">
        <v>729</v>
      </c>
      <c r="E70" s="732" t="s">
        <v>604</v>
      </c>
      <c r="F70" s="607">
        <v>2</v>
      </c>
      <c r="G70" s="607">
        <v>2</v>
      </c>
      <c r="H70" s="607">
        <v>2</v>
      </c>
      <c r="I70" s="607">
        <v>2</v>
      </c>
      <c r="J70" s="607">
        <v>2</v>
      </c>
      <c r="K70" s="607">
        <v>2</v>
      </c>
      <c r="L70" s="607">
        <v>2</v>
      </c>
      <c r="M70" s="607">
        <v>2</v>
      </c>
      <c r="N70" s="607">
        <v>2</v>
      </c>
      <c r="O70" s="607">
        <v>2</v>
      </c>
      <c r="P70" s="607">
        <v>2</v>
      </c>
      <c r="Q70" s="607">
        <v>2</v>
      </c>
      <c r="R70" s="607">
        <v>2</v>
      </c>
      <c r="T70" s="139">
        <f t="shared" si="133"/>
        <v>2</v>
      </c>
      <c r="U70" s="137"/>
      <c r="V70" s="35"/>
      <c r="W70" s="35"/>
      <c r="X70" s="35"/>
      <c r="Y70" s="138"/>
      <c r="Z70" s="138">
        <f>VLOOKUP(B70,'Manuell filtrering og justering'!$A$7:$H$107,'Manuell filtrering og justering'!$H$1,FALSE)</f>
        <v>0</v>
      </c>
      <c r="AA70" s="139">
        <f t="shared" si="135"/>
        <v>0</v>
      </c>
      <c r="AB70" s="140">
        <f>IF($AC$5='Manuell filtrering og justering'!$J$2,Z70,(T70-AA70))</f>
        <v>2</v>
      </c>
      <c r="AD70" s="141">
        <f t="shared" si="136"/>
        <v>1.0370370370370372E-2</v>
      </c>
      <c r="AE70" s="141">
        <f t="shared" ref="AE70:AE96" si="144">IF(AB70=0,0,(AD70/AB70)*AI70)</f>
        <v>0</v>
      </c>
      <c r="AF70" s="141">
        <f t="shared" ref="AF70:AF96" si="145">IF(AB70=0,0,(AD70/AB70)*AJ70)</f>
        <v>0</v>
      </c>
      <c r="AG70" s="141">
        <f t="shared" ref="AG70:AG96" si="146">IF(AB70=0,0,(AD70/AB70)*AK70)</f>
        <v>0</v>
      </c>
      <c r="AI70" s="821">
        <f>IF(OR($AB$52=0,AND($AB$52&gt;0,AI52=$AB$52)),IF(VLOOKUP(E70,'Pre-Assessment Estimator'!$E$11:$Z$227,'Pre-Assessment Estimator'!$G$2,FALSE)&gt;AB70,AB70,VLOOKUP(E70,'Pre-Assessment Estimator'!$E$11:$Z$227,'Pre-Assessment Estimator'!$G$2,FALSE)),0)</f>
        <v>0</v>
      </c>
      <c r="AJ70" s="821">
        <f>IF(OR($AB$52=0,AND($AB$52&gt;0,AJ52=$AB$52)),IF(VLOOKUP(E70,'Pre-Assessment Estimator'!$E$11:$Z$227,'Pre-Assessment Estimator'!$N$2,FALSE)&gt;AB70,AB70,VLOOKUP(E70,'Pre-Assessment Estimator'!$E$11:$Z$227,'Pre-Assessment Estimator'!$N$2,FALSE)),0)</f>
        <v>0</v>
      </c>
      <c r="AK70" s="821">
        <f>IF(OR($AB$52=0,AND($AB$52&gt;0,AK52=$AB$52)),IF(VLOOKUP(E70,'Pre-Assessment Estimator'!$E$11:$Z$227,'Pre-Assessment Estimator'!$U$2,FALSE)&gt;AB70,AB70,VLOOKUP(E70,'Pre-Assessment Estimator'!$E$11:$Z$227,'Pre-Assessment Estimator'!$U$2,FALSE)),0)</f>
        <v>0</v>
      </c>
      <c r="AM70" s="655"/>
      <c r="AN70" s="656"/>
      <c r="AO70" s="656"/>
      <c r="AP70" s="665"/>
      <c r="AQ70" s="666"/>
      <c r="AS70" s="664"/>
      <c r="AT70" s="665"/>
      <c r="AU70" s="665"/>
      <c r="AV70" s="665"/>
      <c r="AW70" s="666"/>
      <c r="AY70" s="657"/>
      <c r="AZ70" s="658"/>
      <c r="BA70" s="658"/>
      <c r="BB70" s="658"/>
      <c r="BC70" s="676"/>
      <c r="BD70" s="151">
        <f t="shared" ref="BD70:BD74" si="147">IF(BC70=0,9,IF((AI70-CG70)&gt;=BC70,5,IF((AI70-CG70)&gt;=BB70,4,IF((AI70-CG70)&gt;=BA70,3,IF((AI70-CG70)&gt;=AZ70,2,IF((AI70-CG70)&lt;AY70,0,1))))))</f>
        <v>9</v>
      </c>
      <c r="BE70" s="37" t="str">
        <f t="shared" si="139"/>
        <v>N/A</v>
      </c>
      <c r="BF70" s="154"/>
      <c r="BG70" s="151">
        <f t="shared" ref="BG70:BG74" si="148">IF(BC70=0,9,IF((AJ70-CG70)&gt;=BC70,5,IF((AJ70-CG70)&gt;=BB70,4,IF((AJ70-CG70)&gt;=BA70,3,IF((AJ70-CG70)&gt;=AZ70,2,IF((AJ70-CG70)&lt;AY70,0,1))))))</f>
        <v>9</v>
      </c>
      <c r="BH70" s="37" t="str">
        <f t="shared" si="141"/>
        <v>N/A</v>
      </c>
      <c r="BI70" s="154"/>
      <c r="BJ70" s="151">
        <f t="shared" ref="BJ70:BJ74" si="149">IF(BC70=0,9,IF((AK70-CG70)&gt;=BC70,5,IF((AK70-CG70)&gt;=BB70,4,IF((AK70-CG70)&gt;=BA70,3,IF((AK70-CG70)&gt;=AZ70,2,IF((AK70-CG70)&lt;AY70,0,1))))))</f>
        <v>9</v>
      </c>
      <c r="BK70" s="37" t="str">
        <f t="shared" si="142"/>
        <v>N/A</v>
      </c>
      <c r="BL70" s="659"/>
      <c r="BO70" s="35"/>
      <c r="BP70" s="35"/>
      <c r="BQ70" s="35" t="str">
        <f t="shared" si="15"/>
        <v/>
      </c>
      <c r="BR70" s="35">
        <f t="shared" si="55"/>
        <v>9</v>
      </c>
      <c r="BS70" s="35">
        <f t="shared" si="56"/>
        <v>9</v>
      </c>
      <c r="BT70" s="35">
        <f t="shared" si="57"/>
        <v>9</v>
      </c>
      <c r="BW70" s="37"/>
      <c r="BX70" s="37"/>
      <c r="BY70" s="37"/>
      <c r="BZ70" s="37"/>
      <c r="CA70" s="37"/>
      <c r="CB70" s="37"/>
    </row>
    <row r="71" spans="1:87">
      <c r="A71">
        <v>63</v>
      </c>
      <c r="B71" t="str">
        <f t="shared" si="143"/>
        <v>Ene 01b</v>
      </c>
      <c r="C71" t="str">
        <f t="shared" si="19"/>
        <v>Ene 01</v>
      </c>
      <c r="D71" s="135" t="s">
        <v>730</v>
      </c>
      <c r="E71" s="857" t="s">
        <v>605</v>
      </c>
      <c r="F71" s="607">
        <v>1</v>
      </c>
      <c r="G71" s="607">
        <v>1</v>
      </c>
      <c r="H71" s="607">
        <v>1</v>
      </c>
      <c r="I71" s="607">
        <v>1</v>
      </c>
      <c r="J71" s="607">
        <v>1</v>
      </c>
      <c r="K71" s="607">
        <v>1</v>
      </c>
      <c r="L71" s="607">
        <v>1</v>
      </c>
      <c r="M71" s="607">
        <v>1</v>
      </c>
      <c r="N71" s="607">
        <v>1</v>
      </c>
      <c r="O71" s="607">
        <v>1</v>
      </c>
      <c r="P71" s="607">
        <v>1</v>
      </c>
      <c r="Q71" s="607">
        <v>1</v>
      </c>
      <c r="R71" s="607">
        <v>1</v>
      </c>
      <c r="T71" s="139">
        <f t="shared" si="133"/>
        <v>1</v>
      </c>
      <c r="U71" s="137"/>
      <c r="V71" s="35"/>
      <c r="W71" s="35"/>
      <c r="X71" s="35"/>
      <c r="Y71" s="138"/>
      <c r="Z71" s="138">
        <f>VLOOKUP(B71,'Manuell filtrering og justering'!$A$7:$H$107,'Manuell filtrering og justering'!$H$1,FALSE)</f>
        <v>1</v>
      </c>
      <c r="AA71" s="139">
        <f t="shared" si="135"/>
        <v>0</v>
      </c>
      <c r="AB71" s="140">
        <f>IF($AC$5='Manuell filtrering og justering'!$J$2,Z71,(T71-AA71))</f>
        <v>1</v>
      </c>
      <c r="AD71" s="141">
        <f t="shared" si="136"/>
        <v>5.1851851851851859E-3</v>
      </c>
      <c r="AE71" s="141">
        <f t="shared" si="144"/>
        <v>0</v>
      </c>
      <c r="AF71" s="141">
        <f t="shared" si="145"/>
        <v>0</v>
      </c>
      <c r="AG71" s="141">
        <f t="shared" si="146"/>
        <v>0</v>
      </c>
      <c r="AI71" s="142">
        <f>IF(VLOOKUP(E71,'Pre-Assessment Estimator'!$E$11:$Z$227,'Pre-Assessment Estimator'!$G$2,FALSE)&gt;AB71,AB71,VLOOKUP(E71,'Pre-Assessment Estimator'!$E$11:$Z$227,'Pre-Assessment Estimator'!$G$2,FALSE))</f>
        <v>0</v>
      </c>
      <c r="AJ71" s="142">
        <f>IF(VLOOKUP(E71,'Pre-Assessment Estimator'!$E$11:$Z$227,'Pre-Assessment Estimator'!$N$2,FALSE)&gt;AB71,AB71,VLOOKUP(E71,'Pre-Assessment Estimator'!$E$11:$Z$227,'Pre-Assessment Estimator'!$N$2,FALSE))</f>
        <v>0</v>
      </c>
      <c r="AK71" s="142">
        <f>IF(VLOOKUP(E71,'Pre-Assessment Estimator'!$E$11:$Z$227,'Pre-Assessment Estimator'!$U$2,FALSE)&gt;AB71,AB71,VLOOKUP(E71,'Pre-Assessment Estimator'!$E$11:$Z$227,'Pre-Assessment Estimator'!$U$2,FALSE))</f>
        <v>0</v>
      </c>
      <c r="AM71" s="655"/>
      <c r="AN71" s="656"/>
      <c r="AO71" s="656"/>
      <c r="AP71" s="665"/>
      <c r="AQ71" s="666"/>
      <c r="AS71" s="664"/>
      <c r="AT71" s="665"/>
      <c r="AU71" s="665"/>
      <c r="AV71" s="665"/>
      <c r="AW71" s="666"/>
      <c r="AY71" s="657"/>
      <c r="AZ71" s="658"/>
      <c r="BA71" s="658"/>
      <c r="BB71" s="658"/>
      <c r="BC71" s="676"/>
      <c r="BD71" s="151">
        <f t="shared" si="147"/>
        <v>9</v>
      </c>
      <c r="BE71" s="37" t="str">
        <f t="shared" si="139"/>
        <v>N/A</v>
      </c>
      <c r="BF71" s="154"/>
      <c r="BG71" s="151">
        <f t="shared" si="148"/>
        <v>9</v>
      </c>
      <c r="BH71" s="37" t="str">
        <f t="shared" si="141"/>
        <v>N/A</v>
      </c>
      <c r="BI71" s="154"/>
      <c r="BJ71" s="151">
        <f t="shared" si="149"/>
        <v>9</v>
      </c>
      <c r="BK71" s="37" t="str">
        <f t="shared" si="142"/>
        <v>N/A</v>
      </c>
      <c r="BL71" s="659"/>
      <c r="BO71" s="35"/>
      <c r="BP71" s="35"/>
      <c r="BQ71" s="35" t="str">
        <f t="shared" si="15"/>
        <v/>
      </c>
      <c r="BR71" s="35">
        <f t="shared" si="55"/>
        <v>9</v>
      </c>
      <c r="BS71" s="35">
        <f t="shared" si="56"/>
        <v>9</v>
      </c>
      <c r="BT71" s="35">
        <f t="shared" si="57"/>
        <v>9</v>
      </c>
      <c r="BW71" s="37"/>
      <c r="BX71" s="37"/>
      <c r="BY71" s="37"/>
      <c r="BZ71" s="37"/>
      <c r="CA71" s="37"/>
      <c r="CB71" s="37"/>
    </row>
    <row r="72" spans="1:87">
      <c r="A72">
        <v>64</v>
      </c>
      <c r="B72" t="str">
        <f t="shared" si="143"/>
        <v>Ene 01c</v>
      </c>
      <c r="C72" t="str">
        <f t="shared" si="19"/>
        <v>Ene 01</v>
      </c>
      <c r="D72" s="135" t="s">
        <v>731</v>
      </c>
      <c r="E72" s="857" t="s">
        <v>606</v>
      </c>
      <c r="F72" s="607">
        <v>4</v>
      </c>
      <c r="G72" s="607">
        <v>4</v>
      </c>
      <c r="H72" s="607">
        <v>4</v>
      </c>
      <c r="I72" s="607">
        <v>4</v>
      </c>
      <c r="J72" s="607">
        <v>4</v>
      </c>
      <c r="K72" s="607">
        <v>4</v>
      </c>
      <c r="L72" s="607">
        <v>4</v>
      </c>
      <c r="M72" s="607">
        <v>4</v>
      </c>
      <c r="N72" s="607">
        <v>4</v>
      </c>
      <c r="O72" s="607">
        <v>4</v>
      </c>
      <c r="P72" s="607">
        <v>4</v>
      </c>
      <c r="Q72" s="607">
        <v>4</v>
      </c>
      <c r="R72" s="607">
        <v>4</v>
      </c>
      <c r="T72" s="139">
        <f t="shared" si="133"/>
        <v>4</v>
      </c>
      <c r="U72" s="137"/>
      <c r="V72" s="35"/>
      <c r="W72" s="35"/>
      <c r="X72" s="35"/>
      <c r="Y72" s="138"/>
      <c r="Z72" s="138">
        <f>VLOOKUP(B72,'Manuell filtrering og justering'!$A$7:$H$107,'Manuell filtrering og justering'!$H$1,FALSE)</f>
        <v>22</v>
      </c>
      <c r="AA72" s="139">
        <f t="shared" si="135"/>
        <v>0</v>
      </c>
      <c r="AB72" s="140">
        <f>IF($AC$5='Manuell filtrering og justering'!$J$2,Z72,(T72-AA72))</f>
        <v>4</v>
      </c>
      <c r="AD72" s="141">
        <f t="shared" si="136"/>
        <v>2.0740740740740744E-2</v>
      </c>
      <c r="AE72" s="141">
        <f t="shared" si="144"/>
        <v>0</v>
      </c>
      <c r="AF72" s="141">
        <f t="shared" si="145"/>
        <v>0</v>
      </c>
      <c r="AG72" s="141">
        <f t="shared" si="146"/>
        <v>0</v>
      </c>
      <c r="AI72" s="142">
        <f>IF(VLOOKUP(E72,'Pre-Assessment Estimator'!$E$11:$Z$227,'Pre-Assessment Estimator'!$G$2,FALSE)&gt;AB72,AB72,VLOOKUP(E72,'Pre-Assessment Estimator'!$E$11:$Z$227,'Pre-Assessment Estimator'!$G$2,FALSE))</f>
        <v>0</v>
      </c>
      <c r="AJ72" s="142">
        <f>IF(VLOOKUP(E72,'Pre-Assessment Estimator'!$E$11:$Z$227,'Pre-Assessment Estimator'!$N$2,FALSE)&gt;AB72,AB72,VLOOKUP(E72,'Pre-Assessment Estimator'!$E$11:$Z$227,'Pre-Assessment Estimator'!$N$2,FALSE))</f>
        <v>0</v>
      </c>
      <c r="AK72" s="142">
        <f>IF(VLOOKUP(E72,'Pre-Assessment Estimator'!$E$11:$Z$227,'Pre-Assessment Estimator'!$U$2,FALSE)&gt;AB72,AB72,VLOOKUP(E72,'Pre-Assessment Estimator'!$E$11:$Z$227,'Pre-Assessment Estimator'!$U$2,FALSE))</f>
        <v>0</v>
      </c>
      <c r="AM72" s="655"/>
      <c r="AN72" s="656"/>
      <c r="AO72" s="656"/>
      <c r="AP72" s="665">
        <v>1</v>
      </c>
      <c r="AQ72" s="666">
        <v>1</v>
      </c>
      <c r="AS72" s="664"/>
      <c r="AT72" s="665"/>
      <c r="AU72" s="665"/>
      <c r="AV72" s="665">
        <v>1</v>
      </c>
      <c r="AW72" s="666">
        <v>1</v>
      </c>
      <c r="AY72" s="657"/>
      <c r="AZ72" s="658"/>
      <c r="BA72" s="658"/>
      <c r="BB72" s="152">
        <f t="shared" ref="BB72" si="150">IF($E$6=$H$9,AV72,AP72)</f>
        <v>1</v>
      </c>
      <c r="BC72" s="156">
        <f>IF($E$6=$H$9,AW72,AQ72)</f>
        <v>1</v>
      </c>
      <c r="BD72" s="151">
        <f t="shared" si="147"/>
        <v>3</v>
      </c>
      <c r="BE72" s="37" t="str">
        <f t="shared" si="139"/>
        <v>Very Good</v>
      </c>
      <c r="BF72" s="154"/>
      <c r="BG72" s="151">
        <f t="shared" si="148"/>
        <v>3</v>
      </c>
      <c r="BH72" s="37" t="str">
        <f t="shared" si="141"/>
        <v>Very Good</v>
      </c>
      <c r="BI72" s="154"/>
      <c r="BJ72" s="151">
        <f t="shared" si="149"/>
        <v>3</v>
      </c>
      <c r="BK72" s="37" t="str">
        <f t="shared" si="142"/>
        <v>Very Good</v>
      </c>
      <c r="BL72" s="659"/>
      <c r="BO72" s="35"/>
      <c r="BP72" s="35"/>
      <c r="BQ72" s="35" t="str">
        <f t="shared" si="15"/>
        <v/>
      </c>
      <c r="BR72" s="35">
        <f t="shared" si="55"/>
        <v>9</v>
      </c>
      <c r="BS72" s="35">
        <f t="shared" si="56"/>
        <v>9</v>
      </c>
      <c r="BT72" s="35">
        <f t="shared" si="57"/>
        <v>9</v>
      </c>
      <c r="BW72" s="37"/>
      <c r="BX72" s="37"/>
      <c r="BY72" s="37"/>
      <c r="BZ72" s="37"/>
      <c r="CA72" s="37"/>
      <c r="CB72" s="37"/>
    </row>
    <row r="73" spans="1:87">
      <c r="A73">
        <v>65</v>
      </c>
      <c r="B73" t="str">
        <f t="shared" si="143"/>
        <v>Ene 01d</v>
      </c>
      <c r="C73" t="str">
        <f t="shared" si="19"/>
        <v>Ene 01</v>
      </c>
      <c r="D73" s="135" t="s">
        <v>732</v>
      </c>
      <c r="E73" s="971" t="s">
        <v>903</v>
      </c>
      <c r="F73" s="607">
        <v>1</v>
      </c>
      <c r="G73" s="607">
        <v>1</v>
      </c>
      <c r="H73" s="607">
        <v>1</v>
      </c>
      <c r="I73" s="607">
        <v>1</v>
      </c>
      <c r="J73" s="607">
        <v>1</v>
      </c>
      <c r="K73" s="607">
        <v>1</v>
      </c>
      <c r="L73" s="607">
        <v>1</v>
      </c>
      <c r="M73" s="607">
        <v>1</v>
      </c>
      <c r="N73" s="607">
        <v>1</v>
      </c>
      <c r="O73" s="607">
        <v>1</v>
      </c>
      <c r="P73" s="607">
        <v>1</v>
      </c>
      <c r="Q73" s="607">
        <v>1</v>
      </c>
      <c r="R73" s="607">
        <v>1</v>
      </c>
      <c r="T73" s="139">
        <f t="shared" si="133"/>
        <v>1</v>
      </c>
      <c r="U73" s="137"/>
      <c r="V73" s="35"/>
      <c r="W73" s="35"/>
      <c r="X73" s="35"/>
      <c r="Y73" s="138"/>
      <c r="Z73" s="138">
        <f>VLOOKUP(B73,'Manuell filtrering og justering'!$A$7:$H$107,'Manuell filtrering og justering'!$H$1,FALSE)</f>
        <v>1</v>
      </c>
      <c r="AA73" s="139">
        <f t="shared" si="135"/>
        <v>0</v>
      </c>
      <c r="AB73" s="140">
        <f>IF($AC$5='Manuell filtrering og justering'!$J$2,Z73,(T73-AA73))</f>
        <v>1</v>
      </c>
      <c r="AD73" s="141">
        <f t="shared" si="136"/>
        <v>5.1851851851851859E-3</v>
      </c>
      <c r="AE73" s="141">
        <f t="shared" si="144"/>
        <v>0</v>
      </c>
      <c r="AF73" s="141">
        <f t="shared" si="145"/>
        <v>0</v>
      </c>
      <c r="AG73" s="141">
        <f t="shared" si="146"/>
        <v>0</v>
      </c>
      <c r="AI73" s="142">
        <f>IF(VLOOKUP(E73,'Pre-Assessment Estimator'!$E$11:$Z$227,'Pre-Assessment Estimator'!$G$2,FALSE)&gt;AB73,AB73,VLOOKUP(E73,'Pre-Assessment Estimator'!$E$11:$Z$227,'Pre-Assessment Estimator'!$G$2,FALSE))</f>
        <v>0</v>
      </c>
      <c r="AJ73" s="142">
        <f>IF(VLOOKUP(E73,'Pre-Assessment Estimator'!$E$11:$Z$227,'Pre-Assessment Estimator'!$N$2,FALSE)&gt;AB73,AB73,VLOOKUP(E73,'Pre-Assessment Estimator'!$E$11:$Z$227,'Pre-Assessment Estimator'!$N$2,FALSE))</f>
        <v>0</v>
      </c>
      <c r="AK73" s="142">
        <f>IF(VLOOKUP(E73,'Pre-Assessment Estimator'!$E$11:$Z$227,'Pre-Assessment Estimator'!$U$2,FALSE)&gt;AB73,AB73,VLOOKUP(E73,'Pre-Assessment Estimator'!$E$11:$Z$227,'Pre-Assessment Estimator'!$U$2,FALSE))</f>
        <v>0</v>
      </c>
      <c r="AM73" s="655"/>
      <c r="AN73" s="656"/>
      <c r="AO73" s="656"/>
      <c r="AP73" s="665">
        <v>1</v>
      </c>
      <c r="AQ73" s="666">
        <v>1</v>
      </c>
      <c r="AS73" s="664"/>
      <c r="AT73" s="665"/>
      <c r="AU73" s="665"/>
      <c r="AV73" s="665">
        <v>1</v>
      </c>
      <c r="AW73" s="666">
        <v>1</v>
      </c>
      <c r="AY73" s="657"/>
      <c r="AZ73" s="658"/>
      <c r="BA73" s="658"/>
      <c r="BB73" s="152">
        <f t="shared" ref="BB73" si="151">IF($E$6=$H$9,AV73,AP73)</f>
        <v>1</v>
      </c>
      <c r="BC73" s="156">
        <f>IF($E$6=$H$9,AW73,AQ73)</f>
        <v>1</v>
      </c>
      <c r="BD73" s="151">
        <f t="shared" si="147"/>
        <v>3</v>
      </c>
      <c r="BE73" s="37" t="str">
        <f t="shared" si="139"/>
        <v>Very Good</v>
      </c>
      <c r="BF73" s="154"/>
      <c r="BG73" s="151">
        <f t="shared" si="148"/>
        <v>3</v>
      </c>
      <c r="BH73" s="37" t="str">
        <f t="shared" si="141"/>
        <v>Very Good</v>
      </c>
      <c r="BI73" s="154"/>
      <c r="BJ73" s="151">
        <f t="shared" si="149"/>
        <v>3</v>
      </c>
      <c r="BK73" s="37" t="str">
        <f t="shared" si="142"/>
        <v>Very Good</v>
      </c>
      <c r="BL73" s="659"/>
      <c r="BO73" s="35"/>
      <c r="BP73" s="35"/>
      <c r="BQ73" s="35" t="str">
        <f t="shared" si="15"/>
        <v/>
      </c>
      <c r="BR73" s="35">
        <f t="shared" si="55"/>
        <v>9</v>
      </c>
      <c r="BS73" s="35">
        <f t="shared" si="56"/>
        <v>9</v>
      </c>
      <c r="BT73" s="35">
        <f t="shared" si="57"/>
        <v>9</v>
      </c>
      <c r="BW73" s="37"/>
      <c r="BX73" s="37"/>
      <c r="BY73" s="37"/>
      <c r="BZ73" s="37"/>
      <c r="CA73" s="37"/>
      <c r="CB73" s="37"/>
    </row>
    <row r="74" spans="1:87">
      <c r="A74">
        <v>66</v>
      </c>
      <c r="B74" t="str">
        <f t="shared" si="143"/>
        <v>Ene 01e</v>
      </c>
      <c r="C74" t="str">
        <f t="shared" si="19"/>
        <v>Ene 01</v>
      </c>
      <c r="D74" s="135" t="s">
        <v>733</v>
      </c>
      <c r="E74" s="857" t="s">
        <v>608</v>
      </c>
      <c r="F74" s="607">
        <v>4</v>
      </c>
      <c r="G74" s="607">
        <v>4</v>
      </c>
      <c r="H74" s="607">
        <v>4</v>
      </c>
      <c r="I74" s="607">
        <v>4</v>
      </c>
      <c r="J74" s="607">
        <v>4</v>
      </c>
      <c r="K74" s="607">
        <v>4</v>
      </c>
      <c r="L74" s="607">
        <v>4</v>
      </c>
      <c r="M74" s="607">
        <v>4</v>
      </c>
      <c r="N74" s="607">
        <v>4</v>
      </c>
      <c r="O74" s="607">
        <v>4</v>
      </c>
      <c r="P74" s="607">
        <v>4</v>
      </c>
      <c r="Q74" s="607">
        <v>4</v>
      </c>
      <c r="R74" s="607">
        <v>4</v>
      </c>
      <c r="T74" s="139">
        <f t="shared" si="133"/>
        <v>4</v>
      </c>
      <c r="U74" s="137"/>
      <c r="V74" s="35"/>
      <c r="W74" s="35"/>
      <c r="X74" s="35"/>
      <c r="Y74" s="139">
        <f>IF($Y$4=$Y$6,T74,0)</f>
        <v>0</v>
      </c>
      <c r="Z74" s="138">
        <f>VLOOKUP(B74,'Manuell filtrering og justering'!$A$7:$H$107,'Manuell filtrering og justering'!$H$1,FALSE)</f>
        <v>0</v>
      </c>
      <c r="AA74" s="139">
        <f t="shared" si="135"/>
        <v>0</v>
      </c>
      <c r="AB74" s="140">
        <f>IF($AC$5='Manuell filtrering og justering'!$J$2,Z74,(T74-AA74))</f>
        <v>4</v>
      </c>
      <c r="AD74" s="141">
        <f t="shared" si="136"/>
        <v>2.0740740740740744E-2</v>
      </c>
      <c r="AE74" s="141">
        <f t="shared" si="144"/>
        <v>0</v>
      </c>
      <c r="AF74" s="141">
        <f t="shared" si="145"/>
        <v>0</v>
      </c>
      <c r="AG74" s="141">
        <f t="shared" si="146"/>
        <v>0</v>
      </c>
      <c r="AI74" s="142">
        <f>IF(VLOOKUP(E74,'Pre-Assessment Estimator'!$E$11:$Z$227,'Pre-Assessment Estimator'!$G$2,FALSE)&gt;AB74,AB74,VLOOKUP(E74,'Pre-Assessment Estimator'!$E$11:$Z$227,'Pre-Assessment Estimator'!$G$2,FALSE))</f>
        <v>0</v>
      </c>
      <c r="AJ74" s="142">
        <f>IF(VLOOKUP(E74,'Pre-Assessment Estimator'!$E$11:$Z$227,'Pre-Assessment Estimator'!$N$2,FALSE)&gt;AB74,AB74,VLOOKUP(E74,'Pre-Assessment Estimator'!$E$11:$Z$227,'Pre-Assessment Estimator'!$N$2,FALSE))</f>
        <v>0</v>
      </c>
      <c r="AK74" s="142">
        <f>IF(VLOOKUP(E74,'Pre-Assessment Estimator'!$E$11:$Z$227,'Pre-Assessment Estimator'!$U$2,FALSE)&gt;AB74,AB74,VLOOKUP(E74,'Pre-Assessment Estimator'!$E$11:$Z$227,'Pre-Assessment Estimator'!$U$2,FALSE))</f>
        <v>0</v>
      </c>
      <c r="AM74" s="655"/>
      <c r="AN74" s="656"/>
      <c r="AO74" s="656"/>
      <c r="AP74" s="665"/>
      <c r="AQ74" s="666"/>
      <c r="AS74" s="664"/>
      <c r="AT74" s="665"/>
      <c r="AU74" s="665"/>
      <c r="AV74" s="665"/>
      <c r="AW74" s="666"/>
      <c r="AY74" s="657"/>
      <c r="AZ74" s="658"/>
      <c r="BA74" s="658"/>
      <c r="BB74" s="658"/>
      <c r="BC74" s="676"/>
      <c r="BD74" s="151">
        <f t="shared" si="147"/>
        <v>9</v>
      </c>
      <c r="BE74" s="37" t="str">
        <f t="shared" si="139"/>
        <v>N/A</v>
      </c>
      <c r="BF74" s="154"/>
      <c r="BG74" s="151">
        <f t="shared" si="148"/>
        <v>9</v>
      </c>
      <c r="BH74" s="37" t="str">
        <f t="shared" si="141"/>
        <v>N/A</v>
      </c>
      <c r="BI74" s="154"/>
      <c r="BJ74" s="151">
        <f t="shared" si="149"/>
        <v>9</v>
      </c>
      <c r="BK74" s="37" t="str">
        <f t="shared" si="142"/>
        <v>N/A</v>
      </c>
      <c r="BL74" s="659"/>
      <c r="BO74" s="35"/>
      <c r="BP74" s="35"/>
      <c r="BQ74" s="35" t="str">
        <f t="shared" si="15"/>
        <v/>
      </c>
      <c r="BR74" s="35">
        <f t="shared" si="55"/>
        <v>9</v>
      </c>
      <c r="BS74" s="35">
        <f t="shared" si="56"/>
        <v>9</v>
      </c>
      <c r="BT74" s="35">
        <f t="shared" si="57"/>
        <v>9</v>
      </c>
      <c r="BW74" s="37"/>
      <c r="BX74" s="37"/>
      <c r="BY74" s="37"/>
      <c r="BZ74" s="37"/>
      <c r="CA74" s="37"/>
      <c r="CB74" s="37"/>
    </row>
    <row r="75" spans="1:87">
      <c r="A75">
        <v>67</v>
      </c>
      <c r="B75" s="112" t="str">
        <f>D75</f>
        <v>Ene 02</v>
      </c>
      <c r="C75" s="112" t="str">
        <f>B75</f>
        <v>Ene 02</v>
      </c>
      <c r="D75" s="663" t="s">
        <v>343</v>
      </c>
      <c r="E75" s="661" t="s">
        <v>345</v>
      </c>
      <c r="F75" s="748">
        <f t="shared" ref="F75:R75" si="152">SUM(F76:F78)</f>
        <v>2</v>
      </c>
      <c r="G75" s="748">
        <f t="shared" si="152"/>
        <v>2</v>
      </c>
      <c r="H75" s="748">
        <f t="shared" si="152"/>
        <v>2</v>
      </c>
      <c r="I75" s="748">
        <f t="shared" si="152"/>
        <v>2</v>
      </c>
      <c r="J75" s="748">
        <f t="shared" si="152"/>
        <v>2</v>
      </c>
      <c r="K75" s="748">
        <f t="shared" si="152"/>
        <v>2</v>
      </c>
      <c r="L75" s="748">
        <f t="shared" si="152"/>
        <v>2</v>
      </c>
      <c r="M75" s="748">
        <f t="shared" si="152"/>
        <v>2</v>
      </c>
      <c r="N75" s="748">
        <f t="shared" si="152"/>
        <v>2</v>
      </c>
      <c r="O75" s="748">
        <f t="shared" si="152"/>
        <v>2</v>
      </c>
      <c r="P75" s="748">
        <f t="shared" si="152"/>
        <v>2</v>
      </c>
      <c r="Q75" s="748">
        <f t="shared" ref="Q75" si="153">SUM(Q76:Q78)</f>
        <v>2</v>
      </c>
      <c r="R75" s="748">
        <f t="shared" si="152"/>
        <v>2</v>
      </c>
      <c r="T75" s="768">
        <f t="shared" si="133"/>
        <v>2</v>
      </c>
      <c r="U75" s="182">
        <f>U77</f>
        <v>0</v>
      </c>
      <c r="V75" s="53"/>
      <c r="W75" s="53"/>
      <c r="X75" s="53">
        <f>'Manuell filtrering og justering'!E30</f>
        <v>0</v>
      </c>
      <c r="Y75" s="53"/>
      <c r="Z75" s="763">
        <f t="shared" ref="Z75" si="154">SUM(Z76:Z78)</f>
        <v>2</v>
      </c>
      <c r="AA75" s="768">
        <f t="shared" si="135"/>
        <v>0</v>
      </c>
      <c r="AB75" s="820">
        <f>SUM(AB76:AB78)</f>
        <v>2</v>
      </c>
      <c r="AD75" s="141">
        <f t="shared" si="136"/>
        <v>1.0370370370370372E-2</v>
      </c>
      <c r="AE75" s="736">
        <f>SUM(AE76:AE78)</f>
        <v>0</v>
      </c>
      <c r="AF75" s="736">
        <f t="shared" ref="AF75:AG75" si="155">SUM(AF76:AF78)</f>
        <v>0</v>
      </c>
      <c r="AG75" s="736">
        <f t="shared" si="155"/>
        <v>0</v>
      </c>
      <c r="AI75" s="763">
        <f t="shared" ref="AI75:AK75" si="156">SUM(AI76:AI78)</f>
        <v>0</v>
      </c>
      <c r="AJ75" s="763">
        <f t="shared" si="156"/>
        <v>0</v>
      </c>
      <c r="AK75" s="763">
        <f t="shared" si="156"/>
        <v>0</v>
      </c>
      <c r="AL75" t="s">
        <v>223</v>
      </c>
      <c r="AM75" s="242"/>
      <c r="AN75" s="150"/>
      <c r="AO75" s="150"/>
      <c r="AP75" s="150"/>
      <c r="AQ75" s="155"/>
      <c r="AS75" s="242"/>
      <c r="AT75" s="150"/>
      <c r="AU75" s="150"/>
      <c r="AV75" s="150"/>
      <c r="AW75" s="155"/>
      <c r="AY75" s="151"/>
      <c r="AZ75" s="152"/>
      <c r="BA75" s="152"/>
      <c r="BB75" s="152"/>
      <c r="BC75" s="156"/>
      <c r="BD75" s="151">
        <f>IF(BC75=0,9,IF((AI75-CG75)&gt;=BC75,5,IF((AI75-CG75)&gt;=BB75,4,IF((AI75-CG75)&gt;=BA75,3,IF((AI75-CG75)&gt;=AZ75,2,IF((AI75-CG75)&lt;AY75,0,1))))))</f>
        <v>9</v>
      </c>
      <c r="BE75" s="37" t="str">
        <f t="shared" si="139"/>
        <v>N/A</v>
      </c>
      <c r="BF75" s="154"/>
      <c r="BG75" s="151">
        <f>IF(BC75=0,9,IF((AJ75-CG75)&gt;=BC75,5,IF((AJ75-CG75)&gt;=BB75,4,IF((AJ75-CG75)&gt;=BA75,3,IF((AJ75-CG75)&gt;=AZ75,2,IF((AJ75-CG75)&lt;AY75,0,1))))))</f>
        <v>9</v>
      </c>
      <c r="BH75" s="37" t="str">
        <f t="shared" si="141"/>
        <v>N/A</v>
      </c>
      <c r="BI75" s="154"/>
      <c r="BJ75" s="151">
        <f>IF(BC75=0,9,IF((AK75-CG75)&gt;=BC75,5,IF((AK75-CG75)&gt;=BB75,4,IF((AK75-CG75)&gt;=BA75,3,IF((AK75-CG75)&gt;=AZ75,2,IF((AK75-CG75)&lt;AY75,0,1))))))</f>
        <v>9</v>
      </c>
      <c r="BK75" s="37" t="str">
        <f t="shared" si="142"/>
        <v>N/A</v>
      </c>
      <c r="BL75" s="154"/>
      <c r="BO75" s="35"/>
      <c r="BP75" s="35"/>
      <c r="BQ75" s="35" t="str">
        <f t="shared" ref="BQ75:BQ138" si="157">IF(BO75&lt;&gt;"",BO75,IF(BP75&lt;&gt;"",BP75,""))</f>
        <v/>
      </c>
      <c r="BR75" s="35">
        <f t="shared" si="55"/>
        <v>9</v>
      </c>
      <c r="BS75" s="35">
        <f t="shared" si="56"/>
        <v>9</v>
      </c>
      <c r="BT75" s="35">
        <f t="shared" si="57"/>
        <v>9</v>
      </c>
      <c r="BW75" s="35" t="str">
        <f>D75</f>
        <v>Ene 02</v>
      </c>
      <c r="BX75" s="35" t="str">
        <f>IFERROR(VLOOKUP($E75,'Pre-Assessment Estimator'!$E$11:$AB$227,'Pre-Assessment Estimator'!AB$2,FALSE),"")</f>
        <v>O2: Sub-met. (AC 4-7: -1,0 c)</v>
      </c>
      <c r="BY75" s="53" t="str">
        <f>IFERROR(VLOOKUP($E75,'Pre-Assessment Estimator'!$E$11:$AI$227,'Pre-Assessment Estimator'!AI$2,FALSE),"")</f>
        <v>Ja</v>
      </c>
      <c r="BZ75" s="35">
        <f>IFERROR(VLOOKUP($BX75,$E$293:$H$326,F$291,FALSE),"")</f>
        <v>-1</v>
      </c>
      <c r="CA75" s="523" t="s">
        <v>847</v>
      </c>
      <c r="CB75" s="35">
        <f>H308</f>
        <v>1</v>
      </c>
      <c r="CC75" t="str">
        <f>IFERROR(VLOOKUP($BX75,$E$293:$H$326,I$291,FALSE),"")</f>
        <v/>
      </c>
      <c r="CD75" s="54" t="s">
        <v>844</v>
      </c>
      <c r="CE75" s="35">
        <f>VLOOKUP(CA75,$CA$4:$CB$5,2,FALSE)</f>
        <v>0</v>
      </c>
      <c r="CG75" s="54">
        <f>IF($BX$5=ais_nei,CE75,IF(CD75=$BY$5,IF(AND(CA75=$CA$4,BX75=$CC$4),0,BZ75),CE75))</f>
        <v>0</v>
      </c>
      <c r="CI75" t="s">
        <v>844</v>
      </c>
    </row>
    <row r="76" spans="1:87">
      <c r="A76">
        <v>68</v>
      </c>
      <c r="B76" t="str">
        <f t="shared" ref="B76:B78" si="158">$D$75&amp;D76</f>
        <v>Ene 02a</v>
      </c>
      <c r="C76" t="str">
        <f t="shared" ref="C76:C139" si="159">C75</f>
        <v>Ene 02</v>
      </c>
      <c r="D76" s="135" t="s">
        <v>729</v>
      </c>
      <c r="E76" s="871" t="s">
        <v>610</v>
      </c>
      <c r="F76" s="607">
        <v>1</v>
      </c>
      <c r="G76" s="607">
        <v>1</v>
      </c>
      <c r="H76" s="801">
        <v>0</v>
      </c>
      <c r="I76" s="607">
        <v>1</v>
      </c>
      <c r="J76" s="607">
        <v>1</v>
      </c>
      <c r="K76" s="607">
        <v>1</v>
      </c>
      <c r="L76" s="607">
        <v>1</v>
      </c>
      <c r="M76" s="607">
        <v>1</v>
      </c>
      <c r="N76" s="607">
        <v>1</v>
      </c>
      <c r="O76" s="607">
        <v>1</v>
      </c>
      <c r="P76" s="607">
        <v>1</v>
      </c>
      <c r="Q76" s="607">
        <v>1</v>
      </c>
      <c r="R76" s="607">
        <v>1</v>
      </c>
      <c r="T76" s="139">
        <f t="shared" si="133"/>
        <v>1</v>
      </c>
      <c r="U76" s="137"/>
      <c r="V76" s="35"/>
      <c r="W76" s="35"/>
      <c r="X76" s="35"/>
      <c r="Y76" s="139">
        <f>IF($Y$4=$Y$6,T76,0)</f>
        <v>0</v>
      </c>
      <c r="Z76" s="138">
        <f>VLOOKUP(B76,'Manuell filtrering og justering'!$A$7:$H$107,'Manuell filtrering og justering'!$H$1,FALSE)</f>
        <v>1</v>
      </c>
      <c r="AA76" s="139">
        <f t="shared" si="135"/>
        <v>0</v>
      </c>
      <c r="AB76" s="140">
        <f>IF($AC$5='Manuell filtrering og justering'!$J$2,Z76,(T76-AA76))</f>
        <v>1</v>
      </c>
      <c r="AD76" s="141">
        <f t="shared" si="136"/>
        <v>5.1851851851851859E-3</v>
      </c>
      <c r="AE76" s="141">
        <f t="shared" si="144"/>
        <v>0</v>
      </c>
      <c r="AF76" s="141">
        <f t="shared" si="145"/>
        <v>0</v>
      </c>
      <c r="AG76" s="141">
        <f t="shared" si="146"/>
        <v>0</v>
      </c>
      <c r="AI76" s="142">
        <f>IF(VLOOKUP(E76,'Pre-Assessment Estimator'!$E$11:$Z$227,'Pre-Assessment Estimator'!$G$2,FALSE)&gt;AB76,AB76,VLOOKUP(E76,'Pre-Assessment Estimator'!$E$11:$Z$227,'Pre-Assessment Estimator'!$G$2,FALSE))</f>
        <v>0</v>
      </c>
      <c r="AJ76" s="142">
        <f>IF(VLOOKUP(E76,'Pre-Assessment Estimator'!$E$11:$Z$227,'Pre-Assessment Estimator'!$N$2,FALSE)&gt;AB76,AB76,VLOOKUP(E76,'Pre-Assessment Estimator'!$E$11:$Z$227,'Pre-Assessment Estimator'!$N$2,FALSE))</f>
        <v>0</v>
      </c>
      <c r="AK76" s="142">
        <f>IF(VLOOKUP(E76,'Pre-Assessment Estimator'!$E$11:$Z$227,'Pre-Assessment Estimator'!$U$2,FALSE)&gt;AB76,AB76,VLOOKUP(E76,'Pre-Assessment Estimator'!$E$11:$Z$227,'Pre-Assessment Estimator'!$U$2,FALSE))</f>
        <v>0</v>
      </c>
      <c r="AM76" s="242"/>
      <c r="AN76" s="150"/>
      <c r="AO76" s="150"/>
      <c r="AP76" s="150"/>
      <c r="AQ76" s="155"/>
      <c r="AS76" s="242"/>
      <c r="AT76" s="150"/>
      <c r="AU76" s="150"/>
      <c r="AV76" s="150"/>
      <c r="AW76" s="155"/>
      <c r="AY76" s="151"/>
      <c r="AZ76" s="152"/>
      <c r="BA76" s="152"/>
      <c r="BB76" s="152"/>
      <c r="BC76" s="156"/>
      <c r="BD76" s="151">
        <f t="shared" ref="BD76:BD95" si="160">IF(BC76=0,9,IF((AI76-CG76)&gt;=BC76,5,IF((AI76-CG76)&gt;=BB76,4,IF((AI76-CG76)&gt;=BA76,3,IF((AI76-CG76)&gt;=AZ76,2,IF((AI76-CG76)&lt;AY76,0,1))))))</f>
        <v>9</v>
      </c>
      <c r="BE76" s="37" t="str">
        <f t="shared" si="139"/>
        <v>N/A</v>
      </c>
      <c r="BF76" s="154"/>
      <c r="BG76" s="151">
        <f t="shared" ref="BG76:BG95" si="161">IF(BC76=0,9,IF((AJ76-CG76)&gt;=BC76,5,IF((AJ76-CG76)&gt;=BB76,4,IF((AJ76-CG76)&gt;=BA76,3,IF((AJ76-CG76)&gt;=AZ76,2,IF((AJ76-CG76)&lt;AY76,0,1))))))</f>
        <v>9</v>
      </c>
      <c r="BH76" s="37" t="str">
        <f t="shared" si="141"/>
        <v>N/A</v>
      </c>
      <c r="BI76" s="154"/>
      <c r="BJ76" s="151">
        <f t="shared" ref="BJ76:BJ95" si="162">IF(BC76=0,9,IF((AK76-CG76)&gt;=BC76,5,IF((AK76-CG76)&gt;=BB76,4,IF((AK76-CG76)&gt;=BA76,3,IF((AK76-CG76)&gt;=AZ76,2,IF((AK76-CG76)&lt;AY76,0,1))))))</f>
        <v>9</v>
      </c>
      <c r="BK76" s="37" t="str">
        <f t="shared" si="142"/>
        <v>N/A</v>
      </c>
      <c r="BL76" s="154"/>
      <c r="BO76" s="35"/>
      <c r="BP76" s="35"/>
      <c r="BQ76" s="35" t="str">
        <f t="shared" si="157"/>
        <v/>
      </c>
      <c r="BR76" s="35">
        <f t="shared" si="55"/>
        <v>9</v>
      </c>
      <c r="BS76" s="35">
        <f t="shared" si="56"/>
        <v>9</v>
      </c>
      <c r="BT76" s="35">
        <f t="shared" si="57"/>
        <v>9</v>
      </c>
      <c r="BW76" s="35"/>
      <c r="BX76" s="35"/>
      <c r="BY76" s="53"/>
      <c r="BZ76" s="35"/>
      <c r="CA76" s="524"/>
      <c r="CB76" s="35"/>
      <c r="CD76" s="54"/>
      <c r="CE76" s="35"/>
      <c r="CG76" s="54"/>
    </row>
    <row r="77" spans="1:87">
      <c r="A77">
        <v>69</v>
      </c>
      <c r="B77" t="str">
        <f t="shared" si="158"/>
        <v>Ene 02b</v>
      </c>
      <c r="C77" t="str">
        <f t="shared" si="159"/>
        <v>Ene 02</v>
      </c>
      <c r="D77" s="135" t="s">
        <v>730</v>
      </c>
      <c r="E77" s="871" t="s">
        <v>611</v>
      </c>
      <c r="F77" s="607">
        <v>1</v>
      </c>
      <c r="G77" s="607">
        <v>1</v>
      </c>
      <c r="H77" s="801">
        <v>0</v>
      </c>
      <c r="I77" s="607">
        <v>1</v>
      </c>
      <c r="J77" s="607">
        <v>1</v>
      </c>
      <c r="K77" s="607">
        <v>1</v>
      </c>
      <c r="L77" s="607">
        <v>1</v>
      </c>
      <c r="M77" s="607">
        <v>1</v>
      </c>
      <c r="N77" s="607">
        <v>1</v>
      </c>
      <c r="O77" s="607">
        <v>1</v>
      </c>
      <c r="P77" s="607">
        <v>1</v>
      </c>
      <c r="Q77" s="607">
        <v>1</v>
      </c>
      <c r="R77" s="607">
        <v>1</v>
      </c>
      <c r="T77" s="139">
        <f t="shared" si="133"/>
        <v>1</v>
      </c>
      <c r="U77" s="182">
        <f>IF(AND('Assessment Details'!I28=1,'Assessment Details'!F28=AD_no),Poeng!T77,0)</f>
        <v>0</v>
      </c>
      <c r="V77" s="35"/>
      <c r="W77" s="35"/>
      <c r="X77" s="35"/>
      <c r="Y77" s="139">
        <f>IF($Y$4=$Y$6,T77,0)</f>
        <v>0</v>
      </c>
      <c r="Z77" s="138">
        <f>VLOOKUP(B77,'Manuell filtrering og justering'!$A$7:$H$107,'Manuell filtrering og justering'!$H$1,FALSE)</f>
        <v>1</v>
      </c>
      <c r="AA77" s="139">
        <f t="shared" si="135"/>
        <v>0</v>
      </c>
      <c r="AB77" s="140">
        <f>IF($AC$5='Manuell filtrering og justering'!$J$2,Z77,(T77-AA77))</f>
        <v>1</v>
      </c>
      <c r="AD77" s="141">
        <f t="shared" si="136"/>
        <v>5.1851851851851859E-3</v>
      </c>
      <c r="AE77" s="141">
        <f t="shared" si="144"/>
        <v>0</v>
      </c>
      <c r="AF77" s="141">
        <f t="shared" si="145"/>
        <v>0</v>
      </c>
      <c r="AG77" s="141">
        <f t="shared" si="146"/>
        <v>0</v>
      </c>
      <c r="AI77" s="142">
        <f>IF(VLOOKUP(E77,'Pre-Assessment Estimator'!$E$11:$Z$227,'Pre-Assessment Estimator'!$G$2,FALSE)&gt;AB77,AB77,VLOOKUP(E77,'Pre-Assessment Estimator'!$E$11:$Z$227,'Pre-Assessment Estimator'!$G$2,FALSE))</f>
        <v>0</v>
      </c>
      <c r="AJ77" s="142">
        <f>IF(VLOOKUP(E77,'Pre-Assessment Estimator'!$E$11:$Z$227,'Pre-Assessment Estimator'!$N$2,FALSE)&gt;AB77,AB77,VLOOKUP(E77,'Pre-Assessment Estimator'!$E$11:$Z$227,'Pre-Assessment Estimator'!$N$2,FALSE))</f>
        <v>0</v>
      </c>
      <c r="AK77" s="142">
        <f>IF(VLOOKUP(E77,'Pre-Assessment Estimator'!$E$11:$Z$227,'Pre-Assessment Estimator'!$U$2,FALSE)&gt;AB77,AB77,VLOOKUP(E77,'Pre-Assessment Estimator'!$E$11:$Z$227,'Pre-Assessment Estimator'!$U$2,FALSE))</f>
        <v>0</v>
      </c>
      <c r="AM77" s="242"/>
      <c r="AN77" s="150"/>
      <c r="AO77" s="150"/>
      <c r="AP77" s="150"/>
      <c r="AQ77" s="155"/>
      <c r="AS77" s="242"/>
      <c r="AT77" s="150"/>
      <c r="AU77" s="150"/>
      <c r="AV77" s="150"/>
      <c r="AW77" s="155"/>
      <c r="AY77" s="151"/>
      <c r="AZ77" s="152"/>
      <c r="BA77" s="152"/>
      <c r="BB77" s="152"/>
      <c r="BC77" s="156"/>
      <c r="BD77" s="151">
        <f t="shared" si="160"/>
        <v>9</v>
      </c>
      <c r="BE77" s="37" t="str">
        <f t="shared" si="139"/>
        <v>N/A</v>
      </c>
      <c r="BF77" s="154"/>
      <c r="BG77" s="151">
        <f t="shared" si="161"/>
        <v>9</v>
      </c>
      <c r="BH77" s="37" t="str">
        <f t="shared" si="141"/>
        <v>N/A</v>
      </c>
      <c r="BI77" s="154"/>
      <c r="BJ77" s="151">
        <f t="shared" si="162"/>
        <v>9</v>
      </c>
      <c r="BK77" s="37" t="str">
        <f t="shared" si="142"/>
        <v>N/A</v>
      </c>
      <c r="BL77" s="154"/>
      <c r="BO77" s="35"/>
      <c r="BP77" s="35"/>
      <c r="BQ77" s="35" t="str">
        <f t="shared" si="157"/>
        <v/>
      </c>
      <c r="BR77" s="35">
        <f t="shared" si="55"/>
        <v>9</v>
      </c>
      <c r="BS77" s="35">
        <f t="shared" si="56"/>
        <v>9</v>
      </c>
      <c r="BT77" s="35">
        <f t="shared" si="57"/>
        <v>9</v>
      </c>
      <c r="BW77" s="35"/>
      <c r="BX77" s="35"/>
      <c r="BY77" s="53"/>
      <c r="BZ77" s="35"/>
      <c r="CA77" s="524"/>
      <c r="CB77" s="35"/>
      <c r="CD77" s="54"/>
      <c r="CE77" s="35"/>
      <c r="CG77" s="54"/>
    </row>
    <row r="78" spans="1:87" ht="15.75" thickBot="1">
      <c r="A78">
        <v>70</v>
      </c>
      <c r="B78" t="str">
        <f t="shared" si="158"/>
        <v>Ene 02c</v>
      </c>
      <c r="C78" t="str">
        <f t="shared" si="159"/>
        <v>Ene 02</v>
      </c>
      <c r="D78" s="137" t="s">
        <v>731</v>
      </c>
      <c r="E78" s="871" t="s">
        <v>612</v>
      </c>
      <c r="F78" s="607">
        <v>0</v>
      </c>
      <c r="G78" s="607">
        <v>0</v>
      </c>
      <c r="H78" s="801">
        <v>2</v>
      </c>
      <c r="I78" s="607">
        <v>0</v>
      </c>
      <c r="J78" s="607">
        <v>0</v>
      </c>
      <c r="K78" s="607">
        <v>0</v>
      </c>
      <c r="L78" s="607">
        <v>0</v>
      </c>
      <c r="M78" s="607">
        <v>0</v>
      </c>
      <c r="N78" s="607">
        <v>0</v>
      </c>
      <c r="O78" s="607">
        <v>0</v>
      </c>
      <c r="P78" s="607">
        <v>0</v>
      </c>
      <c r="Q78" s="607">
        <v>0</v>
      </c>
      <c r="R78" s="607">
        <v>0</v>
      </c>
      <c r="T78" s="139">
        <f t="shared" si="133"/>
        <v>0</v>
      </c>
      <c r="U78" s="137"/>
      <c r="V78" s="35"/>
      <c r="W78" s="40"/>
      <c r="X78" s="35"/>
      <c r="Y78" s="139">
        <f>IF($Y$4=$Y$6,T78,0)</f>
        <v>0</v>
      </c>
      <c r="Z78" s="138">
        <f>VLOOKUP(B78,'Manuell filtrering og justering'!$A$7:$H$107,'Manuell filtrering og justering'!$H$1,FALSE)</f>
        <v>0</v>
      </c>
      <c r="AA78" s="139">
        <f t="shared" si="135"/>
        <v>0</v>
      </c>
      <c r="AB78" s="140">
        <f>IF($AC$5='Manuell filtrering og justering'!$J$2,Z78,(T78-AA78))</f>
        <v>0</v>
      </c>
      <c r="AD78" s="141">
        <f t="shared" si="136"/>
        <v>0</v>
      </c>
      <c r="AE78" s="141">
        <f t="shared" si="144"/>
        <v>0</v>
      </c>
      <c r="AF78" s="141">
        <f t="shared" si="145"/>
        <v>0</v>
      </c>
      <c r="AG78" s="141">
        <f t="shared" si="146"/>
        <v>0</v>
      </c>
      <c r="AI78" s="142">
        <f>IF(VLOOKUP(E78,'Pre-Assessment Estimator'!$E$11:$Z$227,'Pre-Assessment Estimator'!$G$2,FALSE)&gt;AB78,AB78,VLOOKUP(E78,'Pre-Assessment Estimator'!$E$11:$Z$227,'Pre-Assessment Estimator'!$G$2,FALSE))</f>
        <v>0</v>
      </c>
      <c r="AJ78" s="142">
        <f>IF(VLOOKUP(E78,'Pre-Assessment Estimator'!$E$11:$Z$227,'Pre-Assessment Estimator'!$N$2,FALSE)&gt;AB78,AB78,VLOOKUP(E78,'Pre-Assessment Estimator'!$E$11:$Z$227,'Pre-Assessment Estimator'!$N$2,FALSE))</f>
        <v>0</v>
      </c>
      <c r="AK78" s="142">
        <f>IF(VLOOKUP(E78,'Pre-Assessment Estimator'!$E$11:$Z$227,'Pre-Assessment Estimator'!$U$2,FALSE)&gt;AB78,AB78,VLOOKUP(E78,'Pre-Assessment Estimator'!$E$11:$Z$227,'Pre-Assessment Estimator'!$U$2,FALSE))</f>
        <v>0</v>
      </c>
      <c r="AM78" s="242"/>
      <c r="AN78" s="150"/>
      <c r="AO78" s="150"/>
      <c r="AP78" s="150"/>
      <c r="AQ78" s="155"/>
      <c r="AS78" s="242"/>
      <c r="AT78" s="150"/>
      <c r="AU78" s="150"/>
      <c r="AV78" s="150"/>
      <c r="AW78" s="155"/>
      <c r="AY78" s="151"/>
      <c r="AZ78" s="152"/>
      <c r="BA78" s="152"/>
      <c r="BB78" s="152"/>
      <c r="BC78" s="156"/>
      <c r="BD78" s="151">
        <f t="shared" si="160"/>
        <v>9</v>
      </c>
      <c r="BE78" s="37" t="str">
        <f t="shared" si="139"/>
        <v>N/A</v>
      </c>
      <c r="BF78" s="154"/>
      <c r="BG78" s="151">
        <f t="shared" si="161"/>
        <v>9</v>
      </c>
      <c r="BH78" s="37" t="str">
        <f t="shared" si="141"/>
        <v>N/A</v>
      </c>
      <c r="BI78" s="154"/>
      <c r="BJ78" s="151">
        <f t="shared" si="162"/>
        <v>9</v>
      </c>
      <c r="BK78" s="37" t="str">
        <f t="shared" si="142"/>
        <v>N/A</v>
      </c>
      <c r="BL78" s="154"/>
      <c r="BO78" s="35"/>
      <c r="BP78" s="35"/>
      <c r="BQ78" s="35" t="str">
        <f t="shared" si="157"/>
        <v/>
      </c>
      <c r="BR78" s="35">
        <f t="shared" si="55"/>
        <v>9</v>
      </c>
      <c r="BS78" s="35">
        <f t="shared" si="56"/>
        <v>9</v>
      </c>
      <c r="BT78" s="35">
        <f t="shared" si="57"/>
        <v>9</v>
      </c>
      <c r="BW78" s="35"/>
      <c r="BX78" s="35"/>
      <c r="BY78" s="53"/>
      <c r="BZ78" s="35"/>
      <c r="CA78" s="524"/>
      <c r="CB78" s="35"/>
      <c r="CD78" s="54"/>
      <c r="CE78" s="35"/>
      <c r="CG78" s="54"/>
    </row>
    <row r="79" spans="1:87">
      <c r="A79">
        <v>71</v>
      </c>
      <c r="B79" s="112" t="str">
        <f>D79</f>
        <v>Ene 03</v>
      </c>
      <c r="C79" s="112" t="str">
        <f>B79</f>
        <v>Ene 03</v>
      </c>
      <c r="D79" s="755" t="s">
        <v>352</v>
      </c>
      <c r="E79" s="661" t="s">
        <v>353</v>
      </c>
      <c r="F79" s="758">
        <v>1</v>
      </c>
      <c r="G79" s="758">
        <v>1</v>
      </c>
      <c r="H79" s="758">
        <v>1</v>
      </c>
      <c r="I79" s="758">
        <v>1</v>
      </c>
      <c r="J79" s="758">
        <v>1</v>
      </c>
      <c r="K79" s="758">
        <v>1</v>
      </c>
      <c r="L79" s="758">
        <v>1</v>
      </c>
      <c r="M79" s="758">
        <v>1</v>
      </c>
      <c r="N79" s="758">
        <v>1</v>
      </c>
      <c r="O79" s="758">
        <v>1</v>
      </c>
      <c r="P79" s="758">
        <v>1</v>
      </c>
      <c r="Q79" s="758">
        <v>1</v>
      </c>
      <c r="R79" s="758">
        <v>1</v>
      </c>
      <c r="T79" s="768">
        <f t="shared" si="133"/>
        <v>1</v>
      </c>
      <c r="U79" s="182"/>
      <c r="V79" s="849"/>
      <c r="W79" s="122" t="s">
        <v>904</v>
      </c>
      <c r="X79" s="850">
        <f>'Manuell filtrering og justering'!E31</f>
        <v>0</v>
      </c>
      <c r="Y79" s="895"/>
      <c r="Z79" s="782">
        <f>IF((Z80+Z81)&gt;0,1,0)</f>
        <v>1</v>
      </c>
      <c r="AA79" s="768">
        <f t="shared" si="135"/>
        <v>0</v>
      </c>
      <c r="AB79" s="820">
        <f>SUM(AB80:AB81)</f>
        <v>1</v>
      </c>
      <c r="AD79" s="141">
        <f t="shared" si="136"/>
        <v>5.1851851851851859E-3</v>
      </c>
      <c r="AE79" s="736">
        <f>IF(SUM(AE80:AE81)&gt;Ene03_05,Ene03_05,SUM(AE80:AE81))</f>
        <v>0</v>
      </c>
      <c r="AF79" s="736">
        <f>IF(SUM(AF80:AF81)&gt;Ene03_05,Ene03_05,SUM(AF80:AF81))</f>
        <v>0</v>
      </c>
      <c r="AG79" s="736">
        <f>IF(SUM(AG80:AG81)&gt;Ene03_05,Ene03_05,SUM(AG80:AG81))</f>
        <v>0</v>
      </c>
      <c r="AI79" s="763">
        <f>IF(SUM(AI80:AI81)&gt;Ene03_credits,Ene03_credits,SUM(AI80:AI81))</f>
        <v>0</v>
      </c>
      <c r="AJ79" s="763">
        <f>IF(SUM(AJ80:AJ81)&gt;Ene03_credits,Ene03_credits,SUM(AJ80:AJ81))</f>
        <v>0</v>
      </c>
      <c r="AK79" s="763">
        <f>IF(SUM(AK80:AK81)&gt;Ene03_credits,Ene03_credits,SUM(AK80:AK81))</f>
        <v>0</v>
      </c>
      <c r="AL79" t="s">
        <v>223</v>
      </c>
      <c r="AM79" s="243"/>
      <c r="AN79" s="244"/>
      <c r="AO79" s="244"/>
      <c r="AP79" s="244"/>
      <c r="AQ79" s="245"/>
      <c r="AS79" s="243"/>
      <c r="AT79" s="244"/>
      <c r="AU79" s="244"/>
      <c r="AV79" s="244"/>
      <c r="AW79" s="245"/>
      <c r="AY79" s="137"/>
      <c r="AZ79" s="35"/>
      <c r="BA79" s="35"/>
      <c r="BB79" s="35"/>
      <c r="BC79" s="138"/>
      <c r="BD79" s="151">
        <f t="shared" si="160"/>
        <v>9</v>
      </c>
      <c r="BE79" s="37" t="str">
        <f t="shared" si="139"/>
        <v>N/A</v>
      </c>
      <c r="BF79" s="154"/>
      <c r="BG79" s="151">
        <f t="shared" si="161"/>
        <v>9</v>
      </c>
      <c r="BH79" s="37" t="str">
        <f t="shared" si="141"/>
        <v>N/A</v>
      </c>
      <c r="BI79" s="154"/>
      <c r="BJ79" s="151">
        <f t="shared" si="162"/>
        <v>9</v>
      </c>
      <c r="BK79" s="37" t="str">
        <f t="shared" si="142"/>
        <v>N/A</v>
      </c>
      <c r="BL79" s="154"/>
      <c r="BM79" t="s">
        <v>897</v>
      </c>
      <c r="BO79" s="35"/>
      <c r="BP79" s="35"/>
      <c r="BQ79" s="35" t="str">
        <f t="shared" si="157"/>
        <v/>
      </c>
      <c r="BR79" s="35">
        <f t="shared" si="55"/>
        <v>9</v>
      </c>
      <c r="BS79" s="35">
        <f t="shared" si="56"/>
        <v>9</v>
      </c>
      <c r="BT79" s="35">
        <f t="shared" si="57"/>
        <v>9</v>
      </c>
      <c r="BW79" s="35" t="str">
        <f>D79</f>
        <v>Ene 03</v>
      </c>
      <c r="BX79" s="35" t="str">
        <f>IFERROR(VLOOKUP($E79,'Pre-Assessment Estimator'!$E$11:$AB$227,'Pre-Assessment Estimator'!AB$2,FALSE),"")</f>
        <v>No</v>
      </c>
      <c r="BY79" s="53" t="str">
        <f>IFERROR(VLOOKUP($E79,'Pre-Assessment Estimator'!$E$11:$AI$227,'Pre-Assessment Estimator'!AI$2,FALSE),"")</f>
        <v>Ja</v>
      </c>
      <c r="BZ79" s="35">
        <f>IFERROR(VLOOKUP($BX79,$E$293:$H$326,F$291,FALSE),"")</f>
        <v>1</v>
      </c>
      <c r="CA79" s="529" t="s">
        <v>851</v>
      </c>
      <c r="CB79" s="35"/>
      <c r="CC79" t="str">
        <f>IFERROR(VLOOKUP($BX79,$E$293:$H$326,I$291,FALSE),"")</f>
        <v/>
      </c>
      <c r="CD79" t="s">
        <v>898</v>
      </c>
      <c r="CE79" s="35">
        <f>VLOOKUP(CA79,$CA$4:$CB$5,2,FALSE)</f>
        <v>1</v>
      </c>
      <c r="CG79" s="54">
        <f>IF($BX$5=ais_nei,CE79,IF(AND(CA79=$CA$4,BX79=$CC$4),0,BZ79))</f>
        <v>1</v>
      </c>
    </row>
    <row r="80" spans="1:87">
      <c r="A80">
        <v>72</v>
      </c>
      <c r="B80" t="str">
        <f t="shared" ref="B80:B81" si="163">$D$79&amp;D80</f>
        <v>Ene 03a</v>
      </c>
      <c r="C80" t="str">
        <f t="shared" si="159"/>
        <v>Ene 03</v>
      </c>
      <c r="D80" s="135" t="s">
        <v>729</v>
      </c>
      <c r="E80" s="871" t="s">
        <v>760</v>
      </c>
      <c r="F80" s="607">
        <v>1</v>
      </c>
      <c r="G80" s="607">
        <v>1</v>
      </c>
      <c r="H80" s="607">
        <v>1</v>
      </c>
      <c r="I80" s="607">
        <v>1</v>
      </c>
      <c r="J80" s="607">
        <v>1</v>
      </c>
      <c r="K80" s="607">
        <v>1</v>
      </c>
      <c r="L80" s="607">
        <v>1</v>
      </c>
      <c r="M80" s="607">
        <v>1</v>
      </c>
      <c r="N80" s="607">
        <v>1</v>
      </c>
      <c r="O80" s="607">
        <v>1</v>
      </c>
      <c r="P80" s="607">
        <v>1</v>
      </c>
      <c r="Q80" s="607">
        <v>1</v>
      </c>
      <c r="R80" s="607">
        <v>1</v>
      </c>
      <c r="T80" s="139">
        <f t="shared" si="133"/>
        <v>1</v>
      </c>
      <c r="U80" s="182">
        <f>IF('Assessment Details'!F18=AD_Yes,Poeng!T80,0)</f>
        <v>0</v>
      </c>
      <c r="V80" s="138"/>
      <c r="W80" s="139">
        <f>IF('Assessment Details'!F18=AD_Yes,Poeng!Z80,0)</f>
        <v>0</v>
      </c>
      <c r="X80" s="195"/>
      <c r="Y80" s="894"/>
      <c r="Z80" s="138">
        <f>VLOOKUP(B80,'Manuell filtrering og justering'!$A$7:$H$107,'Manuell filtrering og justering'!$H$1,FALSE)</f>
        <v>1</v>
      </c>
      <c r="AA80" s="139">
        <f>IF(SUM(U80:V80)&gt;T80,T80,SUM(U80:V80))</f>
        <v>0</v>
      </c>
      <c r="AB80" s="813">
        <f>IF($AC$5='Manuell filtrering og justering'!$J$2,Z80-W80,(T80-AA80))</f>
        <v>1</v>
      </c>
      <c r="AD80" s="141">
        <f t="shared" si="136"/>
        <v>5.1851851851851859E-3</v>
      </c>
      <c r="AE80" s="141">
        <f t="shared" si="144"/>
        <v>0</v>
      </c>
      <c r="AF80" s="141">
        <f t="shared" si="145"/>
        <v>0</v>
      </c>
      <c r="AG80" s="141">
        <f t="shared" si="146"/>
        <v>0</v>
      </c>
      <c r="AI80" s="142">
        <f>IF(VLOOKUP(E80,'Pre-Assessment Estimator'!$E$11:$Z$227,'Pre-Assessment Estimator'!$G$2,FALSE)&gt;AB80,AB80,VLOOKUP(E80,'Pre-Assessment Estimator'!$E$11:$Z$227,'Pre-Assessment Estimator'!$G$2,FALSE))</f>
        <v>0</v>
      </c>
      <c r="AJ80" s="142">
        <f>IF(VLOOKUP(E80,'Pre-Assessment Estimator'!$E$11:$Z$227,'Pre-Assessment Estimator'!$N$2,FALSE)&gt;AB80,AB80,VLOOKUP(E80,'Pre-Assessment Estimator'!$E$11:$Z$227,'Pre-Assessment Estimator'!$N$2,FALSE))</f>
        <v>0</v>
      </c>
      <c r="AK80" s="142">
        <f>IF(VLOOKUP(E80,'Pre-Assessment Estimator'!$E$11:$Z$227,'Pre-Assessment Estimator'!$U$2,FALSE)&gt;AB80,AB80,VLOOKUP(E80,'Pre-Assessment Estimator'!$E$11:$Z$227,'Pre-Assessment Estimator'!$U$2,FALSE))</f>
        <v>0</v>
      </c>
      <c r="AM80" s="243"/>
      <c r="AN80" s="244"/>
      <c r="AO80" s="244"/>
      <c r="AP80" s="244"/>
      <c r="AQ80" s="245"/>
      <c r="AS80" s="243"/>
      <c r="AT80" s="244"/>
      <c r="AU80" s="244"/>
      <c r="AV80" s="244"/>
      <c r="AW80" s="245"/>
      <c r="AY80" s="137"/>
      <c r="AZ80" s="35"/>
      <c r="BA80" s="35"/>
      <c r="BB80" s="35"/>
      <c r="BC80" s="138"/>
      <c r="BD80" s="151">
        <f t="shared" si="160"/>
        <v>9</v>
      </c>
      <c r="BE80" s="37" t="str">
        <f t="shared" si="139"/>
        <v>N/A</v>
      </c>
      <c r="BF80" s="154"/>
      <c r="BG80" s="151">
        <f t="shared" si="161"/>
        <v>9</v>
      </c>
      <c r="BH80" s="37" t="str">
        <f t="shared" si="141"/>
        <v>N/A</v>
      </c>
      <c r="BI80" s="154"/>
      <c r="BJ80" s="151">
        <f t="shared" si="162"/>
        <v>9</v>
      </c>
      <c r="BK80" s="37" t="str">
        <f t="shared" si="142"/>
        <v>N/A</v>
      </c>
      <c r="BL80" s="154"/>
      <c r="BO80" s="35"/>
      <c r="BP80" s="35"/>
      <c r="BQ80" s="35" t="str">
        <f t="shared" si="157"/>
        <v/>
      </c>
      <c r="BR80" s="35">
        <f t="shared" si="55"/>
        <v>9</v>
      </c>
      <c r="BS80" s="35">
        <f t="shared" si="56"/>
        <v>9</v>
      </c>
      <c r="BT80" s="35">
        <f t="shared" si="57"/>
        <v>9</v>
      </c>
      <c r="BW80" s="35"/>
      <c r="BX80" s="35"/>
      <c r="BY80" s="53"/>
      <c r="BZ80" s="35"/>
      <c r="CA80" s="529"/>
      <c r="CB80" s="35"/>
      <c r="CG80" s="54"/>
    </row>
    <row r="81" spans="1:85" ht="15.75" thickBot="1">
      <c r="A81">
        <v>73</v>
      </c>
      <c r="B81" t="str">
        <f t="shared" si="163"/>
        <v>Ene 03b</v>
      </c>
      <c r="C81" t="str">
        <f t="shared" si="159"/>
        <v>Ene 03</v>
      </c>
      <c r="D81" s="135" t="s">
        <v>730</v>
      </c>
      <c r="E81" s="871" t="s">
        <v>761</v>
      </c>
      <c r="F81" s="607">
        <v>1</v>
      </c>
      <c r="G81" s="607">
        <v>1</v>
      </c>
      <c r="H81" s="607">
        <v>1</v>
      </c>
      <c r="I81" s="607">
        <v>1</v>
      </c>
      <c r="J81" s="607">
        <v>1</v>
      </c>
      <c r="K81" s="607">
        <v>1</v>
      </c>
      <c r="L81" s="607">
        <v>1</v>
      </c>
      <c r="M81" s="607">
        <v>1</v>
      </c>
      <c r="N81" s="607">
        <v>1</v>
      </c>
      <c r="O81" s="607">
        <v>1</v>
      </c>
      <c r="P81" s="607">
        <v>1</v>
      </c>
      <c r="Q81" s="607">
        <v>1</v>
      </c>
      <c r="R81" s="607">
        <v>1</v>
      </c>
      <c r="T81" s="139">
        <f t="shared" si="133"/>
        <v>1</v>
      </c>
      <c r="U81" s="182">
        <f>IF(U80=0,1,0)</f>
        <v>1</v>
      </c>
      <c r="V81" s="138"/>
      <c r="W81" s="197">
        <f>IF(W80=0,1,0)</f>
        <v>1</v>
      </c>
      <c r="X81" s="195"/>
      <c r="Y81" s="894"/>
      <c r="Z81" s="138">
        <f>VLOOKUP(B81,'Manuell filtrering og justering'!$A$7:$H$107,'Manuell filtrering og justering'!$H$1,FALSE)</f>
        <v>1</v>
      </c>
      <c r="AA81" s="139">
        <f>IF(SUM(U81:V81)&gt;T81,T81,SUM(U81:V81))</f>
        <v>1</v>
      </c>
      <c r="AB81" s="813">
        <f>IF($AC$5='Manuell filtrering og justering'!$J$2,Z81-W81,(T81-AA81))</f>
        <v>0</v>
      </c>
      <c r="AD81" s="141">
        <f t="shared" si="136"/>
        <v>0</v>
      </c>
      <c r="AE81" s="141">
        <f t="shared" si="144"/>
        <v>0</v>
      </c>
      <c r="AF81" s="141">
        <f t="shared" si="145"/>
        <v>0</v>
      </c>
      <c r="AG81" s="141">
        <f t="shared" si="146"/>
        <v>0</v>
      </c>
      <c r="AI81" s="142">
        <f>IF(VLOOKUP(E81,'Pre-Assessment Estimator'!$E$11:$Z$227,'Pre-Assessment Estimator'!$G$2,FALSE)&gt;AB81,AB81,VLOOKUP(E81,'Pre-Assessment Estimator'!$E$11:$Z$227,'Pre-Assessment Estimator'!$G$2,FALSE))</f>
        <v>0</v>
      </c>
      <c r="AJ81" s="142">
        <f>IF(VLOOKUP(E81,'Pre-Assessment Estimator'!$E$11:$Z$227,'Pre-Assessment Estimator'!$N$2,FALSE)&gt;AB81,AB81,VLOOKUP(E81,'Pre-Assessment Estimator'!$E$11:$Z$227,'Pre-Assessment Estimator'!$N$2,FALSE))</f>
        <v>0</v>
      </c>
      <c r="AK81" s="142">
        <f>IF(VLOOKUP(E81,'Pre-Assessment Estimator'!$E$11:$Z$227,'Pre-Assessment Estimator'!$U$2,FALSE)&gt;AB81,AB81,VLOOKUP(E81,'Pre-Assessment Estimator'!$E$11:$Z$227,'Pre-Assessment Estimator'!$U$2,FALSE))</f>
        <v>0</v>
      </c>
      <c r="AM81" s="243"/>
      <c r="AN81" s="244"/>
      <c r="AO81" s="244"/>
      <c r="AP81" s="244"/>
      <c r="AQ81" s="245"/>
      <c r="AS81" s="243"/>
      <c r="AT81" s="244"/>
      <c r="AU81" s="244"/>
      <c r="AV81" s="244"/>
      <c r="AW81" s="245"/>
      <c r="AY81" s="137"/>
      <c r="AZ81" s="35"/>
      <c r="BA81" s="35"/>
      <c r="BB81" s="35"/>
      <c r="BC81" s="138"/>
      <c r="BD81" s="151">
        <f t="shared" si="160"/>
        <v>9</v>
      </c>
      <c r="BE81" s="37" t="str">
        <f t="shared" si="139"/>
        <v>N/A</v>
      </c>
      <c r="BF81" s="154"/>
      <c r="BG81" s="151">
        <f t="shared" si="161"/>
        <v>9</v>
      </c>
      <c r="BH81" s="37" t="str">
        <f t="shared" si="141"/>
        <v>N/A</v>
      </c>
      <c r="BI81" s="154"/>
      <c r="BJ81" s="151">
        <f t="shared" si="162"/>
        <v>9</v>
      </c>
      <c r="BK81" s="37" t="str">
        <f t="shared" si="142"/>
        <v>N/A</v>
      </c>
      <c r="BL81" s="154"/>
      <c r="BO81" s="35"/>
      <c r="BP81" s="35"/>
      <c r="BQ81" s="35" t="str">
        <f t="shared" si="157"/>
        <v/>
      </c>
      <c r="BR81" s="35">
        <f t="shared" si="55"/>
        <v>9</v>
      </c>
      <c r="BS81" s="35">
        <f t="shared" si="56"/>
        <v>9</v>
      </c>
      <c r="BT81" s="35">
        <f t="shared" si="57"/>
        <v>9</v>
      </c>
      <c r="BW81" s="35"/>
      <c r="BX81" s="35"/>
      <c r="BY81" s="53"/>
      <c r="BZ81" s="35"/>
      <c r="CA81" s="529"/>
      <c r="CB81" s="35"/>
      <c r="CG81" s="54"/>
    </row>
    <row r="82" spans="1:85">
      <c r="A82">
        <v>74</v>
      </c>
      <c r="D82" s="548" t="s">
        <v>745</v>
      </c>
      <c r="E82" s="547"/>
      <c r="F82" s="749"/>
      <c r="G82" s="749"/>
      <c r="H82" s="749"/>
      <c r="I82" s="749"/>
      <c r="J82" s="749"/>
      <c r="K82" s="749"/>
      <c r="L82" s="749"/>
      <c r="M82" s="749"/>
      <c r="N82" s="749"/>
      <c r="O82" s="749"/>
      <c r="P82" s="749"/>
      <c r="Q82" s="749"/>
      <c r="R82" s="749"/>
      <c r="T82" s="761"/>
      <c r="U82" s="548"/>
      <c r="V82" s="547"/>
      <c r="W82" s="312"/>
      <c r="X82" s="547"/>
      <c r="Y82" s="760"/>
      <c r="Z82" s="138"/>
      <c r="AA82" s="761"/>
      <c r="AB82" s="762"/>
      <c r="AD82" s="141">
        <f t="shared" si="136"/>
        <v>0</v>
      </c>
      <c r="AE82" s="765"/>
      <c r="AF82" s="765"/>
      <c r="AG82" s="765"/>
      <c r="AI82" s="562"/>
      <c r="AJ82" s="562"/>
      <c r="AK82" s="562"/>
      <c r="AM82" s="242"/>
      <c r="AN82" s="150"/>
      <c r="AO82" s="150"/>
      <c r="AP82" s="150"/>
      <c r="AQ82" s="155"/>
      <c r="AS82" s="242"/>
      <c r="AT82" s="150"/>
      <c r="AU82" s="150"/>
      <c r="AV82" s="150"/>
      <c r="AW82" s="155"/>
      <c r="AY82" s="151"/>
      <c r="AZ82" s="152"/>
      <c r="BA82" s="152"/>
      <c r="BB82" s="152"/>
      <c r="BC82" s="156"/>
      <c r="BD82" s="151">
        <f t="shared" si="160"/>
        <v>9</v>
      </c>
      <c r="BE82" s="37" t="str">
        <f t="shared" si="139"/>
        <v>N/A</v>
      </c>
      <c r="BF82" s="154"/>
      <c r="BG82" s="151">
        <f t="shared" si="161"/>
        <v>9</v>
      </c>
      <c r="BH82" s="37" t="str">
        <f t="shared" si="141"/>
        <v>N/A</v>
      </c>
      <c r="BI82" s="154"/>
      <c r="BJ82" s="151">
        <f t="shared" si="162"/>
        <v>9</v>
      </c>
      <c r="BK82" s="37" t="str">
        <f t="shared" si="142"/>
        <v>N/A</v>
      </c>
      <c r="BL82" s="154"/>
      <c r="BO82" s="35"/>
      <c r="BP82" s="35"/>
      <c r="BQ82" s="35" t="str">
        <f t="shared" si="157"/>
        <v/>
      </c>
      <c r="BR82" s="35">
        <f t="shared" si="55"/>
        <v>9</v>
      </c>
      <c r="BS82" s="35">
        <f t="shared" si="56"/>
        <v>9</v>
      </c>
      <c r="BT82" s="35">
        <f t="shared" si="57"/>
        <v>9</v>
      </c>
      <c r="BW82" s="35" t="str">
        <f>D82</f>
        <v>Ene 04</v>
      </c>
      <c r="BX82" s="35" t="str">
        <f>IFERROR(VLOOKUP($E82,'Pre-Assessment Estimator'!$E$11:$AB$227,'Pre-Assessment Estimator'!AB$2,FALSE),"")</f>
        <v/>
      </c>
      <c r="BY82" s="35" t="str">
        <f>IFERROR(VLOOKUP($E82,'Pre-Assessment Estimator'!$E$11:$AI$227,'Pre-Assessment Estimator'!AI$2,FALSE),"")</f>
        <v/>
      </c>
      <c r="BZ82" s="35" t="str">
        <f>IFERROR(VLOOKUP($BX82,$E$293:$H$326,F$291,FALSE),"")</f>
        <v/>
      </c>
      <c r="CA82" s="35" t="str">
        <f>IFERROR(VLOOKUP($BX82,$E$293:$H$326,G$291,FALSE),"")</f>
        <v/>
      </c>
      <c r="CB82" s="35"/>
      <c r="CC82" t="str">
        <f>IFERROR(VLOOKUP($BX82,$E$293:$H$326,I$291,FALSE),"")</f>
        <v/>
      </c>
    </row>
    <row r="83" spans="1:85">
      <c r="A83">
        <v>75</v>
      </c>
      <c r="B83" s="112" t="str">
        <f>D83</f>
        <v>Ene 05</v>
      </c>
      <c r="C83" s="112" t="str">
        <f>B83</f>
        <v>Ene 05</v>
      </c>
      <c r="D83" s="663" t="s">
        <v>356</v>
      </c>
      <c r="E83" s="661" t="s">
        <v>357</v>
      </c>
      <c r="F83" s="748">
        <f t="shared" ref="F83:R83" si="164">SUM(F84:F85)</f>
        <v>2</v>
      </c>
      <c r="G83" s="748">
        <f t="shared" si="164"/>
        <v>2</v>
      </c>
      <c r="H83" s="748">
        <f t="shared" si="164"/>
        <v>0</v>
      </c>
      <c r="I83" s="748">
        <f t="shared" si="164"/>
        <v>2</v>
      </c>
      <c r="J83" s="748">
        <f t="shared" si="164"/>
        <v>2</v>
      </c>
      <c r="K83" s="748">
        <f t="shared" si="164"/>
        <v>2</v>
      </c>
      <c r="L83" s="748">
        <f t="shared" si="164"/>
        <v>2</v>
      </c>
      <c r="M83" s="748">
        <f t="shared" si="164"/>
        <v>2</v>
      </c>
      <c r="N83" s="748">
        <f t="shared" si="164"/>
        <v>2</v>
      </c>
      <c r="O83" s="748">
        <f t="shared" si="164"/>
        <v>2</v>
      </c>
      <c r="P83" s="748">
        <f t="shared" si="164"/>
        <v>2</v>
      </c>
      <c r="Q83" s="748">
        <f t="shared" ref="Q83" si="165">SUM(Q84:Q85)</f>
        <v>2</v>
      </c>
      <c r="R83" s="748">
        <f t="shared" si="164"/>
        <v>2</v>
      </c>
      <c r="T83" s="768">
        <f t="shared" ref="T83:T94" si="166">HLOOKUP($E$6,$F$9:$R$231,$A83,FALSE)</f>
        <v>2</v>
      </c>
      <c r="U83" s="182">
        <f>U84+U85</f>
        <v>0</v>
      </c>
      <c r="V83" s="53"/>
      <c r="W83" s="53"/>
      <c r="X83" s="53">
        <f>'Manuell filtrering og justering'!E33</f>
        <v>0</v>
      </c>
      <c r="Y83" s="53"/>
      <c r="Z83" s="763">
        <f t="shared" ref="Z83" si="167">SUM(Z84:Z85)</f>
        <v>0</v>
      </c>
      <c r="AA83" s="768">
        <f t="shared" ref="AA83:AA94" si="168">IF(SUM(U83:Y83)&gt;T83,T83,SUM(U83:Y83))</f>
        <v>0</v>
      </c>
      <c r="AB83" s="820">
        <f t="shared" ref="AB83" si="169">SUM(AB84:AB85)</f>
        <v>2</v>
      </c>
      <c r="AD83" s="141">
        <f t="shared" si="136"/>
        <v>1.0370370370370372E-2</v>
      </c>
      <c r="AE83" s="736">
        <f>SUM(AE84:AE85)</f>
        <v>0</v>
      </c>
      <c r="AF83" s="736">
        <f t="shared" ref="AF83:AG83" si="170">SUM(AF84:AF85)</f>
        <v>0</v>
      </c>
      <c r="AG83" s="736">
        <f t="shared" si="170"/>
        <v>0</v>
      </c>
      <c r="AI83" s="763">
        <f t="shared" ref="AI83:AK83" si="171">SUM(AI84:AI85)</f>
        <v>0</v>
      </c>
      <c r="AJ83" s="763">
        <f t="shared" si="171"/>
        <v>0</v>
      </c>
      <c r="AK83" s="763">
        <f t="shared" si="171"/>
        <v>0</v>
      </c>
      <c r="AL83" t="s">
        <v>223</v>
      </c>
      <c r="AM83" s="243"/>
      <c r="AN83" s="244"/>
      <c r="AO83" s="244"/>
      <c r="AP83" s="244"/>
      <c r="AQ83" s="245"/>
      <c r="AS83" s="243"/>
      <c r="AT83" s="244"/>
      <c r="AU83" s="244"/>
      <c r="AV83" s="244"/>
      <c r="AW83" s="245"/>
      <c r="AY83" s="137"/>
      <c r="AZ83" s="35"/>
      <c r="BA83" s="35"/>
      <c r="BB83" s="35"/>
      <c r="BC83" s="138"/>
      <c r="BD83" s="151">
        <f t="shared" si="160"/>
        <v>9</v>
      </c>
      <c r="BE83" s="37" t="str">
        <f t="shared" si="139"/>
        <v>N/A</v>
      </c>
      <c r="BF83" s="154"/>
      <c r="BG83" s="151">
        <f t="shared" si="161"/>
        <v>9</v>
      </c>
      <c r="BH83" s="37" t="str">
        <f t="shared" si="141"/>
        <v>N/A</v>
      </c>
      <c r="BI83" s="154"/>
      <c r="BJ83" s="151">
        <f t="shared" si="162"/>
        <v>9</v>
      </c>
      <c r="BK83" s="37" t="str">
        <f t="shared" si="142"/>
        <v>N/A</v>
      </c>
      <c r="BL83" s="154"/>
      <c r="BO83" s="35"/>
      <c r="BP83" s="35"/>
      <c r="BQ83" s="35" t="str">
        <f t="shared" si="157"/>
        <v/>
      </c>
      <c r="BR83" s="35">
        <f t="shared" si="55"/>
        <v>9</v>
      </c>
      <c r="BS83" s="35">
        <f t="shared" si="56"/>
        <v>9</v>
      </c>
      <c r="BT83" s="35">
        <f t="shared" si="57"/>
        <v>9</v>
      </c>
      <c r="BW83" s="35" t="str">
        <f>D83</f>
        <v>Ene 05</v>
      </c>
      <c r="BX83" s="35" t="str">
        <f>IFERROR(VLOOKUP($E83,'Pre-Assessment Estimator'!$E$11:$AB$227,'Pre-Assessment Estimator'!AB$2,FALSE),"")</f>
        <v>No</v>
      </c>
      <c r="BY83" s="53" t="str">
        <f>IFERROR(VLOOKUP($E83,'Pre-Assessment Estimator'!$E$11:$AI$227,'Pre-Assessment Estimator'!AI$2,FALSE),"")</f>
        <v>Ja</v>
      </c>
      <c r="BZ83" s="35">
        <f>IFERROR(VLOOKUP($BX83,$E$293:$H$326,F$291,FALSE),"")</f>
        <v>1</v>
      </c>
      <c r="CA83" s="529" t="s">
        <v>851</v>
      </c>
      <c r="CB83" s="35"/>
      <c r="CC83" t="str">
        <f>IFERROR(VLOOKUP($BX83,$E$293:$H$326,I$291,FALSE),"")</f>
        <v/>
      </c>
      <c r="CD83" t="s">
        <v>844</v>
      </c>
      <c r="CE83" s="35">
        <f>VLOOKUP(CA83,$CA$4:$CB$5,2,FALSE)</f>
        <v>1</v>
      </c>
      <c r="CG83" s="54">
        <f>IF($BX$5=ais_nei,CE83,IF(AND(CA83=$CA$4,BX83=$CC$4),0,BZ83))</f>
        <v>1</v>
      </c>
    </row>
    <row r="84" spans="1:85">
      <c r="A84">
        <v>76</v>
      </c>
      <c r="B84" t="str">
        <f t="shared" ref="B84:B85" si="172">$D$83&amp;D84</f>
        <v>Ene 05a</v>
      </c>
      <c r="C84" t="str">
        <f t="shared" si="159"/>
        <v>Ene 05</v>
      </c>
      <c r="D84" s="135" t="s">
        <v>729</v>
      </c>
      <c r="E84" s="871" t="s">
        <v>615</v>
      </c>
      <c r="F84" s="607">
        <v>1</v>
      </c>
      <c r="G84" s="607">
        <v>1</v>
      </c>
      <c r="H84" s="801">
        <v>0</v>
      </c>
      <c r="I84" s="607">
        <v>1</v>
      </c>
      <c r="J84" s="607">
        <v>1</v>
      </c>
      <c r="K84" s="607">
        <v>1</v>
      </c>
      <c r="L84" s="607">
        <v>1</v>
      </c>
      <c r="M84" s="607">
        <v>1</v>
      </c>
      <c r="N84" s="607">
        <v>1</v>
      </c>
      <c r="O84" s="607">
        <v>1</v>
      </c>
      <c r="P84" s="607">
        <v>1</v>
      </c>
      <c r="Q84" s="607">
        <v>1</v>
      </c>
      <c r="R84" s="607">
        <v>1</v>
      </c>
      <c r="T84" s="139">
        <f t="shared" si="166"/>
        <v>1</v>
      </c>
      <c r="U84" s="182">
        <f>IF(AD_refrig=AD_no,T84,0)</f>
        <v>0</v>
      </c>
      <c r="V84" s="35"/>
      <c r="W84" s="35"/>
      <c r="X84" s="35"/>
      <c r="Y84" s="139">
        <f>IF($Y$4=$Y$6,T84,0)</f>
        <v>0</v>
      </c>
      <c r="Z84" s="138">
        <f>VLOOKUP(B84,'Manuell filtrering og justering'!$A$7:$H$107,'Manuell filtrering og justering'!$H$1,FALSE)</f>
        <v>0</v>
      </c>
      <c r="AA84" s="139">
        <f t="shared" si="168"/>
        <v>0</v>
      </c>
      <c r="AB84" s="140">
        <f>IF($AC$5='Manuell filtrering og justering'!$J$2,Z84,(T84-AA84))</f>
        <v>1</v>
      </c>
      <c r="AD84" s="141">
        <f t="shared" si="136"/>
        <v>5.1851851851851859E-3</v>
      </c>
      <c r="AE84" s="141">
        <f t="shared" si="144"/>
        <v>0</v>
      </c>
      <c r="AF84" s="141">
        <f t="shared" si="145"/>
        <v>0</v>
      </c>
      <c r="AG84" s="141">
        <f t="shared" si="146"/>
        <v>0</v>
      </c>
      <c r="AI84" s="142">
        <f>IF(VLOOKUP(E84,'Pre-Assessment Estimator'!$E$11:$Z$227,'Pre-Assessment Estimator'!$G$2,FALSE)&gt;AB84,AB84,VLOOKUP(E84,'Pre-Assessment Estimator'!$E$11:$Z$227,'Pre-Assessment Estimator'!$G$2,FALSE))</f>
        <v>0</v>
      </c>
      <c r="AJ84" s="142">
        <f>IF(VLOOKUP(E84,'Pre-Assessment Estimator'!$E$11:$Z$227,'Pre-Assessment Estimator'!$N$2,FALSE)&gt;AB84,AB84,VLOOKUP(E84,'Pre-Assessment Estimator'!$E$11:$Z$227,'Pre-Assessment Estimator'!$N$2,FALSE))</f>
        <v>0</v>
      </c>
      <c r="AK84" s="142">
        <f>IF(VLOOKUP(E84,'Pre-Assessment Estimator'!$E$11:$Z$227,'Pre-Assessment Estimator'!$U$2,FALSE)&gt;AB84,AB84,VLOOKUP(E84,'Pre-Assessment Estimator'!$E$11:$Z$227,'Pre-Assessment Estimator'!$U$2,FALSE))</f>
        <v>0</v>
      </c>
      <c r="AM84" s="243"/>
      <c r="AN84" s="244"/>
      <c r="AO84" s="244"/>
      <c r="AP84" s="244"/>
      <c r="AQ84" s="245"/>
      <c r="AS84" s="243"/>
      <c r="AT84" s="244"/>
      <c r="AU84" s="244"/>
      <c r="AV84" s="244"/>
      <c r="AW84" s="245"/>
      <c r="AY84" s="137"/>
      <c r="AZ84" s="35"/>
      <c r="BA84" s="35"/>
      <c r="BB84" s="35"/>
      <c r="BC84" s="138"/>
      <c r="BD84" s="151">
        <f t="shared" si="160"/>
        <v>9</v>
      </c>
      <c r="BE84" s="37" t="str">
        <f t="shared" si="139"/>
        <v>N/A</v>
      </c>
      <c r="BF84" s="154"/>
      <c r="BG84" s="151">
        <f t="shared" si="161"/>
        <v>9</v>
      </c>
      <c r="BH84" s="37" t="str">
        <f t="shared" si="141"/>
        <v>N/A</v>
      </c>
      <c r="BI84" s="154"/>
      <c r="BJ84" s="151">
        <f t="shared" si="162"/>
        <v>9</v>
      </c>
      <c r="BK84" s="37" t="str">
        <f t="shared" si="142"/>
        <v>N/A</v>
      </c>
      <c r="BL84" s="154"/>
      <c r="BO84" s="35"/>
      <c r="BP84" s="35"/>
      <c r="BQ84" s="35" t="str">
        <f t="shared" si="157"/>
        <v/>
      </c>
      <c r="BR84" s="35">
        <f t="shared" si="55"/>
        <v>9</v>
      </c>
      <c r="BS84" s="35">
        <f t="shared" si="56"/>
        <v>9</v>
      </c>
      <c r="BT84" s="35">
        <f t="shared" si="57"/>
        <v>9</v>
      </c>
      <c r="BW84" s="35"/>
      <c r="BX84" s="35"/>
      <c r="BY84" s="53"/>
      <c r="BZ84" s="35"/>
      <c r="CA84" s="529"/>
      <c r="CB84" s="35"/>
      <c r="CG84" s="54"/>
    </row>
    <row r="85" spans="1:85">
      <c r="A85">
        <v>77</v>
      </c>
      <c r="B85" t="str">
        <f t="shared" si="172"/>
        <v>Ene 05b</v>
      </c>
      <c r="C85" t="str">
        <f t="shared" si="159"/>
        <v>Ene 05</v>
      </c>
      <c r="D85" s="135" t="s">
        <v>730</v>
      </c>
      <c r="E85" s="871" t="s">
        <v>616</v>
      </c>
      <c r="F85" s="607">
        <v>1</v>
      </c>
      <c r="G85" s="607">
        <v>1</v>
      </c>
      <c r="H85" s="801">
        <v>0</v>
      </c>
      <c r="I85" s="607">
        <v>1</v>
      </c>
      <c r="J85" s="607">
        <v>1</v>
      </c>
      <c r="K85" s="607">
        <v>1</v>
      </c>
      <c r="L85" s="607">
        <v>1</v>
      </c>
      <c r="M85" s="607">
        <v>1</v>
      </c>
      <c r="N85" s="607">
        <v>1</v>
      </c>
      <c r="O85" s="607">
        <v>1</v>
      </c>
      <c r="P85" s="607">
        <v>1</v>
      </c>
      <c r="Q85" s="607">
        <v>1</v>
      </c>
      <c r="R85" s="607">
        <v>1</v>
      </c>
      <c r="T85" s="139">
        <f t="shared" si="166"/>
        <v>1</v>
      </c>
      <c r="U85" s="182">
        <f>IF(AD_refrig=AD_no,T85,0)</f>
        <v>0</v>
      </c>
      <c r="V85" s="35"/>
      <c r="W85" s="35"/>
      <c r="X85" s="35"/>
      <c r="Y85" s="139">
        <f>IF($Y$4=$Y$6,T85,0)</f>
        <v>0</v>
      </c>
      <c r="Z85" s="138">
        <f>VLOOKUP(B85,'Manuell filtrering og justering'!$A$7:$H$107,'Manuell filtrering og justering'!$H$1,FALSE)</f>
        <v>0</v>
      </c>
      <c r="AA85" s="139">
        <f t="shared" si="168"/>
        <v>0</v>
      </c>
      <c r="AB85" s="140">
        <f>IF($AC$5='Manuell filtrering og justering'!$J$2,Z85,(T85-AA85))</f>
        <v>1</v>
      </c>
      <c r="AD85" s="141">
        <f t="shared" si="136"/>
        <v>5.1851851851851859E-3</v>
      </c>
      <c r="AE85" s="141">
        <f t="shared" si="144"/>
        <v>0</v>
      </c>
      <c r="AF85" s="141">
        <f t="shared" si="145"/>
        <v>0</v>
      </c>
      <c r="AG85" s="141">
        <f t="shared" si="146"/>
        <v>0</v>
      </c>
      <c r="AI85" s="142">
        <f>IF(VLOOKUP(E85,'Pre-Assessment Estimator'!$E$11:$Z$227,'Pre-Assessment Estimator'!$G$2,FALSE)&gt;AB85,AB85,VLOOKUP(E85,'Pre-Assessment Estimator'!$E$11:$Z$227,'Pre-Assessment Estimator'!$G$2,FALSE))</f>
        <v>0</v>
      </c>
      <c r="AJ85" s="142">
        <f>IF(VLOOKUP(E85,'Pre-Assessment Estimator'!$E$11:$Z$227,'Pre-Assessment Estimator'!$N$2,FALSE)&gt;AB85,AB85,VLOOKUP(E85,'Pre-Assessment Estimator'!$E$11:$Z$227,'Pre-Assessment Estimator'!$N$2,FALSE))</f>
        <v>0</v>
      </c>
      <c r="AK85" s="142">
        <f>IF(VLOOKUP(E85,'Pre-Assessment Estimator'!$E$11:$Z$227,'Pre-Assessment Estimator'!$U$2,FALSE)&gt;AB85,AB85,VLOOKUP(E85,'Pre-Assessment Estimator'!$E$11:$Z$227,'Pre-Assessment Estimator'!$U$2,FALSE))</f>
        <v>0</v>
      </c>
      <c r="AM85" s="243"/>
      <c r="AN85" s="244"/>
      <c r="AO85" s="244"/>
      <c r="AP85" s="244"/>
      <c r="AQ85" s="245"/>
      <c r="AS85" s="243"/>
      <c r="AT85" s="244"/>
      <c r="AU85" s="244"/>
      <c r="AV85" s="244"/>
      <c r="AW85" s="245"/>
      <c r="AY85" s="137"/>
      <c r="AZ85" s="35"/>
      <c r="BA85" s="35"/>
      <c r="BB85" s="35"/>
      <c r="BC85" s="138"/>
      <c r="BD85" s="151">
        <f t="shared" si="160"/>
        <v>9</v>
      </c>
      <c r="BE85" s="37" t="str">
        <f t="shared" si="139"/>
        <v>N/A</v>
      </c>
      <c r="BF85" s="154"/>
      <c r="BG85" s="151">
        <f t="shared" si="161"/>
        <v>9</v>
      </c>
      <c r="BH85" s="37" t="str">
        <f t="shared" si="141"/>
        <v>N/A</v>
      </c>
      <c r="BI85" s="154"/>
      <c r="BJ85" s="151">
        <f t="shared" si="162"/>
        <v>9</v>
      </c>
      <c r="BK85" s="37" t="str">
        <f t="shared" si="142"/>
        <v>N/A</v>
      </c>
      <c r="BL85" s="154"/>
      <c r="BO85" s="35"/>
      <c r="BP85" s="35"/>
      <c r="BQ85" s="35" t="str">
        <f t="shared" si="157"/>
        <v/>
      </c>
      <c r="BR85" s="35">
        <f t="shared" si="55"/>
        <v>9</v>
      </c>
      <c r="BS85" s="35">
        <f t="shared" si="56"/>
        <v>9</v>
      </c>
      <c r="BT85" s="35">
        <f t="shared" si="57"/>
        <v>9</v>
      </c>
      <c r="BW85" s="35"/>
      <c r="BX85" s="35"/>
      <c r="BY85" s="53"/>
      <c r="BZ85" s="35"/>
      <c r="CA85" s="529"/>
      <c r="CB85" s="35"/>
      <c r="CG85" s="54"/>
    </row>
    <row r="86" spans="1:85">
      <c r="A86">
        <v>78</v>
      </c>
      <c r="B86" s="112" t="str">
        <f>D86</f>
        <v>Ene 06</v>
      </c>
      <c r="C86" s="112" t="str">
        <f>B86</f>
        <v>Ene 06</v>
      </c>
      <c r="D86" s="663" t="s">
        <v>186</v>
      </c>
      <c r="E86" s="661" t="s">
        <v>360</v>
      </c>
      <c r="F86" s="748">
        <f t="shared" ref="F86:R86" si="173">SUM(F87:F89)</f>
        <v>3</v>
      </c>
      <c r="G86" s="748">
        <f t="shared" si="173"/>
        <v>3</v>
      </c>
      <c r="H86" s="748">
        <f t="shared" si="173"/>
        <v>3</v>
      </c>
      <c r="I86" s="748">
        <f t="shared" si="173"/>
        <v>3</v>
      </c>
      <c r="J86" s="748">
        <f t="shared" si="173"/>
        <v>3</v>
      </c>
      <c r="K86" s="748">
        <f t="shared" si="173"/>
        <v>3</v>
      </c>
      <c r="L86" s="748">
        <f t="shared" si="173"/>
        <v>3</v>
      </c>
      <c r="M86" s="748">
        <f t="shared" si="173"/>
        <v>3</v>
      </c>
      <c r="N86" s="748">
        <f t="shared" si="173"/>
        <v>3</v>
      </c>
      <c r="O86" s="748">
        <f t="shared" si="173"/>
        <v>3</v>
      </c>
      <c r="P86" s="748">
        <f t="shared" si="173"/>
        <v>3</v>
      </c>
      <c r="Q86" s="748">
        <f t="shared" ref="Q86" si="174">SUM(Q87:Q89)</f>
        <v>3</v>
      </c>
      <c r="R86" s="748">
        <f t="shared" si="173"/>
        <v>3</v>
      </c>
      <c r="T86" s="768">
        <f t="shared" si="166"/>
        <v>3</v>
      </c>
      <c r="U86" s="53">
        <f>U87+U88+U89</f>
        <v>0</v>
      </c>
      <c r="V86" s="53"/>
      <c r="W86" s="53"/>
      <c r="X86" s="53">
        <f>'Manuell filtrering og justering'!E34</f>
        <v>0</v>
      </c>
      <c r="Y86" s="53"/>
      <c r="Z86" s="763">
        <f t="shared" ref="Z86" si="175">SUM(Z87:Z89)</f>
        <v>3</v>
      </c>
      <c r="AA86" s="768">
        <f t="shared" si="168"/>
        <v>0</v>
      </c>
      <c r="AB86" s="820">
        <f>SUM(AB87:AB89)</f>
        <v>3</v>
      </c>
      <c r="AD86" s="141">
        <f t="shared" si="136"/>
        <v>1.5555555555555559E-2</v>
      </c>
      <c r="AE86" s="736">
        <f>SUM(AE87:AE89)</f>
        <v>0</v>
      </c>
      <c r="AF86" s="736">
        <f t="shared" ref="AF86:AG86" si="176">SUM(AF87:AF89)</f>
        <v>0</v>
      </c>
      <c r="AG86" s="736">
        <f t="shared" si="176"/>
        <v>0</v>
      </c>
      <c r="AI86" s="763">
        <f t="shared" ref="AI86:AK86" si="177">SUM(AI87:AI89)</f>
        <v>0</v>
      </c>
      <c r="AJ86" s="763">
        <f t="shared" si="177"/>
        <v>0</v>
      </c>
      <c r="AK86" s="763">
        <f t="shared" si="177"/>
        <v>0</v>
      </c>
      <c r="AM86" s="243"/>
      <c r="AN86" s="244"/>
      <c r="AO86" s="244"/>
      <c r="AP86" s="244"/>
      <c r="AQ86" s="245"/>
      <c r="AS86" s="243"/>
      <c r="AT86" s="244"/>
      <c r="AU86" s="244"/>
      <c r="AV86" s="244"/>
      <c r="AW86" s="245"/>
      <c r="AY86" s="137"/>
      <c r="AZ86" s="35"/>
      <c r="BA86" s="35"/>
      <c r="BB86" s="35"/>
      <c r="BC86" s="138"/>
      <c r="BD86" s="151">
        <f t="shared" si="160"/>
        <v>9</v>
      </c>
      <c r="BE86" s="37" t="str">
        <f t="shared" si="139"/>
        <v>N/A</v>
      </c>
      <c r="BF86" s="154"/>
      <c r="BG86" s="151">
        <f t="shared" si="161"/>
        <v>9</v>
      </c>
      <c r="BH86" s="37" t="str">
        <f t="shared" si="141"/>
        <v>N/A</v>
      </c>
      <c r="BI86" s="154"/>
      <c r="BJ86" s="151">
        <f t="shared" si="162"/>
        <v>9</v>
      </c>
      <c r="BK86" s="37" t="str">
        <f t="shared" si="142"/>
        <v>N/A</v>
      </c>
      <c r="BL86" s="154"/>
      <c r="BO86" s="35"/>
      <c r="BP86" s="35"/>
      <c r="BQ86" s="35" t="str">
        <f t="shared" si="157"/>
        <v/>
      </c>
      <c r="BR86" s="35">
        <f t="shared" si="55"/>
        <v>9</v>
      </c>
      <c r="BS86" s="35">
        <f t="shared" si="56"/>
        <v>9</v>
      </c>
      <c r="BT86" s="35">
        <f t="shared" si="57"/>
        <v>9</v>
      </c>
      <c r="BW86" s="35" t="str">
        <f>D86</f>
        <v>Ene 06</v>
      </c>
      <c r="BX86" s="35" t="str">
        <f>IFERROR(VLOOKUP($E86,'Pre-Assessment Estimator'!$E$11:$AB$227,'Pre-Assessment Estimator'!AB$2,FALSE),"")</f>
        <v>No</v>
      </c>
      <c r="BY86" s="35">
        <f>IFERROR(VLOOKUP($E86,'Pre-Assessment Estimator'!$E$11:$AI$227,'Pre-Assessment Estimator'!AI$2,FALSE),"")</f>
        <v>0</v>
      </c>
      <c r="BZ86" s="35">
        <f>IFERROR(VLOOKUP($BX86,$E$293:$H$326,F$291,FALSE),"")</f>
        <v>1</v>
      </c>
      <c r="CA86" s="35">
        <f>IFERROR(VLOOKUP($BX86,$E$293:$H$326,G$291,FALSE),"")</f>
        <v>0</v>
      </c>
      <c r="CB86" s="35"/>
      <c r="CC86" t="str">
        <f>IFERROR(VLOOKUP($BX86,$E$293:$H$326,I$291,FALSE),"")</f>
        <v/>
      </c>
    </row>
    <row r="87" spans="1:85">
      <c r="A87">
        <v>79</v>
      </c>
      <c r="B87" t="str">
        <f t="shared" ref="B87:B89" si="178">$D$86&amp;D87</f>
        <v>Ene 06a</v>
      </c>
      <c r="C87" t="str">
        <f t="shared" si="159"/>
        <v>Ene 06</v>
      </c>
      <c r="D87" s="135" t="s">
        <v>729</v>
      </c>
      <c r="E87" s="871" t="s">
        <v>763</v>
      </c>
      <c r="F87" s="607">
        <v>1</v>
      </c>
      <c r="G87" s="607">
        <v>1</v>
      </c>
      <c r="H87" s="607">
        <v>1</v>
      </c>
      <c r="I87" s="607">
        <v>1</v>
      </c>
      <c r="J87" s="607">
        <v>1</v>
      </c>
      <c r="K87" s="607">
        <v>1</v>
      </c>
      <c r="L87" s="607">
        <v>1</v>
      </c>
      <c r="M87" s="607">
        <v>1</v>
      </c>
      <c r="N87" s="607">
        <v>1</v>
      </c>
      <c r="O87" s="607">
        <v>1</v>
      </c>
      <c r="P87" s="607">
        <v>1</v>
      </c>
      <c r="Q87" s="607">
        <v>1</v>
      </c>
      <c r="R87" s="607">
        <v>1</v>
      </c>
      <c r="T87" s="139">
        <f t="shared" si="166"/>
        <v>1</v>
      </c>
      <c r="U87" s="182">
        <f>IF(AD_Trans=AD_no,Poeng!T87,0)</f>
        <v>0</v>
      </c>
      <c r="V87" s="35"/>
      <c r="W87" s="35"/>
      <c r="X87" s="35"/>
      <c r="Y87" s="138"/>
      <c r="Z87" s="138">
        <f>VLOOKUP(B87,'Manuell filtrering og justering'!$A$7:$H$107,'Manuell filtrering og justering'!$H$1,FALSE)</f>
        <v>1</v>
      </c>
      <c r="AA87" s="139">
        <f t="shared" si="168"/>
        <v>0</v>
      </c>
      <c r="AB87" s="140">
        <f>IF($AC$5='Manuell filtrering og justering'!$J$2,Z87,(T87-AA87))</f>
        <v>1</v>
      </c>
      <c r="AD87" s="141">
        <f t="shared" si="136"/>
        <v>5.1851851851851859E-3</v>
      </c>
      <c r="AE87" s="141">
        <f t="shared" si="144"/>
        <v>0</v>
      </c>
      <c r="AF87" s="141">
        <f t="shared" si="145"/>
        <v>0</v>
      </c>
      <c r="AG87" s="141">
        <f t="shared" si="146"/>
        <v>0</v>
      </c>
      <c r="AI87" s="142">
        <f>IF(VLOOKUP(E87,'Pre-Assessment Estimator'!$E$11:$Z$227,'Pre-Assessment Estimator'!$G$2,FALSE)&gt;AB87,AB87,VLOOKUP(E87,'Pre-Assessment Estimator'!$E$11:$Z$227,'Pre-Assessment Estimator'!$G$2,FALSE))</f>
        <v>0</v>
      </c>
      <c r="AJ87" s="142">
        <f>IF(VLOOKUP(E87,'Pre-Assessment Estimator'!$E$11:$Z$227,'Pre-Assessment Estimator'!$N$2,FALSE)&gt;AB87,AB87,VLOOKUP(E87,'Pre-Assessment Estimator'!$E$11:$Z$227,'Pre-Assessment Estimator'!$N$2,FALSE))</f>
        <v>0</v>
      </c>
      <c r="AK87" s="142">
        <f>IF(VLOOKUP(E87,'Pre-Assessment Estimator'!$E$11:$Z$227,'Pre-Assessment Estimator'!$U$2,FALSE)&gt;AB87,AB87,VLOOKUP(E87,'Pre-Assessment Estimator'!$E$11:$Z$227,'Pre-Assessment Estimator'!$U$2,FALSE))</f>
        <v>0</v>
      </c>
      <c r="AM87" s="243"/>
      <c r="AN87" s="244"/>
      <c r="AO87" s="244"/>
      <c r="AP87" s="244"/>
      <c r="AQ87" s="245"/>
      <c r="AS87" s="243"/>
      <c r="AT87" s="244"/>
      <c r="AU87" s="244"/>
      <c r="AV87" s="244"/>
      <c r="AW87" s="245"/>
      <c r="AY87" s="137"/>
      <c r="AZ87" s="35"/>
      <c r="BA87" s="35"/>
      <c r="BB87" s="35"/>
      <c r="BC87" s="138"/>
      <c r="BD87" s="151">
        <f t="shared" si="160"/>
        <v>9</v>
      </c>
      <c r="BE87" s="37" t="str">
        <f t="shared" si="139"/>
        <v>N/A</v>
      </c>
      <c r="BF87" s="154"/>
      <c r="BG87" s="151">
        <f t="shared" si="161"/>
        <v>9</v>
      </c>
      <c r="BH87" s="37" t="str">
        <f t="shared" si="141"/>
        <v>N/A</v>
      </c>
      <c r="BI87" s="154"/>
      <c r="BJ87" s="151">
        <f t="shared" si="162"/>
        <v>9</v>
      </c>
      <c r="BK87" s="37" t="str">
        <f t="shared" si="142"/>
        <v>N/A</v>
      </c>
      <c r="BL87" s="154"/>
      <c r="BO87" s="35"/>
      <c r="BP87" s="35"/>
      <c r="BQ87" s="35" t="str">
        <f t="shared" si="157"/>
        <v/>
      </c>
      <c r="BR87" s="35">
        <f t="shared" si="55"/>
        <v>9</v>
      </c>
      <c r="BS87" s="35">
        <f t="shared" si="56"/>
        <v>9</v>
      </c>
      <c r="BT87" s="35">
        <f t="shared" si="57"/>
        <v>9</v>
      </c>
      <c r="BW87" s="35"/>
      <c r="BX87" s="35"/>
      <c r="BY87" s="35"/>
      <c r="BZ87" s="35"/>
      <c r="CA87" s="35"/>
      <c r="CB87" s="35"/>
    </row>
    <row r="88" spans="1:85">
      <c r="A88">
        <v>80</v>
      </c>
      <c r="B88" t="str">
        <f t="shared" si="178"/>
        <v>Ene 06b</v>
      </c>
      <c r="C88" t="str">
        <f t="shared" si="159"/>
        <v>Ene 06</v>
      </c>
      <c r="D88" s="135" t="s">
        <v>730</v>
      </c>
      <c r="E88" s="871" t="s">
        <v>905</v>
      </c>
      <c r="F88" s="607">
        <v>1</v>
      </c>
      <c r="G88" s="607">
        <v>1</v>
      </c>
      <c r="H88" s="607">
        <v>1</v>
      </c>
      <c r="I88" s="607">
        <v>1</v>
      </c>
      <c r="J88" s="607">
        <v>1</v>
      </c>
      <c r="K88" s="607">
        <v>1</v>
      </c>
      <c r="L88" s="607">
        <v>1</v>
      </c>
      <c r="M88" s="607">
        <v>1</v>
      </c>
      <c r="N88" s="607">
        <v>1</v>
      </c>
      <c r="O88" s="607">
        <v>1</v>
      </c>
      <c r="P88" s="607">
        <v>1</v>
      </c>
      <c r="Q88" s="607">
        <v>1</v>
      </c>
      <c r="R88" s="607">
        <v>1</v>
      </c>
      <c r="T88" s="139">
        <f t="shared" si="166"/>
        <v>1</v>
      </c>
      <c r="U88" s="182">
        <f>IF(OR(AD_Trans='Assessment Details'!R53,AD_Trans='Assessment Details'!Q53),Poeng!T88,0)</f>
        <v>0</v>
      </c>
      <c r="V88" s="35"/>
      <c r="W88" s="35"/>
      <c r="X88" s="35"/>
      <c r="Y88" s="138"/>
      <c r="Z88" s="138">
        <f>VLOOKUP(B88,'Manuell filtrering og justering'!$A$7:$H$107,'Manuell filtrering og justering'!$H$1,FALSE)</f>
        <v>1</v>
      </c>
      <c r="AA88" s="139">
        <f t="shared" si="168"/>
        <v>0</v>
      </c>
      <c r="AB88" s="140">
        <f>IF($AC$5='Manuell filtrering og justering'!$J$2,Z88,(T88-AA88))</f>
        <v>1</v>
      </c>
      <c r="AD88" s="141">
        <f t="shared" ref="AD88" si="179">(Ene_Weight/Ene_Credits)*AB88</f>
        <v>5.1851851851851859E-3</v>
      </c>
      <c r="AE88" s="141">
        <f t="shared" ref="AE88" si="180">IF(AB88=0,0,(AD88/AB88)*AI88)</f>
        <v>0</v>
      </c>
      <c r="AF88" s="141">
        <f t="shared" ref="AF88" si="181">IF(AB88=0,0,(AD88/AB88)*AJ88)</f>
        <v>0</v>
      </c>
      <c r="AG88" s="141">
        <f t="shared" ref="AG88" si="182">IF(AB88=0,0,(AD88/AB88)*AK88)</f>
        <v>0</v>
      </c>
      <c r="AI88" s="142">
        <f>IF(VLOOKUP(E88,'Pre-Assessment Estimator'!$E$11:$Z$227,'Pre-Assessment Estimator'!$G$2,FALSE)&gt;AB88,AB88,VLOOKUP(E88,'Pre-Assessment Estimator'!$E$11:$Z$227,'Pre-Assessment Estimator'!$G$2,FALSE))</f>
        <v>0</v>
      </c>
      <c r="AJ88" s="142">
        <f>IF(VLOOKUP(E88,'Pre-Assessment Estimator'!$E$11:$Z$227,'Pre-Assessment Estimator'!$N$2,FALSE)&gt;AB88,AB88,VLOOKUP(E88,'Pre-Assessment Estimator'!$E$11:$Z$227,'Pre-Assessment Estimator'!$N$2,FALSE))</f>
        <v>0</v>
      </c>
      <c r="AK88" s="142">
        <f>IF(VLOOKUP(E88,'Pre-Assessment Estimator'!$E$11:$Z$227,'Pre-Assessment Estimator'!$U$2,FALSE)&gt;AB88,AB88,VLOOKUP(E88,'Pre-Assessment Estimator'!$E$11:$Z$227,'Pre-Assessment Estimator'!$U$2,FALSE))</f>
        <v>0</v>
      </c>
      <c r="AM88" s="243"/>
      <c r="AN88" s="244"/>
      <c r="AO88" s="244"/>
      <c r="AP88" s="244"/>
      <c r="AQ88" s="245"/>
      <c r="AS88" s="243"/>
      <c r="AT88" s="244"/>
      <c r="AU88" s="244"/>
      <c r="AV88" s="244"/>
      <c r="AW88" s="245"/>
      <c r="AY88" s="137"/>
      <c r="AZ88" s="35"/>
      <c r="BA88" s="35"/>
      <c r="BB88" s="35"/>
      <c r="BC88" s="138"/>
      <c r="BD88" s="151">
        <f t="shared" ref="BD88" si="183">IF(BC88=0,9,IF((AI88-CG88)&gt;=BC88,5,IF((AI88-CG88)&gt;=BB88,4,IF((AI88-CG88)&gt;=BA88,3,IF((AI88-CG88)&gt;=AZ88,2,IF((AI88-CG88)&lt;AY88,0,1))))))</f>
        <v>9</v>
      </c>
      <c r="BE88" s="37" t="str">
        <f t="shared" si="139"/>
        <v>N/A</v>
      </c>
      <c r="BF88" s="154"/>
      <c r="BG88" s="151">
        <f t="shared" ref="BG88" si="184">IF(BC88=0,9,IF((AJ88-CG88)&gt;=BC88,5,IF((AJ88-CG88)&gt;=BB88,4,IF((AJ88-CG88)&gt;=BA88,3,IF((AJ88-CG88)&gt;=AZ88,2,IF((AJ88-CG88)&lt;AY88,0,1))))))</f>
        <v>9</v>
      </c>
      <c r="BH88" s="37" t="str">
        <f t="shared" si="141"/>
        <v>N/A</v>
      </c>
      <c r="BI88" s="154"/>
      <c r="BJ88" s="151">
        <f t="shared" ref="BJ88" si="185">IF(BC88=0,9,IF((AK88-CG88)&gt;=BC88,5,IF((AK88-CG88)&gt;=BB88,4,IF((AK88-CG88)&gt;=BA88,3,IF((AK88-CG88)&gt;=AZ88,2,IF((AK88-CG88)&lt;AY88,0,1))))))</f>
        <v>9</v>
      </c>
      <c r="BK88" s="37" t="str">
        <f t="shared" si="142"/>
        <v>N/A</v>
      </c>
      <c r="BL88" s="154"/>
      <c r="BO88" s="35"/>
      <c r="BP88" s="35"/>
      <c r="BQ88" s="35" t="str">
        <f t="shared" si="157"/>
        <v/>
      </c>
      <c r="BR88" s="35">
        <f t="shared" si="55"/>
        <v>9</v>
      </c>
      <c r="BS88" s="35">
        <f t="shared" si="56"/>
        <v>9</v>
      </c>
      <c r="BT88" s="35">
        <f t="shared" si="57"/>
        <v>9</v>
      </c>
      <c r="BW88" s="35"/>
      <c r="BX88" s="35"/>
      <c r="BY88" s="35"/>
      <c r="BZ88" s="35"/>
      <c r="CA88" s="35"/>
      <c r="CB88" s="35"/>
    </row>
    <row r="89" spans="1:85">
      <c r="A89">
        <v>81</v>
      </c>
      <c r="B89" t="str">
        <f t="shared" si="178"/>
        <v>Ene 06c</v>
      </c>
      <c r="C89" t="str">
        <f t="shared" si="159"/>
        <v>Ene 06</v>
      </c>
      <c r="D89" s="135" t="s">
        <v>731</v>
      </c>
      <c r="E89" s="871" t="s">
        <v>906</v>
      </c>
      <c r="F89" s="607">
        <v>1</v>
      </c>
      <c r="G89" s="607">
        <v>1</v>
      </c>
      <c r="H89" s="607">
        <v>1</v>
      </c>
      <c r="I89" s="607">
        <v>1</v>
      </c>
      <c r="J89" s="607">
        <v>1</v>
      </c>
      <c r="K89" s="607">
        <v>1</v>
      </c>
      <c r="L89" s="607">
        <v>1</v>
      </c>
      <c r="M89" s="607">
        <v>1</v>
      </c>
      <c r="N89" s="607">
        <v>1</v>
      </c>
      <c r="O89" s="607">
        <v>1</v>
      </c>
      <c r="P89" s="607">
        <v>1</v>
      </c>
      <c r="Q89" s="607">
        <v>1</v>
      </c>
      <c r="R89" s="607">
        <v>1</v>
      </c>
      <c r="T89" s="139">
        <f t="shared" si="166"/>
        <v>1</v>
      </c>
      <c r="U89" s="182">
        <f>IF(OR(AD_Trans='Assessment Details'!R53,AD_Trans='Assessment Details'!Q52),Poeng!T88,0)</f>
        <v>0</v>
      </c>
      <c r="V89" s="35"/>
      <c r="W89" s="35"/>
      <c r="X89" s="35"/>
      <c r="Y89" s="138"/>
      <c r="Z89" s="138">
        <f>VLOOKUP(B89,'Manuell filtrering og justering'!$A$7:$H$107,'Manuell filtrering og justering'!$H$1,FALSE)</f>
        <v>1</v>
      </c>
      <c r="AA89" s="139">
        <f t="shared" si="168"/>
        <v>0</v>
      </c>
      <c r="AB89" s="140">
        <f>IF($AC$5='Manuell filtrering og justering'!$J$2,Z89,(T89-AA89))</f>
        <v>1</v>
      </c>
      <c r="AD89" s="141">
        <f t="shared" si="136"/>
        <v>5.1851851851851859E-3</v>
      </c>
      <c r="AE89" s="141">
        <f t="shared" si="144"/>
        <v>0</v>
      </c>
      <c r="AF89" s="141">
        <f t="shared" si="145"/>
        <v>0</v>
      </c>
      <c r="AG89" s="141">
        <f t="shared" si="146"/>
        <v>0</v>
      </c>
      <c r="AI89" s="142">
        <f>IF(VLOOKUP(E89,'Pre-Assessment Estimator'!$E$11:$Z$227,'Pre-Assessment Estimator'!$G$2,FALSE)&gt;AB89,AB89,VLOOKUP(E89,'Pre-Assessment Estimator'!$E$11:$Z$227,'Pre-Assessment Estimator'!$G$2,FALSE))</f>
        <v>0</v>
      </c>
      <c r="AJ89" s="142">
        <f>IF(VLOOKUP(E89,'Pre-Assessment Estimator'!$E$11:$Z$227,'Pre-Assessment Estimator'!$N$2,FALSE)&gt;AB89,AB89,VLOOKUP(E89,'Pre-Assessment Estimator'!$E$11:$Z$227,'Pre-Assessment Estimator'!$N$2,FALSE))</f>
        <v>0</v>
      </c>
      <c r="AK89" s="142">
        <f>IF(VLOOKUP(E89,'Pre-Assessment Estimator'!$E$11:$Z$227,'Pre-Assessment Estimator'!$U$2,FALSE)&gt;AB89,AB89,VLOOKUP(E89,'Pre-Assessment Estimator'!$E$11:$Z$227,'Pre-Assessment Estimator'!$U$2,FALSE))</f>
        <v>0</v>
      </c>
      <c r="AM89" s="243"/>
      <c r="AN89" s="244"/>
      <c r="AO89" s="244"/>
      <c r="AP89" s="244"/>
      <c r="AQ89" s="245"/>
      <c r="AS89" s="243"/>
      <c r="AT89" s="244"/>
      <c r="AU89" s="244"/>
      <c r="AV89" s="244"/>
      <c r="AW89" s="245"/>
      <c r="AY89" s="137"/>
      <c r="AZ89" s="35"/>
      <c r="BA89" s="35"/>
      <c r="BB89" s="35"/>
      <c r="BC89" s="138"/>
      <c r="BD89" s="151">
        <f t="shared" si="160"/>
        <v>9</v>
      </c>
      <c r="BE89" s="37" t="str">
        <f t="shared" si="139"/>
        <v>N/A</v>
      </c>
      <c r="BF89" s="154"/>
      <c r="BG89" s="151">
        <f t="shared" si="161"/>
        <v>9</v>
      </c>
      <c r="BH89" s="37" t="str">
        <f t="shared" si="141"/>
        <v>N/A</v>
      </c>
      <c r="BI89" s="154"/>
      <c r="BJ89" s="151">
        <f t="shared" si="162"/>
        <v>9</v>
      </c>
      <c r="BK89" s="37" t="str">
        <f t="shared" si="142"/>
        <v>N/A</v>
      </c>
      <c r="BL89" s="154"/>
      <c r="BO89" s="35"/>
      <c r="BP89" s="35"/>
      <c r="BQ89" s="35" t="str">
        <f t="shared" si="157"/>
        <v/>
      </c>
      <c r="BR89" s="35">
        <f t="shared" si="55"/>
        <v>9</v>
      </c>
      <c r="BS89" s="35">
        <f t="shared" si="56"/>
        <v>9</v>
      </c>
      <c r="BT89" s="35">
        <f t="shared" si="57"/>
        <v>9</v>
      </c>
      <c r="BW89" s="35"/>
      <c r="BX89" s="35"/>
      <c r="BY89" s="35"/>
      <c r="BZ89" s="35"/>
      <c r="CA89" s="35"/>
      <c r="CB89" s="35"/>
    </row>
    <row r="90" spans="1:85">
      <c r="A90">
        <v>82</v>
      </c>
      <c r="B90" s="112" t="str">
        <f>D90</f>
        <v>Ene 07</v>
      </c>
      <c r="C90" s="112" t="str">
        <f>B90</f>
        <v>Ene 07</v>
      </c>
      <c r="D90" s="663" t="s">
        <v>364</v>
      </c>
      <c r="E90" s="661" t="s">
        <v>365</v>
      </c>
      <c r="F90" s="748">
        <f>SUM(F91:F92)</f>
        <v>5</v>
      </c>
      <c r="G90" s="748">
        <f>SUM(G91:G92)</f>
        <v>0</v>
      </c>
      <c r="H90" s="748">
        <f t="shared" ref="H90:P90" si="186">SUM(H91:H92)</f>
        <v>0</v>
      </c>
      <c r="I90" s="748">
        <f t="shared" si="186"/>
        <v>5</v>
      </c>
      <c r="J90" s="748">
        <f t="shared" si="186"/>
        <v>5</v>
      </c>
      <c r="K90" s="748">
        <f t="shared" si="186"/>
        <v>0</v>
      </c>
      <c r="L90" s="748">
        <f t="shared" si="186"/>
        <v>0</v>
      </c>
      <c r="M90" s="748">
        <f t="shared" si="186"/>
        <v>0</v>
      </c>
      <c r="N90" s="748">
        <f t="shared" si="186"/>
        <v>0</v>
      </c>
      <c r="O90" s="748">
        <f t="shared" si="186"/>
        <v>0</v>
      </c>
      <c r="P90" s="748">
        <f t="shared" si="186"/>
        <v>0</v>
      </c>
      <c r="Q90" s="748">
        <f>SUM(Q91:Q92)</f>
        <v>5</v>
      </c>
      <c r="R90" s="748">
        <f>SUM(R91:R92)</f>
        <v>5</v>
      </c>
      <c r="T90" s="768">
        <f t="shared" si="166"/>
        <v>5</v>
      </c>
      <c r="U90" s="53">
        <f>U91+U92</f>
        <v>0</v>
      </c>
      <c r="V90" s="53">
        <f>V91+V92</f>
        <v>0</v>
      </c>
      <c r="W90" s="53"/>
      <c r="X90" s="53"/>
      <c r="Y90" s="53"/>
      <c r="Z90" s="763"/>
      <c r="AA90" s="768">
        <f t="shared" si="168"/>
        <v>0</v>
      </c>
      <c r="AB90" s="820">
        <f t="shared" ref="AB90" si="187">SUM(AB91:AB92)</f>
        <v>5</v>
      </c>
      <c r="AD90" s="141">
        <f t="shared" si="136"/>
        <v>2.5925925925925929E-2</v>
      </c>
      <c r="AE90" s="736">
        <f>SUM(AE91:AE92)</f>
        <v>0</v>
      </c>
      <c r="AF90" s="736">
        <f t="shared" ref="AF90:AG90" si="188">SUM(AF91:AF92)</f>
        <v>0</v>
      </c>
      <c r="AG90" s="736">
        <f t="shared" si="188"/>
        <v>0</v>
      </c>
      <c r="AI90" s="763">
        <f t="shared" ref="AI90:AK90" si="189">SUM(AI91:AI92)</f>
        <v>0</v>
      </c>
      <c r="AJ90" s="763">
        <f t="shared" si="189"/>
        <v>0</v>
      </c>
      <c r="AK90" s="763">
        <f t="shared" si="189"/>
        <v>0</v>
      </c>
      <c r="AM90" s="243"/>
      <c r="AN90" s="244"/>
      <c r="AO90" s="244"/>
      <c r="AP90" s="244"/>
      <c r="AQ90" s="245"/>
      <c r="AS90" s="243"/>
      <c r="AT90" s="244"/>
      <c r="AU90" s="244"/>
      <c r="AV90" s="244"/>
      <c r="AW90" s="245"/>
      <c r="AY90" s="137"/>
      <c r="AZ90" s="35"/>
      <c r="BA90" s="35"/>
      <c r="BB90" s="35"/>
      <c r="BC90" s="138"/>
      <c r="BD90" s="151">
        <f t="shared" si="160"/>
        <v>9</v>
      </c>
      <c r="BE90" s="37" t="str">
        <f t="shared" si="139"/>
        <v>N/A</v>
      </c>
      <c r="BF90" s="154"/>
      <c r="BG90" s="151">
        <f t="shared" si="161"/>
        <v>9</v>
      </c>
      <c r="BH90" s="37" t="str">
        <f t="shared" si="141"/>
        <v>N/A</v>
      </c>
      <c r="BI90" s="154"/>
      <c r="BJ90" s="151">
        <f t="shared" si="162"/>
        <v>9</v>
      </c>
      <c r="BK90" s="37" t="str">
        <f t="shared" si="142"/>
        <v>N/A</v>
      </c>
      <c r="BL90" s="154"/>
      <c r="BO90" s="779"/>
      <c r="BP90" s="35"/>
      <c r="BQ90" s="35" t="str">
        <f t="shared" si="157"/>
        <v/>
      </c>
      <c r="BR90" s="35">
        <f t="shared" si="55"/>
        <v>9</v>
      </c>
      <c r="BS90" s="35">
        <f t="shared" si="56"/>
        <v>9</v>
      </c>
      <c r="BT90" s="35">
        <f t="shared" si="57"/>
        <v>9</v>
      </c>
      <c r="BW90" s="35" t="str">
        <f>D90</f>
        <v>Ene 07</v>
      </c>
      <c r="BX90" s="35" t="str">
        <f>IFERROR(VLOOKUP($E90,'Pre-Assessment Estimator'!$E$11:$AB$227,'Pre-Assessment Estimator'!AB$2,FALSE),"")</f>
        <v>N/A</v>
      </c>
      <c r="BY90" s="35">
        <f>IFERROR(VLOOKUP($E90,'Pre-Assessment Estimator'!$E$11:$AI$227,'Pre-Assessment Estimator'!AI$2,FALSE),"")</f>
        <v>0</v>
      </c>
      <c r="BZ90" s="35">
        <f>IFERROR(VLOOKUP($BX90,$E$293:$H$326,F$291,FALSE),"")</f>
        <v>1</v>
      </c>
      <c r="CA90" s="35">
        <f>IFERROR(VLOOKUP($BX90,$E$293:$H$326,G$291,FALSE),"")</f>
        <v>0</v>
      </c>
      <c r="CB90" s="35"/>
      <c r="CC90" t="str">
        <f>IFERROR(VLOOKUP($BX90,$E$293:$H$326,I$291,FALSE),"")</f>
        <v/>
      </c>
    </row>
    <row r="91" spans="1:85">
      <c r="A91">
        <v>83</v>
      </c>
      <c r="B91" t="str">
        <f t="shared" ref="B91:B92" si="190">$D$90&amp;D91</f>
        <v>Ene 07a</v>
      </c>
      <c r="C91" t="str">
        <f t="shared" si="159"/>
        <v>Ene 07</v>
      </c>
      <c r="D91" s="135" t="s">
        <v>729</v>
      </c>
      <c r="E91" s="871" t="s">
        <v>621</v>
      </c>
      <c r="F91" s="607">
        <v>1</v>
      </c>
      <c r="G91" s="801">
        <v>0</v>
      </c>
      <c r="H91" s="801">
        <v>0</v>
      </c>
      <c r="I91" s="607">
        <v>1</v>
      </c>
      <c r="J91" s="607">
        <v>1</v>
      </c>
      <c r="K91" s="801">
        <v>0</v>
      </c>
      <c r="L91" s="801">
        <v>0</v>
      </c>
      <c r="M91" s="801">
        <v>0</v>
      </c>
      <c r="N91" s="801">
        <v>0</v>
      </c>
      <c r="O91" s="801">
        <v>0</v>
      </c>
      <c r="P91" s="801">
        <v>0</v>
      </c>
      <c r="Q91" s="607">
        <v>1</v>
      </c>
      <c r="R91" s="607">
        <v>1</v>
      </c>
      <c r="T91" s="139">
        <f t="shared" si="166"/>
        <v>1</v>
      </c>
      <c r="U91" s="53">
        <f>IF(AND('Assessment Details'!H21=1,AD_Labsize=AD_Labsize03),Poeng!T91,0)</f>
        <v>0</v>
      </c>
      <c r="V91" s="35">
        <f>IF(AND(ADBT0=ADBT8,OR('Assessment Details'!F6='Assessment Details'!U6,'Assessment Details'!F6='Assessment Details'!U7,'Assessment Details'!F6='Assessment Details'!U8,'Assessment Details'!F6='Assessment Details'!U9)),T91,0)</f>
        <v>0</v>
      </c>
      <c r="W91" s="35"/>
      <c r="X91" s="35"/>
      <c r="Y91" s="139">
        <f>IF(OR($Y$4=$Y$6,Y4=Y5),T91,0)</f>
        <v>0</v>
      </c>
      <c r="Z91" s="138">
        <f>VLOOKUP(B91,'Manuell filtrering og justering'!$A$7:$H$107,'Manuell filtrering og justering'!$H$1,FALSE)</f>
        <v>0</v>
      </c>
      <c r="AA91" s="139">
        <f t="shared" si="168"/>
        <v>0</v>
      </c>
      <c r="AB91" s="140">
        <f>IF($AC$5='Manuell filtrering og justering'!$J$2,Z91,(T91-AA91))</f>
        <v>1</v>
      </c>
      <c r="AD91" s="141">
        <f t="shared" si="136"/>
        <v>5.1851851851851859E-3</v>
      </c>
      <c r="AE91" s="141">
        <f t="shared" si="144"/>
        <v>0</v>
      </c>
      <c r="AF91" s="141">
        <f t="shared" si="145"/>
        <v>0</v>
      </c>
      <c r="AG91" s="141">
        <f t="shared" si="146"/>
        <v>0</v>
      </c>
      <c r="AI91" s="142">
        <f>IF(VLOOKUP(E91,'Pre-Assessment Estimator'!$E$11:$Z$227,'Pre-Assessment Estimator'!$G$2,FALSE)&gt;AB91,AB91,VLOOKUP(E91,'Pre-Assessment Estimator'!$E$11:$Z$227,'Pre-Assessment Estimator'!$G$2,FALSE))</f>
        <v>0</v>
      </c>
      <c r="AJ91" s="142">
        <f>IF(VLOOKUP(E91,'Pre-Assessment Estimator'!$E$11:$Z$227,'Pre-Assessment Estimator'!$N$2,FALSE)&gt;AB91,AB91,VLOOKUP(E91,'Pre-Assessment Estimator'!$E$11:$Z$227,'Pre-Assessment Estimator'!$N$2,FALSE))</f>
        <v>0</v>
      </c>
      <c r="AK91" s="142">
        <f>IF(VLOOKUP(E91,'Pre-Assessment Estimator'!$E$11:$Z$227,'Pre-Assessment Estimator'!$U$2,FALSE)&gt;AB91,AB91,VLOOKUP(E91,'Pre-Assessment Estimator'!$E$11:$Z$227,'Pre-Assessment Estimator'!$U$2,FALSE))</f>
        <v>0</v>
      </c>
      <c r="AM91" s="924">
        <f>IF(AB91=0,0,IF(AND($Y$4&lt;&gt;$Y$3,Y91&gt;0),0,1))</f>
        <v>1</v>
      </c>
      <c r="AN91" s="921">
        <f>AM91</f>
        <v>1</v>
      </c>
      <c r="AO91" s="921">
        <f>AM91</f>
        <v>1</v>
      </c>
      <c r="AP91" s="921">
        <f>AM91</f>
        <v>1</v>
      </c>
      <c r="AQ91" s="922">
        <f>AM91</f>
        <v>1</v>
      </c>
      <c r="AS91" s="243"/>
      <c r="AT91" s="244"/>
      <c r="AU91" s="244"/>
      <c r="AV91" s="244"/>
      <c r="AW91" s="245"/>
      <c r="AY91" s="152">
        <f>IF($AB91=0,0,IF($E$6=$H$9,AS91,AM91))</f>
        <v>1</v>
      </c>
      <c r="AZ91" s="152">
        <f>IF($AB91=0,0,IF($E$6=$H$9,AT91,AN91))</f>
        <v>1</v>
      </c>
      <c r="BA91" s="152">
        <f>IF($AB91=0,0,IF($E$6=$H$9,AU91,AO91))</f>
        <v>1</v>
      </c>
      <c r="BB91" s="152">
        <f>IF($AB91=0,0,IF($E$6=$H$9,AV91,AP91))</f>
        <v>1</v>
      </c>
      <c r="BC91" s="152">
        <f>IF($AB91=0,0,IF($E$6=$H$9,AW91,AQ91))</f>
        <v>1</v>
      </c>
      <c r="BD91" s="151">
        <f t="shared" si="160"/>
        <v>0</v>
      </c>
      <c r="BE91" s="37" t="str">
        <f t="shared" si="139"/>
        <v>Unclassified</v>
      </c>
      <c r="BF91" s="154"/>
      <c r="BG91" s="151">
        <f t="shared" si="161"/>
        <v>0</v>
      </c>
      <c r="BH91" s="37" t="str">
        <f t="shared" si="141"/>
        <v>Unclassified</v>
      </c>
      <c r="BI91" s="154"/>
      <c r="BJ91" s="151">
        <f t="shared" si="162"/>
        <v>0</v>
      </c>
      <c r="BK91" s="37" t="str">
        <f t="shared" si="142"/>
        <v>Unclassified</v>
      </c>
      <c r="BL91" s="154"/>
      <c r="BO91" s="779"/>
      <c r="BP91" s="35"/>
      <c r="BQ91" s="35" t="str">
        <f t="shared" si="157"/>
        <v/>
      </c>
      <c r="BR91" s="35">
        <f t="shared" si="55"/>
        <v>9</v>
      </c>
      <c r="BS91" s="35">
        <f t="shared" si="56"/>
        <v>9</v>
      </c>
      <c r="BT91" s="35">
        <f t="shared" si="57"/>
        <v>9</v>
      </c>
      <c r="BW91" s="35"/>
      <c r="BX91" s="35"/>
      <c r="BY91" s="35"/>
      <c r="BZ91" s="35"/>
      <c r="CB91" s="35"/>
    </row>
    <row r="92" spans="1:85">
      <c r="A92">
        <v>84</v>
      </c>
      <c r="B92" t="str">
        <f t="shared" si="190"/>
        <v>Ene 07b</v>
      </c>
      <c r="C92" t="str">
        <f t="shared" si="159"/>
        <v>Ene 07</v>
      </c>
      <c r="D92" s="135" t="s">
        <v>730</v>
      </c>
      <c r="E92" s="871" t="s">
        <v>622</v>
      </c>
      <c r="F92" s="607">
        <v>4</v>
      </c>
      <c r="G92" s="801">
        <v>0</v>
      </c>
      <c r="H92" s="801">
        <v>0</v>
      </c>
      <c r="I92" s="607">
        <v>4</v>
      </c>
      <c r="J92" s="607">
        <v>4</v>
      </c>
      <c r="K92" s="801">
        <v>0</v>
      </c>
      <c r="L92" s="801">
        <v>0</v>
      </c>
      <c r="M92" s="801">
        <v>0</v>
      </c>
      <c r="N92" s="801">
        <v>0</v>
      </c>
      <c r="O92" s="801">
        <v>0</v>
      </c>
      <c r="P92" s="801">
        <v>0</v>
      </c>
      <c r="Q92" s="607">
        <v>4</v>
      </c>
      <c r="R92" s="607">
        <v>4</v>
      </c>
      <c r="T92" s="139">
        <f t="shared" si="166"/>
        <v>4</v>
      </c>
      <c r="U92" s="53">
        <f>IF(AD_Labsize=AD_Labsize03,Poeng!T92,IF(AD_Labsize=AD_labsize04,4,IF(AD_Labsize=AD_Labsize01,2,0)))</f>
        <v>0</v>
      </c>
      <c r="V92" s="35">
        <f>IF(AND(ADBT0=ADBT8,OR('Assessment Details'!F6='Assessment Details'!U6,'Assessment Details'!F6='Assessment Details'!U7,'Assessment Details'!F6='Assessment Details'!U8,'Assessment Details'!F6='Assessment Details'!U9)),T92,0)</f>
        <v>0</v>
      </c>
      <c r="W92" s="35"/>
      <c r="X92" s="35"/>
      <c r="Y92" s="139">
        <f>IF(OR($Y$4=$Y$6,Y4=Y5),T92,0)</f>
        <v>0</v>
      </c>
      <c r="Z92" s="138">
        <f>VLOOKUP(B92,'Manuell filtrering og justering'!$A$7:$H$107,'Manuell filtrering og justering'!$H$1,FALSE)</f>
        <v>0</v>
      </c>
      <c r="AA92" s="139">
        <f t="shared" si="168"/>
        <v>0</v>
      </c>
      <c r="AB92" s="140">
        <f>IF($AC$5='Manuell filtrering og justering'!$J$2,Z92,(T92-AA92))</f>
        <v>4</v>
      </c>
      <c r="AD92" s="141">
        <f t="shared" si="136"/>
        <v>2.0740740740740744E-2</v>
      </c>
      <c r="AE92" s="141">
        <f t="shared" si="144"/>
        <v>0</v>
      </c>
      <c r="AF92" s="141">
        <f t="shared" si="145"/>
        <v>0</v>
      </c>
      <c r="AG92" s="141">
        <f t="shared" si="146"/>
        <v>0</v>
      </c>
      <c r="AI92" s="142">
        <f>IF(VLOOKUP(E92,'Pre-Assessment Estimator'!$E$11:$Z$227,'Pre-Assessment Estimator'!$G$2,FALSE)&gt;AB92,AB92,VLOOKUP(E92,'Pre-Assessment Estimator'!$E$11:$Z$227,'Pre-Assessment Estimator'!$G$2,FALSE))</f>
        <v>0</v>
      </c>
      <c r="AJ92" s="142">
        <f>IF(VLOOKUP(E92,'Pre-Assessment Estimator'!$E$11:$Z$227,'Pre-Assessment Estimator'!$N$2,FALSE)&gt;AB92,AB92,VLOOKUP(E92,'Pre-Assessment Estimator'!$E$11:$Z$227,'Pre-Assessment Estimator'!$N$2,FALSE))</f>
        <v>0</v>
      </c>
      <c r="AK92" s="142">
        <f>IF(VLOOKUP(E92,'Pre-Assessment Estimator'!$E$11:$Z$227,'Pre-Assessment Estimator'!$U$2,FALSE)&gt;AB92,AB92,VLOOKUP(E92,'Pre-Assessment Estimator'!$E$11:$Z$227,'Pre-Assessment Estimator'!$U$2,FALSE))</f>
        <v>0</v>
      </c>
      <c r="AM92" s="243"/>
      <c r="AN92" s="244"/>
      <c r="AO92" s="244"/>
      <c r="AP92" s="244"/>
      <c r="AQ92" s="245"/>
      <c r="AS92" s="243"/>
      <c r="AT92" s="244"/>
      <c r="AU92" s="244"/>
      <c r="AV92" s="244"/>
      <c r="AW92" s="245"/>
      <c r="AY92" s="137"/>
      <c r="AZ92" s="35"/>
      <c r="BA92" s="35"/>
      <c r="BB92" s="35"/>
      <c r="BC92" s="138"/>
      <c r="BD92" s="151">
        <f t="shared" si="160"/>
        <v>9</v>
      </c>
      <c r="BE92" s="37" t="str">
        <f t="shared" si="139"/>
        <v>N/A</v>
      </c>
      <c r="BF92" s="154"/>
      <c r="BG92" s="151">
        <f t="shared" si="161"/>
        <v>9</v>
      </c>
      <c r="BH92" s="37" t="str">
        <f t="shared" si="141"/>
        <v>N/A</v>
      </c>
      <c r="BI92" s="154"/>
      <c r="BJ92" s="151">
        <f t="shared" si="162"/>
        <v>9</v>
      </c>
      <c r="BK92" s="37" t="str">
        <f t="shared" si="142"/>
        <v>N/A</v>
      </c>
      <c r="BL92" s="154"/>
      <c r="BO92" s="779"/>
      <c r="BP92" s="35"/>
      <c r="BQ92" s="35" t="str">
        <f t="shared" si="157"/>
        <v/>
      </c>
      <c r="BR92" s="35">
        <f t="shared" si="55"/>
        <v>9</v>
      </c>
      <c r="BS92" s="35">
        <f t="shared" si="56"/>
        <v>9</v>
      </c>
      <c r="BT92" s="35">
        <f t="shared" si="57"/>
        <v>9</v>
      </c>
      <c r="BW92" s="35"/>
      <c r="BX92" s="35"/>
      <c r="BY92" s="35"/>
      <c r="BZ92" s="35"/>
      <c r="CB92" s="35"/>
    </row>
    <row r="93" spans="1:85">
      <c r="A93">
        <v>85</v>
      </c>
      <c r="B93" s="112" t="str">
        <f>D93</f>
        <v>Ene 08</v>
      </c>
      <c r="C93" s="112" t="str">
        <f>B93</f>
        <v>Ene 08</v>
      </c>
      <c r="D93" s="663" t="s">
        <v>368</v>
      </c>
      <c r="E93" s="661" t="s">
        <v>369</v>
      </c>
      <c r="F93" s="748">
        <f>SUM(F94)</f>
        <v>2</v>
      </c>
      <c r="G93" s="748">
        <f t="shared" ref="G93:R93" si="191">SUM(G94)</f>
        <v>2</v>
      </c>
      <c r="H93" s="748">
        <f t="shared" si="191"/>
        <v>2</v>
      </c>
      <c r="I93" s="748">
        <f t="shared" si="191"/>
        <v>2</v>
      </c>
      <c r="J93" s="748">
        <f t="shared" si="191"/>
        <v>2</v>
      </c>
      <c r="K93" s="748">
        <f t="shared" si="191"/>
        <v>2</v>
      </c>
      <c r="L93" s="748">
        <f t="shared" si="191"/>
        <v>2</v>
      </c>
      <c r="M93" s="748">
        <f t="shared" si="191"/>
        <v>2</v>
      </c>
      <c r="N93" s="748">
        <f t="shared" si="191"/>
        <v>2</v>
      </c>
      <c r="O93" s="748">
        <f t="shared" si="191"/>
        <v>2</v>
      </c>
      <c r="P93" s="748">
        <f t="shared" si="191"/>
        <v>2</v>
      </c>
      <c r="Q93" s="748">
        <f t="shared" si="191"/>
        <v>2</v>
      </c>
      <c r="R93" s="748">
        <f t="shared" si="191"/>
        <v>2</v>
      </c>
      <c r="T93" s="768">
        <f t="shared" si="166"/>
        <v>2</v>
      </c>
      <c r="U93" s="182">
        <f>U94</f>
        <v>0</v>
      </c>
      <c r="V93" s="53"/>
      <c r="W93" s="53"/>
      <c r="X93" s="53">
        <f>'Manuell filtrering og justering'!E36</f>
        <v>0</v>
      </c>
      <c r="Y93" s="53"/>
      <c r="Z93" s="763">
        <f t="shared" ref="Z93" si="192">SUM(Z94)</f>
        <v>0</v>
      </c>
      <c r="AA93" s="768">
        <f t="shared" si="168"/>
        <v>0</v>
      </c>
      <c r="AB93" s="820">
        <f>SUM(AB94)</f>
        <v>2</v>
      </c>
      <c r="AD93" s="141">
        <f t="shared" si="136"/>
        <v>1.0370370370370372E-2</v>
      </c>
      <c r="AE93" s="736">
        <f>SUM(AE94)</f>
        <v>0</v>
      </c>
      <c r="AF93" s="736">
        <f t="shared" ref="AF93:AG93" si="193">SUM(AF94)</f>
        <v>0</v>
      </c>
      <c r="AG93" s="736">
        <f t="shared" si="193"/>
        <v>0</v>
      </c>
      <c r="AI93" s="763">
        <f t="shared" ref="AI93" si="194">SUM(AI94)</f>
        <v>0</v>
      </c>
      <c r="AJ93" s="763">
        <f t="shared" ref="AJ93" si="195">SUM(AJ94)</f>
        <v>0</v>
      </c>
      <c r="AK93" s="763">
        <f t="shared" ref="AK93" si="196">SUM(AK94)</f>
        <v>0</v>
      </c>
      <c r="AL93" t="s">
        <v>223</v>
      </c>
      <c r="AM93" s="243"/>
      <c r="AN93" s="244"/>
      <c r="AO93" s="244"/>
      <c r="AP93" s="244"/>
      <c r="AQ93" s="245"/>
      <c r="AS93" s="243"/>
      <c r="AT93" s="244"/>
      <c r="AU93" s="244"/>
      <c r="AV93" s="244"/>
      <c r="AW93" s="245"/>
      <c r="AY93" s="137"/>
      <c r="AZ93" s="35"/>
      <c r="BA93" s="35"/>
      <c r="BB93" s="35"/>
      <c r="BC93" s="138"/>
      <c r="BD93" s="151">
        <f t="shared" si="160"/>
        <v>9</v>
      </c>
      <c r="BE93" s="37" t="str">
        <f t="shared" si="139"/>
        <v>N/A</v>
      </c>
      <c r="BF93" s="154"/>
      <c r="BG93" s="151">
        <f t="shared" si="161"/>
        <v>9</v>
      </c>
      <c r="BH93" s="37" t="str">
        <f t="shared" si="141"/>
        <v>N/A</v>
      </c>
      <c r="BI93" s="154"/>
      <c r="BJ93" s="151">
        <f t="shared" si="162"/>
        <v>9</v>
      </c>
      <c r="BK93" s="37" t="str">
        <f t="shared" si="142"/>
        <v>N/A</v>
      </c>
      <c r="BL93" s="154"/>
      <c r="BO93" s="35"/>
      <c r="BP93" s="35"/>
      <c r="BQ93" s="35" t="str">
        <f t="shared" si="157"/>
        <v/>
      </c>
      <c r="BR93" s="35">
        <f t="shared" si="55"/>
        <v>9</v>
      </c>
      <c r="BS93" s="35">
        <f t="shared" si="56"/>
        <v>9</v>
      </c>
      <c r="BT93" s="35">
        <f t="shared" si="57"/>
        <v>9</v>
      </c>
      <c r="BW93" s="35" t="str">
        <f>D93</f>
        <v>Ene 08</v>
      </c>
      <c r="BX93" s="35" t="str">
        <f>IFERROR(VLOOKUP($E93,'Pre-Assessment Estimator'!$E$11:$AB$227,'Pre-Assessment Estimator'!AB$2,FALSE),"")</f>
        <v>No</v>
      </c>
      <c r="BY93" s="53" t="str">
        <f>IFERROR(VLOOKUP($E93,'Pre-Assessment Estimator'!$E$11:$AI$227,'Pre-Assessment Estimator'!AI$2,FALSE),"")</f>
        <v>Ja</v>
      </c>
      <c r="BZ93" s="35">
        <f>IFERROR(VLOOKUP($BX93,$E$293:$H$326,F$291,FALSE),"")</f>
        <v>1</v>
      </c>
      <c r="CA93" s="529" t="s">
        <v>851</v>
      </c>
      <c r="CB93" s="35"/>
      <c r="CC93" t="str">
        <f>IFERROR(VLOOKUP($BX93,$E$293:$H$326,I$291,FALSE),"")</f>
        <v/>
      </c>
      <c r="CD93" t="s">
        <v>898</v>
      </c>
      <c r="CE93" s="35">
        <f t="shared" ref="CE93:CE95" si="197">VLOOKUP(CA93,$CA$4:$CB$5,2,FALSE)</f>
        <v>1</v>
      </c>
      <c r="CG93" s="54">
        <f>IF($BX$5=ais_nei,CE93,IF(AND(CA93=$CA$4,BX93=$CC$4),0,BZ93))</f>
        <v>1</v>
      </c>
    </row>
    <row r="94" spans="1:85">
      <c r="A94">
        <v>86</v>
      </c>
      <c r="B94" t="str">
        <f>$D$93&amp;D94</f>
        <v>Ene 08a</v>
      </c>
      <c r="C94" t="str">
        <f t="shared" si="159"/>
        <v>Ene 08</v>
      </c>
      <c r="D94" s="137" t="s">
        <v>729</v>
      </c>
      <c r="E94" s="871" t="s">
        <v>767</v>
      </c>
      <c r="F94" s="607">
        <v>2</v>
      </c>
      <c r="G94" s="607">
        <v>2</v>
      </c>
      <c r="H94" s="607">
        <v>2</v>
      </c>
      <c r="I94" s="607">
        <v>2</v>
      </c>
      <c r="J94" s="607">
        <v>2</v>
      </c>
      <c r="K94" s="607">
        <v>2</v>
      </c>
      <c r="L94" s="607">
        <v>2</v>
      </c>
      <c r="M94" s="607">
        <v>2</v>
      </c>
      <c r="N94" s="607">
        <v>2</v>
      </c>
      <c r="O94" s="607">
        <v>2</v>
      </c>
      <c r="P94" s="607">
        <v>2</v>
      </c>
      <c r="Q94" s="607">
        <v>2</v>
      </c>
      <c r="R94" s="607">
        <v>2</v>
      </c>
      <c r="T94" s="139">
        <f t="shared" si="166"/>
        <v>2</v>
      </c>
      <c r="U94" s="182">
        <f>IF(AD_Energyload=AD_no,Poeng!T94,0)</f>
        <v>0</v>
      </c>
      <c r="V94" s="35"/>
      <c r="W94" s="35"/>
      <c r="X94" s="35"/>
      <c r="Y94" s="139">
        <f>IF(OR($Y$4=$Y$6,Y4=Y5),T94,0)</f>
        <v>0</v>
      </c>
      <c r="Z94" s="138">
        <f>VLOOKUP(B94,'Manuell filtrering og justering'!$A$7:$H$107,'Manuell filtrering og justering'!$H$1,FALSE)</f>
        <v>0</v>
      </c>
      <c r="AA94" s="139">
        <f t="shared" si="168"/>
        <v>0</v>
      </c>
      <c r="AB94" s="140">
        <f>IF($AC$5='Manuell filtrering og justering'!$J$2,Z94,(T94-AA94))</f>
        <v>2</v>
      </c>
      <c r="AD94" s="141">
        <f t="shared" si="136"/>
        <v>1.0370370370370372E-2</v>
      </c>
      <c r="AE94" s="141">
        <f t="shared" si="144"/>
        <v>0</v>
      </c>
      <c r="AF94" s="141">
        <f t="shared" si="145"/>
        <v>0</v>
      </c>
      <c r="AG94" s="141">
        <f t="shared" si="146"/>
        <v>0</v>
      </c>
      <c r="AI94" s="142">
        <f>IF(VLOOKUP(E94,'Pre-Assessment Estimator'!$E$11:$Z$227,'Pre-Assessment Estimator'!$G$2,FALSE)&gt;AB94,AB94,VLOOKUP(E94,'Pre-Assessment Estimator'!$E$11:$Z$227,'Pre-Assessment Estimator'!$G$2,FALSE))</f>
        <v>0</v>
      </c>
      <c r="AJ94" s="142">
        <f>IF(VLOOKUP(E94,'Pre-Assessment Estimator'!$E$11:$Z$227,'Pre-Assessment Estimator'!$N$2,FALSE)&gt;AB94,AB94,VLOOKUP(E94,'Pre-Assessment Estimator'!$E$11:$Z$227,'Pre-Assessment Estimator'!$N$2,FALSE))</f>
        <v>0</v>
      </c>
      <c r="AK94" s="142">
        <f>IF(VLOOKUP(E94,'Pre-Assessment Estimator'!$E$11:$Z$227,'Pre-Assessment Estimator'!$U$2,FALSE)&gt;AB94,AB94,VLOOKUP(E94,'Pre-Assessment Estimator'!$E$11:$Z$227,'Pre-Assessment Estimator'!$U$2,FALSE))</f>
        <v>0</v>
      </c>
      <c r="AM94" s="243"/>
      <c r="AN94" s="244"/>
      <c r="AO94" s="244"/>
      <c r="AP94" s="244"/>
      <c r="AQ94" s="245"/>
      <c r="AS94" s="243"/>
      <c r="AT94" s="244"/>
      <c r="AU94" s="244"/>
      <c r="AV94" s="244"/>
      <c r="AW94" s="245"/>
      <c r="AY94" s="137"/>
      <c r="AZ94" s="35"/>
      <c r="BA94" s="35"/>
      <c r="BB94" s="35"/>
      <c r="BC94" s="138"/>
      <c r="BD94" s="151">
        <f t="shared" si="160"/>
        <v>9</v>
      </c>
      <c r="BE94" s="37" t="str">
        <f t="shared" si="139"/>
        <v>N/A</v>
      </c>
      <c r="BF94" s="154"/>
      <c r="BG94" s="151">
        <f t="shared" si="161"/>
        <v>9</v>
      </c>
      <c r="BH94" s="37" t="str">
        <f t="shared" si="141"/>
        <v>N/A</v>
      </c>
      <c r="BI94" s="154"/>
      <c r="BJ94" s="151">
        <f t="shared" si="162"/>
        <v>9</v>
      </c>
      <c r="BK94" s="37" t="str">
        <f t="shared" si="142"/>
        <v>N/A</v>
      </c>
      <c r="BL94" s="154"/>
      <c r="BO94" s="35"/>
      <c r="BP94" s="35"/>
      <c r="BQ94" s="35" t="str">
        <f t="shared" si="157"/>
        <v/>
      </c>
      <c r="BR94" s="35">
        <f t="shared" si="55"/>
        <v>9</v>
      </c>
      <c r="BS94" s="35">
        <f t="shared" si="56"/>
        <v>9</v>
      </c>
      <c r="BT94" s="35">
        <f t="shared" si="57"/>
        <v>9</v>
      </c>
      <c r="BW94" s="35"/>
      <c r="BX94" s="35"/>
      <c r="BY94" s="53"/>
      <c r="BZ94" s="35"/>
      <c r="CA94" s="529"/>
      <c r="CB94" s="35"/>
      <c r="CE94" s="35"/>
      <c r="CG94" s="54"/>
    </row>
    <row r="95" spans="1:85">
      <c r="A95">
        <v>87</v>
      </c>
      <c r="D95" s="548" t="s">
        <v>746</v>
      </c>
      <c r="E95" s="547"/>
      <c r="F95" s="749"/>
      <c r="G95" s="749"/>
      <c r="H95" s="749"/>
      <c r="I95" s="749"/>
      <c r="J95" s="749"/>
      <c r="K95" s="749"/>
      <c r="L95" s="749"/>
      <c r="M95" s="749"/>
      <c r="N95" s="749"/>
      <c r="O95" s="749"/>
      <c r="P95" s="749"/>
      <c r="Q95" s="749"/>
      <c r="R95" s="749"/>
      <c r="T95" s="761"/>
      <c r="U95" s="548"/>
      <c r="V95" s="547"/>
      <c r="W95" s="547"/>
      <c r="X95" s="547"/>
      <c r="Y95" s="760"/>
      <c r="Z95" s="760"/>
      <c r="AA95" s="761"/>
      <c r="AB95" s="762"/>
      <c r="AD95" s="141">
        <f t="shared" si="136"/>
        <v>0</v>
      </c>
      <c r="AE95" s="765">
        <f t="shared" si="144"/>
        <v>0</v>
      </c>
      <c r="AF95" s="765">
        <f t="shared" si="145"/>
        <v>0</v>
      </c>
      <c r="AG95" s="765">
        <f t="shared" si="146"/>
        <v>0</v>
      </c>
      <c r="AI95" s="562"/>
      <c r="AJ95" s="562"/>
      <c r="AK95" s="562"/>
      <c r="AL95" t="s">
        <v>223</v>
      </c>
      <c r="AM95" s="243"/>
      <c r="AN95" s="244"/>
      <c r="AO95" s="244"/>
      <c r="AP95" s="244"/>
      <c r="AQ95" s="245"/>
      <c r="AR95" s="114"/>
      <c r="AS95" s="243"/>
      <c r="AT95" s="244"/>
      <c r="AU95" s="244"/>
      <c r="AV95" s="244"/>
      <c r="AW95" s="245"/>
      <c r="AY95" s="137"/>
      <c r="AZ95" s="35"/>
      <c r="BA95" s="35"/>
      <c r="BB95" s="35"/>
      <c r="BC95" s="138"/>
      <c r="BD95" s="151">
        <f t="shared" si="160"/>
        <v>9</v>
      </c>
      <c r="BE95" s="37" t="str">
        <f t="shared" si="139"/>
        <v>N/A</v>
      </c>
      <c r="BF95" s="154"/>
      <c r="BG95" s="151">
        <f t="shared" si="161"/>
        <v>9</v>
      </c>
      <c r="BH95" s="37" t="str">
        <f t="shared" si="141"/>
        <v>N/A</v>
      </c>
      <c r="BI95" s="154"/>
      <c r="BJ95" s="151">
        <f t="shared" si="162"/>
        <v>9</v>
      </c>
      <c r="BK95" s="37" t="str">
        <f t="shared" si="142"/>
        <v>N/A</v>
      </c>
      <c r="BL95" s="154"/>
      <c r="BO95" s="35"/>
      <c r="BP95" s="35"/>
      <c r="BQ95" s="35" t="str">
        <f t="shared" si="157"/>
        <v/>
      </c>
      <c r="BR95" s="35">
        <f t="shared" ref="BR95:BR158" si="198">IF(BQ95="",9,(IF(AI95&gt;=BQ95,5,0)))</f>
        <v>9</v>
      </c>
      <c r="BS95" s="35">
        <f t="shared" ref="BS95:BS158" si="199">IF(BQ95="",9,(IF(AJ95&gt;=BQ95,5,0)))</f>
        <v>9</v>
      </c>
      <c r="BT95" s="35">
        <f t="shared" ref="BT95:BT158" si="200">IF(BQ95="",9,(IF(AK95&gt;=BQ95,5,0)))</f>
        <v>9</v>
      </c>
      <c r="BW95" s="35" t="str">
        <f>D95</f>
        <v>Ene 09</v>
      </c>
      <c r="BX95" s="35" t="str">
        <f>IFERROR(VLOOKUP($E95,'Pre-Assessment Estimator'!$E$11:$AB$227,'Pre-Assessment Estimator'!AB$2,FALSE),"")</f>
        <v/>
      </c>
      <c r="BY95" s="53" t="str">
        <f>IFERROR(VLOOKUP($E95,'Pre-Assessment Estimator'!$E$11:$AI$227,'Pre-Assessment Estimator'!AI$2,FALSE),"")</f>
        <v/>
      </c>
      <c r="BZ95" s="35" t="str">
        <f t="shared" ref="BZ95:BZ100" si="201">IFERROR(VLOOKUP($BX95,$E$293:$H$326,F$291,FALSE),"")</f>
        <v/>
      </c>
      <c r="CA95" s="529" t="s">
        <v>851</v>
      </c>
      <c r="CB95" s="35"/>
      <c r="CC95" t="str">
        <f t="shared" ref="CC95:CC100" si="202">IFERROR(VLOOKUP($BX95,$E$293:$H$326,I$291,FALSE),"")</f>
        <v/>
      </c>
      <c r="CD95" s="54" t="s">
        <v>849</v>
      </c>
      <c r="CE95" s="35">
        <f t="shared" si="197"/>
        <v>1</v>
      </c>
      <c r="CG95" s="54">
        <f>IF($BX$5=ais_nei,CE95,IF(CD95=$BY$5,IF(AND(CA95=$CA$4,BX95=$CC$4),0,BZ95),CE95))</f>
        <v>1</v>
      </c>
    </row>
    <row r="96" spans="1:85" ht="15.75" thickBot="1">
      <c r="A96">
        <v>88</v>
      </c>
      <c r="D96" s="548" t="s">
        <v>747</v>
      </c>
      <c r="E96" s="547"/>
      <c r="F96" s="749"/>
      <c r="G96" s="749"/>
      <c r="H96" s="749"/>
      <c r="I96" s="749"/>
      <c r="J96" s="749"/>
      <c r="K96" s="749"/>
      <c r="L96" s="749"/>
      <c r="M96" s="749"/>
      <c r="N96" s="749"/>
      <c r="O96" s="749"/>
      <c r="P96" s="749"/>
      <c r="Q96" s="749"/>
      <c r="R96" s="749"/>
      <c r="T96" s="761"/>
      <c r="U96" s="548"/>
      <c r="V96" s="547"/>
      <c r="W96" s="547"/>
      <c r="X96" s="547"/>
      <c r="Y96" s="760"/>
      <c r="Z96" s="760"/>
      <c r="AA96" s="761"/>
      <c r="AB96" s="762"/>
      <c r="AD96" s="141">
        <f t="shared" si="136"/>
        <v>0</v>
      </c>
      <c r="AE96" s="765">
        <f t="shared" si="144"/>
        <v>0</v>
      </c>
      <c r="AF96" s="765">
        <f t="shared" si="145"/>
        <v>0</v>
      </c>
      <c r="AG96" s="765">
        <f t="shared" si="146"/>
        <v>0</v>
      </c>
      <c r="AI96" s="562"/>
      <c r="AJ96" s="562"/>
      <c r="AK96" s="562"/>
      <c r="AM96" s="252"/>
      <c r="AN96" s="253"/>
      <c r="AO96" s="253"/>
      <c r="AP96" s="253"/>
      <c r="AQ96" s="254"/>
      <c r="AR96" s="114"/>
      <c r="AS96" s="252"/>
      <c r="AT96" s="253"/>
      <c r="AU96" s="253"/>
      <c r="AV96" s="253"/>
      <c r="AW96" s="254"/>
      <c r="AY96" s="163"/>
      <c r="AZ96" s="184"/>
      <c r="BA96" s="184"/>
      <c r="BB96" s="184"/>
      <c r="BC96" s="185"/>
      <c r="BD96" s="163">
        <f t="shared" si="60"/>
        <v>9</v>
      </c>
      <c r="BE96" s="37" t="str">
        <f t="shared" si="139"/>
        <v>N/A</v>
      </c>
      <c r="BF96" s="164"/>
      <c r="BG96" s="163">
        <f t="shared" si="140"/>
        <v>9</v>
      </c>
      <c r="BH96" s="37" t="str">
        <f t="shared" si="141"/>
        <v>N/A</v>
      </c>
      <c r="BI96" s="164"/>
      <c r="BJ96" s="163">
        <f t="shared" si="28"/>
        <v>9</v>
      </c>
      <c r="BK96" s="37" t="str">
        <f t="shared" si="142"/>
        <v>N/A</v>
      </c>
      <c r="BL96" s="164"/>
      <c r="BO96" s="35"/>
      <c r="BP96" s="35"/>
      <c r="BQ96" s="35" t="str">
        <f t="shared" si="157"/>
        <v/>
      </c>
      <c r="BR96" s="35">
        <f t="shared" si="198"/>
        <v>9</v>
      </c>
      <c r="BS96" s="35">
        <f t="shared" si="199"/>
        <v>9</v>
      </c>
      <c r="BT96" s="35">
        <f t="shared" si="200"/>
        <v>9</v>
      </c>
      <c r="BW96" s="35" t="str">
        <f>D96</f>
        <v>Ene 23</v>
      </c>
      <c r="BX96" s="35" t="str">
        <f>IFERROR(VLOOKUP($E96,'Pre-Assessment Estimator'!$E$11:$AB$227,'Pre-Assessment Estimator'!AB$2,FALSE),"")</f>
        <v/>
      </c>
      <c r="BY96" s="35" t="str">
        <f>IFERROR(VLOOKUP($E96,'Pre-Assessment Estimator'!$E$11:$AI$227,'Pre-Assessment Estimator'!AI$2,FALSE),"")</f>
        <v/>
      </c>
      <c r="BZ96" s="35" t="str">
        <f t="shared" si="201"/>
        <v/>
      </c>
      <c r="CA96" s="35" t="str">
        <f>IFERROR(VLOOKUP($BX96,$E$293:$H$326,G$291,FALSE),"")</f>
        <v/>
      </c>
      <c r="CB96" s="35"/>
      <c r="CC96" t="str">
        <f t="shared" si="202"/>
        <v/>
      </c>
    </row>
    <row r="97" spans="1:81" ht="15.75" thickBot="1">
      <c r="A97">
        <v>89</v>
      </c>
      <c r="B97" t="s">
        <v>371</v>
      </c>
      <c r="D97" s="165"/>
      <c r="E97" s="42" t="s">
        <v>725</v>
      </c>
      <c r="F97" s="611">
        <f>F69+F75+F79+F83+F86+F90+F93</f>
        <v>27</v>
      </c>
      <c r="G97" s="611">
        <f t="shared" ref="G97:R97" si="203">G69+G75+G79+G83+G86+G90+G93</f>
        <v>22</v>
      </c>
      <c r="H97" s="611">
        <f t="shared" si="203"/>
        <v>20</v>
      </c>
      <c r="I97" s="611">
        <f t="shared" si="203"/>
        <v>27</v>
      </c>
      <c r="J97" s="611">
        <f t="shared" si="203"/>
        <v>27</v>
      </c>
      <c r="K97" s="611">
        <f t="shared" si="203"/>
        <v>22</v>
      </c>
      <c r="L97" s="611">
        <f t="shared" si="203"/>
        <v>22</v>
      </c>
      <c r="M97" s="611">
        <f t="shared" si="203"/>
        <v>22</v>
      </c>
      <c r="N97" s="611">
        <f t="shared" si="203"/>
        <v>22</v>
      </c>
      <c r="O97" s="611">
        <f t="shared" si="203"/>
        <v>22</v>
      </c>
      <c r="P97" s="611">
        <f t="shared" si="203"/>
        <v>22</v>
      </c>
      <c r="Q97" s="611">
        <f t="shared" ref="Q97" si="204">Q69+Q75+Q79+Q83+Q86+Q90+Q93</f>
        <v>27</v>
      </c>
      <c r="R97" s="611">
        <f t="shared" si="203"/>
        <v>27</v>
      </c>
      <c r="T97" s="186">
        <f>HLOOKUP($E$6,$F$9:$R$231,$A97,FALSE)</f>
        <v>27</v>
      </c>
      <c r="U97" s="167"/>
      <c r="V97" s="168"/>
      <c r="W97" s="168"/>
      <c r="X97" s="168"/>
      <c r="Y97" s="169"/>
      <c r="Z97" s="169"/>
      <c r="AA97" s="611">
        <f t="shared" ref="AA97:AG97" si="205">AA69+AA75+AA79+AA83+AA86+AA90+AA93</f>
        <v>0</v>
      </c>
      <c r="AB97" s="611">
        <f t="shared" si="205"/>
        <v>27</v>
      </c>
      <c r="AD97" s="171">
        <f t="shared" si="205"/>
        <v>0.14000000000000001</v>
      </c>
      <c r="AE97" s="171">
        <f t="shared" si="205"/>
        <v>0</v>
      </c>
      <c r="AF97" s="171">
        <f t="shared" si="205"/>
        <v>0</v>
      </c>
      <c r="AG97" s="171">
        <f t="shared" si="205"/>
        <v>0</v>
      </c>
      <c r="AI97" s="64">
        <f t="shared" ref="AI97:AK97" si="206">AI69+AI75+AI79+AI83+AI86+AI90+AI93</f>
        <v>0</v>
      </c>
      <c r="AJ97" s="64">
        <f t="shared" si="206"/>
        <v>0</v>
      </c>
      <c r="AK97" s="64">
        <f t="shared" si="206"/>
        <v>0</v>
      </c>
      <c r="AM97" s="114"/>
      <c r="AN97" s="114"/>
      <c r="AO97" s="114"/>
      <c r="AP97" s="114"/>
      <c r="AQ97" s="114"/>
      <c r="AR97" s="114"/>
      <c r="AS97" s="114"/>
      <c r="AT97" s="114"/>
      <c r="AU97" s="114"/>
      <c r="AV97" s="114"/>
      <c r="AW97" s="114"/>
      <c r="AZ97" s="172"/>
      <c r="BW97" s="42"/>
      <c r="BX97" s="42" t="str">
        <f>IFERROR(VLOOKUP($E97,'Pre-Assessment Estimator'!$E$11:$AB$227,'Pre-Assessment Estimator'!AB$2,FALSE),"")</f>
        <v/>
      </c>
      <c r="BY97" s="42" t="str">
        <f>IFERROR(VLOOKUP($E97,'Pre-Assessment Estimator'!$E$11:$AI$227,'Pre-Assessment Estimator'!AI$2,FALSE),"")</f>
        <v/>
      </c>
      <c r="BZ97" s="42" t="str">
        <f t="shared" si="201"/>
        <v/>
      </c>
      <c r="CA97" s="42" t="str">
        <f>IFERROR(VLOOKUP($BX97,$E$293:$H$326,G$291,FALSE),"")</f>
        <v/>
      </c>
      <c r="CB97" s="42"/>
      <c r="CC97" t="str">
        <f t="shared" si="202"/>
        <v/>
      </c>
    </row>
    <row r="98" spans="1:81" ht="15.75" thickBot="1">
      <c r="A98">
        <v>90</v>
      </c>
      <c r="AI98" s="1"/>
      <c r="AJ98" s="1"/>
      <c r="AK98" s="1"/>
      <c r="AM98" s="114"/>
      <c r="AN98" s="114"/>
      <c r="AO98" s="114"/>
      <c r="AP98" s="114"/>
      <c r="AQ98" s="114"/>
      <c r="AR98" s="114"/>
      <c r="AS98" s="114"/>
      <c r="AT98" s="114"/>
      <c r="AU98" s="114"/>
      <c r="AV98" s="114"/>
      <c r="AW98" s="114"/>
      <c r="BX98" t="str">
        <f>IFERROR(VLOOKUP($E98,'Pre-Assessment Estimator'!$E$11:$AB$227,'Pre-Assessment Estimator'!AB$2,FALSE),"")</f>
        <v/>
      </c>
      <c r="BY98" t="str">
        <f>IFERROR(VLOOKUP($E98,'Pre-Assessment Estimator'!$E$11:$AI$227,'Pre-Assessment Estimator'!AI$2,FALSE),"")</f>
        <v/>
      </c>
      <c r="BZ98" t="str">
        <f t="shared" si="201"/>
        <v/>
      </c>
      <c r="CA98" t="str">
        <f>IFERROR(VLOOKUP($BX98,$E$293:$H$326,G$291,FALSE),"")</f>
        <v/>
      </c>
      <c r="CC98" t="str">
        <f t="shared" si="202"/>
        <v/>
      </c>
    </row>
    <row r="99" spans="1:81" ht="60.75" thickBot="1">
      <c r="A99">
        <v>91</v>
      </c>
      <c r="D99" s="118"/>
      <c r="E99" s="39" t="s">
        <v>373</v>
      </c>
      <c r="F99" s="964" t="str">
        <f>$F$9</f>
        <v>Office</v>
      </c>
      <c r="G99" s="964" t="str">
        <f>$G$9</f>
        <v>Retail</v>
      </c>
      <c r="H99" s="968" t="str">
        <f>$H$9</f>
        <v>Residential</v>
      </c>
      <c r="I99" s="964" t="str">
        <f>$I$9</f>
        <v>Industrial</v>
      </c>
      <c r="J99" s="966" t="str">
        <f>$J$9</f>
        <v>Healthcare</v>
      </c>
      <c r="K99" s="966" t="str">
        <f>$K$9</f>
        <v>Prison</v>
      </c>
      <c r="L99" s="966" t="str">
        <f>$L$9</f>
        <v>Law Court</v>
      </c>
      <c r="M99" s="970" t="str">
        <f>$M$9</f>
        <v>Residential institution (long term stay)</v>
      </c>
      <c r="N99" s="733" t="str">
        <f>$N$9</f>
        <v>Residential institution (short term stay)</v>
      </c>
      <c r="O99" s="733" t="str">
        <f>$O$9</f>
        <v>Non-residential institution</v>
      </c>
      <c r="P99" s="733" t="str">
        <f>$P$9</f>
        <v>Assembly and leisure</v>
      </c>
      <c r="Q99" s="966" t="str">
        <f>$Q$9</f>
        <v>Education</v>
      </c>
      <c r="R99" s="683" t="str">
        <f>$R$9</f>
        <v>Other</v>
      </c>
      <c r="T99" s="113" t="str">
        <f>$E$6</f>
        <v>Office</v>
      </c>
      <c r="U99" s="173"/>
      <c r="V99" s="174"/>
      <c r="W99" s="174"/>
      <c r="X99" s="174"/>
      <c r="Y99" s="900" t="s">
        <v>871</v>
      </c>
      <c r="Z99" s="295" t="s">
        <v>25</v>
      </c>
      <c r="AA99" s="122" t="s">
        <v>725</v>
      </c>
      <c r="AB99" s="45" t="s">
        <v>860</v>
      </c>
      <c r="AI99" s="28"/>
      <c r="AJ99" s="46"/>
      <c r="AK99" s="46"/>
      <c r="AM99" s="114"/>
      <c r="AN99" s="114"/>
      <c r="AO99" s="114"/>
      <c r="AP99" s="114"/>
      <c r="AQ99" s="114"/>
      <c r="AR99" s="114"/>
      <c r="AS99" s="114"/>
      <c r="AT99" s="114"/>
      <c r="AU99" s="114"/>
      <c r="AV99" s="114"/>
      <c r="AW99" s="114"/>
      <c r="BO99" s="46"/>
      <c r="BP99" s="46"/>
      <c r="BQ99" s="46"/>
      <c r="BR99" s="46"/>
      <c r="BS99" s="46"/>
      <c r="BT99" s="46"/>
      <c r="BW99" s="39"/>
      <c r="BX99" s="39" t="str">
        <f>E99</f>
        <v>Transport</v>
      </c>
      <c r="BY99" s="39">
        <f>IFERROR(VLOOKUP($E99,'Pre-Assessment Estimator'!$E$11:$AI$227,'Pre-Assessment Estimator'!AI$2,FALSE),"")</f>
        <v>0</v>
      </c>
      <c r="BZ99" s="39" t="str">
        <f t="shared" si="201"/>
        <v/>
      </c>
      <c r="CA99" s="39" t="str">
        <f>IFERROR(VLOOKUP($BX99,$E$293:$H$326,G$291,FALSE),"")</f>
        <v/>
      </c>
      <c r="CB99" s="39"/>
      <c r="CC99" t="str">
        <f t="shared" si="202"/>
        <v/>
      </c>
    </row>
    <row r="100" spans="1:81">
      <c r="A100">
        <v>92</v>
      </c>
      <c r="B100" s="112" t="str">
        <f>D100</f>
        <v>Tra 01</v>
      </c>
      <c r="C100" s="112" t="str">
        <f>B100</f>
        <v>Tra 01</v>
      </c>
      <c r="D100" s="662" t="s">
        <v>375</v>
      </c>
      <c r="E100" s="660" t="s">
        <v>768</v>
      </c>
      <c r="F100" s="748">
        <f>SUM(F101:F102)</f>
        <v>3</v>
      </c>
      <c r="G100" s="748">
        <f t="shared" ref="G100:R100" si="207">SUM(G101:G102)</f>
        <v>3</v>
      </c>
      <c r="H100" s="748">
        <f t="shared" si="207"/>
        <v>3</v>
      </c>
      <c r="I100" s="748">
        <f t="shared" si="207"/>
        <v>3</v>
      </c>
      <c r="J100" s="748">
        <f t="shared" si="207"/>
        <v>3</v>
      </c>
      <c r="K100" s="748">
        <f t="shared" si="207"/>
        <v>3</v>
      </c>
      <c r="L100" s="748">
        <f t="shared" si="207"/>
        <v>3</v>
      </c>
      <c r="M100" s="748">
        <f t="shared" si="207"/>
        <v>3</v>
      </c>
      <c r="N100" s="748">
        <f t="shared" si="207"/>
        <v>3</v>
      </c>
      <c r="O100" s="748">
        <f t="shared" si="207"/>
        <v>3</v>
      </c>
      <c r="P100" s="748">
        <f t="shared" si="207"/>
        <v>3</v>
      </c>
      <c r="Q100" s="748">
        <f t="shared" ref="Q100" si="208">SUM(Q101:Q102)</f>
        <v>3</v>
      </c>
      <c r="R100" s="748">
        <f t="shared" si="207"/>
        <v>3</v>
      </c>
      <c r="T100" s="122">
        <f t="shared" ref="T100:T105" si="209">HLOOKUP($E$6,$F$9:$R$231,$A100,FALSE)</f>
        <v>3</v>
      </c>
      <c r="U100" s="182"/>
      <c r="V100" s="53"/>
      <c r="W100" s="53"/>
      <c r="X100" s="53">
        <f>'Manuell filtrering og justering'!E43</f>
        <v>0</v>
      </c>
      <c r="Y100" s="53"/>
      <c r="Z100" s="763">
        <f t="shared" ref="Z100" si="210">SUM(Z101:Z102)</f>
        <v>3</v>
      </c>
      <c r="AA100" s="768">
        <f t="shared" ref="AA100:AA105" si="211">IF(SUM(U100:Y100)&gt;T100,T100,SUM(U100:Y100))</f>
        <v>0</v>
      </c>
      <c r="AB100" s="820">
        <f t="shared" ref="AB100" si="212">SUM(AB101:AB102)</f>
        <v>3</v>
      </c>
      <c r="AD100" s="141">
        <f t="shared" ref="AD100:AD109" si="213">(Tra_Weight/Tra_Credits)*AB100</f>
        <v>2.3076923076923078E-2</v>
      </c>
      <c r="AE100" s="736">
        <f>SUM(AE101:AE102)</f>
        <v>0</v>
      </c>
      <c r="AF100" s="736">
        <f t="shared" ref="AF100" si="214">SUM(AF101:AF102)</f>
        <v>0</v>
      </c>
      <c r="AG100" s="736">
        <f t="shared" ref="AG100" si="215">SUM(AG101:AG102)</f>
        <v>0</v>
      </c>
      <c r="AI100" s="763">
        <f t="shared" ref="AI100" si="216">SUM(AI101:AI102)</f>
        <v>0</v>
      </c>
      <c r="AJ100" s="763">
        <f t="shared" ref="AJ100" si="217">SUM(AJ101:AJ102)</f>
        <v>0</v>
      </c>
      <c r="AK100" s="763">
        <f t="shared" ref="AK100" si="218">SUM(AK101:AK102)</f>
        <v>0</v>
      </c>
      <c r="AM100" s="249"/>
      <c r="AN100" s="250"/>
      <c r="AO100" s="250"/>
      <c r="AP100" s="250"/>
      <c r="AQ100" s="251"/>
      <c r="AR100" s="114"/>
      <c r="AS100" s="249"/>
      <c r="AT100" s="250"/>
      <c r="AU100" s="250"/>
      <c r="AV100" s="250"/>
      <c r="AW100" s="251"/>
      <c r="AY100" s="180"/>
      <c r="AZ100" s="147"/>
      <c r="BA100" s="147"/>
      <c r="BB100" s="147"/>
      <c r="BC100" s="181"/>
      <c r="BD100" s="144">
        <f t="shared" si="60"/>
        <v>9</v>
      </c>
      <c r="BE100" s="37" t="str">
        <f t="shared" ref="BE100:BE109" si="219">VLOOKUP(BD100,$BO$284:$BT$290,6,FALSE)</f>
        <v>N/A</v>
      </c>
      <c r="BF100" s="148"/>
      <c r="BG100" s="144">
        <f t="shared" ref="BG100:BG109" si="220">IF(BC100=0,9,IF(AJ100&gt;=BC100,5,IF(AJ100&gt;=BB100,4,IF(AJ100&gt;=BA100,3,IF(AJ100&gt;=AZ100,2,IF(AJ100&lt;AY100,0,1))))))</f>
        <v>9</v>
      </c>
      <c r="BH100" s="37" t="str">
        <f t="shared" ref="BH100:BH109" si="221">VLOOKUP(BG100,$BO$284:$BT$290,6,FALSE)</f>
        <v>N/A</v>
      </c>
      <c r="BI100" s="148"/>
      <c r="BJ100" s="144">
        <f t="shared" si="28"/>
        <v>9</v>
      </c>
      <c r="BK100" s="37" t="str">
        <f t="shared" ref="BK100:BK109" si="222">VLOOKUP(BJ100,$BO$284:$BT$290,6,FALSE)</f>
        <v>N/A</v>
      </c>
      <c r="BL100" s="148"/>
      <c r="BO100" s="35"/>
      <c r="BP100" s="35"/>
      <c r="BQ100" s="35" t="str">
        <f t="shared" si="157"/>
        <v/>
      </c>
      <c r="BR100" s="35">
        <f t="shared" si="198"/>
        <v>9</v>
      </c>
      <c r="BS100" s="35">
        <f t="shared" si="199"/>
        <v>9</v>
      </c>
      <c r="BT100" s="35">
        <f t="shared" si="200"/>
        <v>9</v>
      </c>
      <c r="BW100" s="37" t="str">
        <f>D100</f>
        <v>Tra 01</v>
      </c>
      <c r="BX100" s="37" t="str">
        <f>IFERROR(VLOOKUP($E100,'Pre-Assessment Estimator'!$E$11:$AB$227,'Pre-Assessment Estimator'!AB$2,FALSE),"")</f>
        <v>N/A</v>
      </c>
      <c r="BY100" s="37">
        <f>IFERROR(VLOOKUP($E100,'Pre-Assessment Estimator'!$E$11:$AI$227,'Pre-Assessment Estimator'!AI$2,FALSE),"")</f>
        <v>0</v>
      </c>
      <c r="BZ100" s="37">
        <f t="shared" si="201"/>
        <v>1</v>
      </c>
      <c r="CA100" s="37">
        <f>IFERROR(VLOOKUP($BX100,$E$293:$H$326,G$291,FALSE),"")</f>
        <v>0</v>
      </c>
      <c r="CB100" s="37"/>
      <c r="CC100" t="str">
        <f t="shared" si="202"/>
        <v/>
      </c>
    </row>
    <row r="101" spans="1:81">
      <c r="A101">
        <v>93</v>
      </c>
      <c r="B101" t="str">
        <f t="shared" ref="B101:B102" si="223">$D$100&amp;D101</f>
        <v>Tra 01a</v>
      </c>
      <c r="C101" t="str">
        <f t="shared" si="159"/>
        <v>Tra 01</v>
      </c>
      <c r="D101" s="135" t="s">
        <v>729</v>
      </c>
      <c r="E101" s="871" t="s">
        <v>626</v>
      </c>
      <c r="F101" s="753">
        <v>2</v>
      </c>
      <c r="G101" s="753">
        <v>2</v>
      </c>
      <c r="H101" s="753">
        <v>2</v>
      </c>
      <c r="I101" s="753">
        <v>2</v>
      </c>
      <c r="J101" s="753">
        <v>2</v>
      </c>
      <c r="K101" s="753">
        <v>2</v>
      </c>
      <c r="L101" s="753">
        <v>2</v>
      </c>
      <c r="M101" s="753">
        <v>2</v>
      </c>
      <c r="N101" s="753">
        <v>2</v>
      </c>
      <c r="O101" s="753">
        <v>2</v>
      </c>
      <c r="P101" s="753">
        <v>2</v>
      </c>
      <c r="Q101" s="753">
        <v>2</v>
      </c>
      <c r="R101" s="753">
        <v>2</v>
      </c>
      <c r="T101" s="139">
        <f t="shared" si="209"/>
        <v>2</v>
      </c>
      <c r="U101" s="803">
        <f>IF(AND(ADBT0=ADBT8,'Assessment Details'!F6='Assessment Details'!U7),T101,0)*0</f>
        <v>0</v>
      </c>
      <c r="V101" s="35"/>
      <c r="W101" s="35"/>
      <c r="X101" s="35"/>
      <c r="Y101" s="138"/>
      <c r="Z101" s="138">
        <f>VLOOKUP(B101,'Manuell filtrering og justering'!$A$7:$H$107,'Manuell filtrering og justering'!$H$1,FALSE)</f>
        <v>2</v>
      </c>
      <c r="AA101" s="139">
        <f t="shared" si="211"/>
        <v>0</v>
      </c>
      <c r="AB101" s="140">
        <f>IF($AC$5='Manuell filtrering og justering'!$J$2,Z101,(T101-AA101))</f>
        <v>2</v>
      </c>
      <c r="AD101" s="141">
        <f t="shared" si="213"/>
        <v>1.5384615384615385E-2</v>
      </c>
      <c r="AE101" s="141">
        <f t="shared" ref="AE101:AE105" si="224">IF(AB101=0,0,(AD101/AB101)*AI101)</f>
        <v>0</v>
      </c>
      <c r="AF101" s="141">
        <f t="shared" ref="AF101:AF105" si="225">IF(AB101=0,0,(AD101/AB101)*AJ101)</f>
        <v>0</v>
      </c>
      <c r="AG101" s="141">
        <f t="shared" ref="AG101:AG105" si="226">IF(AB101=0,0,(AD101/AB101)*AK101)</f>
        <v>0</v>
      </c>
      <c r="AI101" s="142">
        <f>IF(VLOOKUP(E101,'Pre-Assessment Estimator'!$E$11:$Z$227,'Pre-Assessment Estimator'!$G$2,FALSE)&gt;AB101,AB101,VLOOKUP(E101,'Pre-Assessment Estimator'!$E$11:$Z$227,'Pre-Assessment Estimator'!$G$2,FALSE))</f>
        <v>0</v>
      </c>
      <c r="AJ101" s="142">
        <f>IF(VLOOKUP(E101,'Pre-Assessment Estimator'!$E$11:$Z$227,'Pre-Assessment Estimator'!$N$2,FALSE)&gt;AB101,AB101,VLOOKUP(E101,'Pre-Assessment Estimator'!$E$11:$Z$227,'Pre-Assessment Estimator'!$N$2,FALSE))</f>
        <v>0</v>
      </c>
      <c r="AK101" s="142">
        <f>IF(VLOOKUP(E101,'Pre-Assessment Estimator'!$E$11:$Z$227,'Pre-Assessment Estimator'!$U$2,FALSE)&gt;AB101,AB101,VLOOKUP(E101,'Pre-Assessment Estimator'!$E$11:$Z$227,'Pre-Assessment Estimator'!$U$2,FALSE))</f>
        <v>0</v>
      </c>
      <c r="AM101" s="664"/>
      <c r="AN101" s="665"/>
      <c r="AO101" s="665"/>
      <c r="AP101" s="665"/>
      <c r="AQ101" s="666"/>
      <c r="AR101" s="114"/>
      <c r="AS101" s="664"/>
      <c r="AT101" s="665"/>
      <c r="AU101" s="665"/>
      <c r="AV101" s="665"/>
      <c r="AW101" s="666"/>
      <c r="AY101" s="135"/>
      <c r="AZ101" s="37"/>
      <c r="BA101" s="37"/>
      <c r="BB101" s="37"/>
      <c r="BC101" s="667"/>
      <c r="BD101" s="151">
        <f t="shared" ref="BD101:BD105" si="227">IF(BC101=0,9,IF(AI101&gt;=BC101,5,IF(AI101&gt;=BB101,4,IF(AI101&gt;=BA101,3,IF(AI101&gt;=AZ101,2,IF(AI101&lt;AY101,0,1))))))</f>
        <v>9</v>
      </c>
      <c r="BE101" s="37" t="str">
        <f t="shared" si="219"/>
        <v>N/A</v>
      </c>
      <c r="BF101" s="154"/>
      <c r="BG101" s="151">
        <f t="shared" ref="BG101:BG105" si="228">IF(BC101=0,9,IF(AJ101&gt;=BC101,5,IF(AJ101&gt;=BB101,4,IF(AJ101&gt;=BA101,3,IF(AJ101&gt;=AZ101,2,IF(AJ101&lt;AY101,0,1))))))</f>
        <v>9</v>
      </c>
      <c r="BH101" s="37" t="str">
        <f t="shared" si="221"/>
        <v>N/A</v>
      </c>
      <c r="BI101" s="154"/>
      <c r="BJ101" s="151">
        <f t="shared" ref="BJ101:BJ105" si="229">IF(BC101=0,9,IF(AK101&gt;=BC101,5,IF(AK101&gt;=BB101,4,IF(AK101&gt;=BA101,3,IF(AK101&gt;=AZ101,2,IF(AK101&lt;AY101,0,1))))))</f>
        <v>9</v>
      </c>
      <c r="BK101" s="37" t="str">
        <f t="shared" si="222"/>
        <v>N/A</v>
      </c>
      <c r="BL101" s="659"/>
      <c r="BO101" s="35"/>
      <c r="BP101" s="35"/>
      <c r="BQ101" s="35" t="str">
        <f t="shared" si="157"/>
        <v/>
      </c>
      <c r="BR101" s="35">
        <f t="shared" si="198"/>
        <v>9</v>
      </c>
      <c r="BS101" s="35">
        <f t="shared" si="199"/>
        <v>9</v>
      </c>
      <c r="BT101" s="35">
        <f t="shared" si="200"/>
        <v>9</v>
      </c>
      <c r="BW101" s="37"/>
      <c r="BX101" s="37"/>
      <c r="BY101" s="37"/>
      <c r="BZ101" s="37"/>
      <c r="CA101" s="37"/>
      <c r="CB101" s="37"/>
    </row>
    <row r="102" spans="1:81">
      <c r="A102">
        <v>94</v>
      </c>
      <c r="B102" t="str">
        <f t="shared" si="223"/>
        <v>Tra 01b</v>
      </c>
      <c r="C102" t="str">
        <f t="shared" si="159"/>
        <v>Tra 01</v>
      </c>
      <c r="D102" s="135" t="s">
        <v>730</v>
      </c>
      <c r="E102" s="871" t="s">
        <v>627</v>
      </c>
      <c r="F102" s="753">
        <v>1</v>
      </c>
      <c r="G102" s="753">
        <v>1</v>
      </c>
      <c r="H102" s="753">
        <v>1</v>
      </c>
      <c r="I102" s="753">
        <v>1</v>
      </c>
      <c r="J102" s="753">
        <v>1</v>
      </c>
      <c r="K102" s="753">
        <v>1</v>
      </c>
      <c r="L102" s="753">
        <v>1</v>
      </c>
      <c r="M102" s="753">
        <v>1</v>
      </c>
      <c r="N102" s="753">
        <v>1</v>
      </c>
      <c r="O102" s="753">
        <v>1</v>
      </c>
      <c r="P102" s="753">
        <v>1</v>
      </c>
      <c r="Q102" s="753">
        <v>1</v>
      </c>
      <c r="R102" s="753">
        <v>1</v>
      </c>
      <c r="T102" s="139">
        <f t="shared" si="209"/>
        <v>1</v>
      </c>
      <c r="U102" s="137"/>
      <c r="V102" s="35"/>
      <c r="W102" s="35"/>
      <c r="X102" s="35"/>
      <c r="Y102" s="138"/>
      <c r="Z102" s="138">
        <f>VLOOKUP(B102,'Manuell filtrering og justering'!$A$7:$H$107,'Manuell filtrering og justering'!$H$1,FALSE)</f>
        <v>1</v>
      </c>
      <c r="AA102" s="139">
        <f t="shared" si="211"/>
        <v>0</v>
      </c>
      <c r="AB102" s="140">
        <f>IF($AC$5='Manuell filtrering og justering'!$J$2,Z102,(T102-AA102))</f>
        <v>1</v>
      </c>
      <c r="AD102" s="141">
        <f t="shared" si="213"/>
        <v>7.6923076923076927E-3</v>
      </c>
      <c r="AE102" s="141">
        <f t="shared" si="224"/>
        <v>0</v>
      </c>
      <c r="AF102" s="141">
        <f t="shared" si="225"/>
        <v>0</v>
      </c>
      <c r="AG102" s="141">
        <f t="shared" si="226"/>
        <v>0</v>
      </c>
      <c r="AI102" s="142">
        <f>IF(VLOOKUP(E102,'Pre-Assessment Estimator'!$E$11:$Z$227,'Pre-Assessment Estimator'!$G$2,FALSE)&gt;AB102,AB102,VLOOKUP(E102,'Pre-Assessment Estimator'!$E$11:$Z$227,'Pre-Assessment Estimator'!$G$2,FALSE))</f>
        <v>0</v>
      </c>
      <c r="AJ102" s="142">
        <f>IF(VLOOKUP(E102,'Pre-Assessment Estimator'!$E$11:$Z$227,'Pre-Assessment Estimator'!$N$2,FALSE)&gt;AB102,AB102,VLOOKUP(E102,'Pre-Assessment Estimator'!$E$11:$Z$227,'Pre-Assessment Estimator'!$N$2,FALSE))</f>
        <v>0</v>
      </c>
      <c r="AK102" s="142">
        <f>IF(VLOOKUP(E102,'Pre-Assessment Estimator'!$E$11:$Z$227,'Pre-Assessment Estimator'!$U$2,FALSE)&gt;AB102,AB102,VLOOKUP(E102,'Pre-Assessment Estimator'!$E$11:$Z$227,'Pre-Assessment Estimator'!$U$2,FALSE))</f>
        <v>0</v>
      </c>
      <c r="AM102" s="664"/>
      <c r="AN102" s="665"/>
      <c r="AO102" s="665"/>
      <c r="AP102" s="665">
        <v>1</v>
      </c>
      <c r="AQ102" s="666">
        <v>1</v>
      </c>
      <c r="AR102" s="114"/>
      <c r="AS102" s="664"/>
      <c r="AT102" s="665"/>
      <c r="AU102" s="665"/>
      <c r="AV102" s="665">
        <v>1</v>
      </c>
      <c r="AW102" s="666">
        <v>1</v>
      </c>
      <c r="AY102" s="135"/>
      <c r="AZ102" s="37"/>
      <c r="BA102" s="37"/>
      <c r="BB102" s="152">
        <f>IF($AB102=0,0,IF($E$6=$H$9,AV102,AP102))</f>
        <v>1</v>
      </c>
      <c r="BC102" s="152">
        <f>IF($AB102=0,0,IF($E$6=$H$9,AW102,AQ102))</f>
        <v>1</v>
      </c>
      <c r="BD102" s="151">
        <f t="shared" si="227"/>
        <v>3</v>
      </c>
      <c r="BE102" s="37" t="str">
        <f t="shared" si="219"/>
        <v>Very Good</v>
      </c>
      <c r="BF102" s="154"/>
      <c r="BG102" s="151">
        <f t="shared" si="228"/>
        <v>3</v>
      </c>
      <c r="BH102" s="37" t="str">
        <f t="shared" si="221"/>
        <v>Very Good</v>
      </c>
      <c r="BI102" s="154"/>
      <c r="BJ102" s="151">
        <f t="shared" si="229"/>
        <v>3</v>
      </c>
      <c r="BK102" s="37" t="str">
        <f t="shared" si="222"/>
        <v>Very Good</v>
      </c>
      <c r="BL102" s="659"/>
      <c r="BO102" s="35"/>
      <c r="BP102" s="35"/>
      <c r="BQ102" s="35" t="str">
        <f t="shared" si="157"/>
        <v/>
      </c>
      <c r="BR102" s="35">
        <f t="shared" si="198"/>
        <v>9</v>
      </c>
      <c r="BS102" s="35">
        <f t="shared" si="199"/>
        <v>9</v>
      </c>
      <c r="BT102" s="35">
        <f t="shared" si="200"/>
        <v>9</v>
      </c>
      <c r="BW102" s="37"/>
      <c r="BX102" s="37"/>
      <c r="BY102" s="37"/>
      <c r="BZ102" s="37"/>
      <c r="CA102" s="37"/>
      <c r="CB102" s="37"/>
    </row>
    <row r="103" spans="1:81">
      <c r="A103">
        <v>95</v>
      </c>
      <c r="B103" s="112" t="str">
        <f>D103</f>
        <v>Tra 02</v>
      </c>
      <c r="C103" s="112" t="str">
        <f>B103</f>
        <v>Tra 02</v>
      </c>
      <c r="D103" s="663" t="s">
        <v>379</v>
      </c>
      <c r="E103" s="661" t="s">
        <v>769</v>
      </c>
      <c r="F103" s="748">
        <f>SUM(F104:F105)</f>
        <v>10</v>
      </c>
      <c r="G103" s="748">
        <f t="shared" ref="G103:R103" si="230">SUM(G104:G105)</f>
        <v>10</v>
      </c>
      <c r="H103" s="748">
        <f t="shared" si="230"/>
        <v>10</v>
      </c>
      <c r="I103" s="748">
        <f t="shared" si="230"/>
        <v>10</v>
      </c>
      <c r="J103" s="748">
        <f t="shared" si="230"/>
        <v>10</v>
      </c>
      <c r="K103" s="748">
        <f t="shared" si="230"/>
        <v>10</v>
      </c>
      <c r="L103" s="748">
        <f t="shared" si="230"/>
        <v>10</v>
      </c>
      <c r="M103" s="748">
        <f t="shared" si="230"/>
        <v>10</v>
      </c>
      <c r="N103" s="748">
        <f t="shared" si="230"/>
        <v>10</v>
      </c>
      <c r="O103" s="748">
        <f t="shared" si="230"/>
        <v>10</v>
      </c>
      <c r="P103" s="748">
        <f t="shared" si="230"/>
        <v>10</v>
      </c>
      <c r="Q103" s="748">
        <f t="shared" ref="Q103" si="231">SUM(Q104:Q105)</f>
        <v>10</v>
      </c>
      <c r="R103" s="748">
        <f t="shared" si="230"/>
        <v>10</v>
      </c>
      <c r="T103" s="768">
        <f t="shared" si="209"/>
        <v>10</v>
      </c>
      <c r="U103" s="182"/>
      <c r="V103" s="53"/>
      <c r="W103" s="53"/>
      <c r="X103" s="53">
        <f>'Manuell filtrering og justering'!E44</f>
        <v>0</v>
      </c>
      <c r="Y103" s="53"/>
      <c r="Z103" s="763">
        <f t="shared" ref="Z103" si="232">SUM(Z104:Z105)</f>
        <v>10</v>
      </c>
      <c r="AA103" s="768">
        <f t="shared" si="211"/>
        <v>0</v>
      </c>
      <c r="AB103" s="820">
        <f t="shared" ref="AB103" si="233">SUM(AB104:AB105)</f>
        <v>10</v>
      </c>
      <c r="AD103" s="141">
        <f t="shared" si="213"/>
        <v>7.6923076923076927E-2</v>
      </c>
      <c r="AE103" s="736">
        <f>SUM(AE104:AE105)</f>
        <v>0</v>
      </c>
      <c r="AF103" s="736">
        <f t="shared" ref="AF103" si="234">SUM(AF104:AF105)</f>
        <v>0</v>
      </c>
      <c r="AG103" s="736">
        <f t="shared" ref="AG103" si="235">SUM(AG104:AG105)</f>
        <v>0</v>
      </c>
      <c r="AI103" s="763">
        <f t="shared" ref="AI103" si="236">SUM(AI104:AI105)</f>
        <v>0</v>
      </c>
      <c r="AJ103" s="763">
        <f t="shared" ref="AJ103" si="237">SUM(AJ104:AJ105)</f>
        <v>0</v>
      </c>
      <c r="AK103" s="763">
        <f t="shared" ref="AK103" si="238">SUM(AK104:AK105)</f>
        <v>0</v>
      </c>
      <c r="AM103" s="243"/>
      <c r="AN103" s="244"/>
      <c r="AO103" s="244"/>
      <c r="AP103" s="244"/>
      <c r="AQ103" s="245"/>
      <c r="AR103" s="114"/>
      <c r="AS103" s="243"/>
      <c r="AT103" s="244"/>
      <c r="AU103" s="244"/>
      <c r="AV103" s="244"/>
      <c r="AW103" s="245"/>
      <c r="AY103" s="137"/>
      <c r="AZ103" s="35"/>
      <c r="BA103" s="35"/>
      <c r="BB103" s="35"/>
      <c r="BC103" s="138"/>
      <c r="BD103" s="151">
        <f t="shared" si="227"/>
        <v>9</v>
      </c>
      <c r="BE103" s="37" t="str">
        <f t="shared" si="219"/>
        <v>N/A</v>
      </c>
      <c r="BF103" s="154"/>
      <c r="BG103" s="151">
        <f t="shared" si="228"/>
        <v>9</v>
      </c>
      <c r="BH103" s="37" t="str">
        <f t="shared" si="221"/>
        <v>N/A</v>
      </c>
      <c r="BI103" s="154"/>
      <c r="BJ103" s="151">
        <f t="shared" si="229"/>
        <v>9</v>
      </c>
      <c r="BK103" s="37" t="str">
        <f t="shared" si="222"/>
        <v>N/A</v>
      </c>
      <c r="BL103" s="154"/>
      <c r="BO103" s="35"/>
      <c r="BP103" s="35"/>
      <c r="BQ103" s="35" t="str">
        <f t="shared" si="157"/>
        <v/>
      </c>
      <c r="BR103" s="35">
        <f t="shared" si="198"/>
        <v>9</v>
      </c>
      <c r="BS103" s="35">
        <f t="shared" si="199"/>
        <v>9</v>
      </c>
      <c r="BT103" s="35">
        <f t="shared" si="200"/>
        <v>9</v>
      </c>
      <c r="BW103" s="35" t="str">
        <f>D103</f>
        <v>Tra 02</v>
      </c>
      <c r="BX103" s="35" t="str">
        <f>IFERROR(VLOOKUP($E103,'Pre-Assessment Estimator'!$E$11:$AB$227,'Pre-Assessment Estimator'!AB$2,FALSE),"")</f>
        <v>N/A</v>
      </c>
      <c r="BY103" s="35">
        <f>IFERROR(VLOOKUP($E103,'Pre-Assessment Estimator'!$E$11:$AI$227,'Pre-Assessment Estimator'!AI$2,FALSE),"")</f>
        <v>0</v>
      </c>
      <c r="BZ103" s="35">
        <f>IFERROR(VLOOKUP($BX103,$E$293:$H$326,F$291,FALSE),"")</f>
        <v>1</v>
      </c>
      <c r="CA103" s="35">
        <f>IFERROR(VLOOKUP($BX103,$E$293:$H$326,G$291,FALSE),"")</f>
        <v>0</v>
      </c>
      <c r="CB103" s="35"/>
      <c r="CC103" t="str">
        <f>IFERROR(VLOOKUP($BX103,$E$293:$H$326,I$291,FALSE),"")</f>
        <v/>
      </c>
    </row>
    <row r="104" spans="1:81">
      <c r="A104">
        <v>96</v>
      </c>
      <c r="C104" t="str">
        <f t="shared" si="159"/>
        <v>Tra 02</v>
      </c>
      <c r="D104" s="135" t="s">
        <v>729</v>
      </c>
      <c r="E104" s="871" t="s">
        <v>907</v>
      </c>
      <c r="F104" s="607">
        <v>0</v>
      </c>
      <c r="G104" s="607">
        <v>0</v>
      </c>
      <c r="H104" s="607">
        <v>0</v>
      </c>
      <c r="I104" s="607">
        <v>0</v>
      </c>
      <c r="J104" s="607">
        <v>0</v>
      </c>
      <c r="K104" s="607">
        <v>0</v>
      </c>
      <c r="L104" s="607">
        <v>0</v>
      </c>
      <c r="M104" s="607">
        <v>0</v>
      </c>
      <c r="N104" s="607">
        <v>0</v>
      </c>
      <c r="O104" s="607">
        <v>0</v>
      </c>
      <c r="P104" s="607">
        <v>0</v>
      </c>
      <c r="Q104" s="607">
        <v>0</v>
      </c>
      <c r="R104" s="607">
        <v>0</v>
      </c>
      <c r="T104" s="139">
        <f t="shared" si="209"/>
        <v>0</v>
      </c>
      <c r="U104" s="137"/>
      <c r="V104" s="35"/>
      <c r="W104" s="35"/>
      <c r="X104" s="35"/>
      <c r="Y104" s="138"/>
      <c r="Z104" s="138"/>
      <c r="AA104" s="139">
        <f t="shared" si="211"/>
        <v>0</v>
      </c>
      <c r="AB104" s="140"/>
      <c r="AD104" s="141">
        <f t="shared" si="213"/>
        <v>0</v>
      </c>
      <c r="AE104" s="141">
        <f t="shared" si="224"/>
        <v>0</v>
      </c>
      <c r="AF104" s="141">
        <f t="shared" si="225"/>
        <v>0</v>
      </c>
      <c r="AG104" s="141">
        <f t="shared" si="226"/>
        <v>0</v>
      </c>
      <c r="AI104" s="142">
        <f>IF(VLOOKUP(E104,'Pre-Assessment Estimator'!$E$11:$Z$227,'Pre-Assessment Estimator'!$G$2,FALSE)&gt;AB104,AB104,VLOOKUP(E104,'Pre-Assessment Estimator'!$E$11:$Z$227,'Pre-Assessment Estimator'!$G$2,FALSE))</f>
        <v>0</v>
      </c>
      <c r="AJ104" s="142">
        <f>IF(VLOOKUP(E104,'Pre-Assessment Estimator'!$E$11:$Z$227,'Pre-Assessment Estimator'!$N$2,FALSE)&gt;AB104,AB104,VLOOKUP(E104,'Pre-Assessment Estimator'!$E$11:$Z$227,'Pre-Assessment Estimator'!$N$2,FALSE))</f>
        <v>0</v>
      </c>
      <c r="AK104" s="142">
        <f>IF(VLOOKUP(E104,'Pre-Assessment Estimator'!$E$11:$Z$227,'Pre-Assessment Estimator'!$U$2,FALSE)&gt;AB104,AB104,VLOOKUP(E104,'Pre-Assessment Estimator'!$E$11:$Z$227,'Pre-Assessment Estimator'!$U$2,FALSE))</f>
        <v>0</v>
      </c>
      <c r="AM104" s="243"/>
      <c r="AN104" s="244"/>
      <c r="AO104" s="244"/>
      <c r="AP104" s="244"/>
      <c r="AQ104" s="245"/>
      <c r="AR104" s="114"/>
      <c r="AS104" s="243"/>
      <c r="AT104" s="244"/>
      <c r="AU104" s="244"/>
      <c r="AV104" s="244"/>
      <c r="AW104" s="245"/>
      <c r="AY104" s="137"/>
      <c r="AZ104" s="35"/>
      <c r="BA104" s="35"/>
      <c r="BB104" s="35"/>
      <c r="BC104" s="138"/>
      <c r="BD104" s="151">
        <f t="shared" si="227"/>
        <v>9</v>
      </c>
      <c r="BE104" s="37" t="str">
        <f t="shared" si="219"/>
        <v>N/A</v>
      </c>
      <c r="BF104" s="154"/>
      <c r="BG104" s="151">
        <f t="shared" si="228"/>
        <v>9</v>
      </c>
      <c r="BH104" s="37" t="str">
        <f t="shared" si="221"/>
        <v>N/A</v>
      </c>
      <c r="BI104" s="154"/>
      <c r="BJ104" s="151">
        <f t="shared" si="229"/>
        <v>9</v>
      </c>
      <c r="BK104" s="37" t="str">
        <f t="shared" si="222"/>
        <v>N/A</v>
      </c>
      <c r="BL104" s="154"/>
      <c r="BO104" s="35"/>
      <c r="BP104" s="35"/>
      <c r="BQ104" s="35" t="str">
        <f t="shared" si="157"/>
        <v/>
      </c>
      <c r="BR104" s="35">
        <f t="shared" si="198"/>
        <v>9</v>
      </c>
      <c r="BS104" s="35">
        <f t="shared" si="199"/>
        <v>9</v>
      </c>
      <c r="BT104" s="35">
        <f t="shared" si="200"/>
        <v>9</v>
      </c>
      <c r="BW104" s="35"/>
      <c r="BX104" s="35"/>
      <c r="BY104" s="35"/>
      <c r="BZ104" s="35"/>
      <c r="CA104" s="35"/>
      <c r="CB104" s="35"/>
    </row>
    <row r="105" spans="1:81">
      <c r="A105">
        <v>97</v>
      </c>
      <c r="B105" t="str">
        <f t="shared" ref="B105" si="239">$D$103&amp;D105</f>
        <v>Tra 02b</v>
      </c>
      <c r="C105" t="str">
        <f t="shared" si="159"/>
        <v>Tra 02</v>
      </c>
      <c r="D105" s="135" t="s">
        <v>730</v>
      </c>
      <c r="E105" s="871" t="s">
        <v>771</v>
      </c>
      <c r="F105" s="607">
        <v>10</v>
      </c>
      <c r="G105" s="607">
        <v>10</v>
      </c>
      <c r="H105" s="607">
        <v>10</v>
      </c>
      <c r="I105" s="607">
        <v>10</v>
      </c>
      <c r="J105" s="607">
        <v>10</v>
      </c>
      <c r="K105" s="607">
        <v>10</v>
      </c>
      <c r="L105" s="607">
        <v>10</v>
      </c>
      <c r="M105" s="607">
        <v>10</v>
      </c>
      <c r="N105" s="607">
        <v>10</v>
      </c>
      <c r="O105" s="607">
        <v>10</v>
      </c>
      <c r="P105" s="607">
        <v>10</v>
      </c>
      <c r="Q105" s="607">
        <v>10</v>
      </c>
      <c r="R105" s="607">
        <v>10</v>
      </c>
      <c r="T105" s="139">
        <f t="shared" si="209"/>
        <v>10</v>
      </c>
      <c r="U105" s="137"/>
      <c r="V105" s="35"/>
      <c r="W105" s="35"/>
      <c r="X105" s="35"/>
      <c r="Y105" s="138"/>
      <c r="Z105" s="138">
        <f>VLOOKUP(B105,'Manuell filtrering og justering'!$A$7:$H$107,'Manuell filtrering og justering'!$H$1,FALSE)</f>
        <v>10</v>
      </c>
      <c r="AA105" s="139">
        <f t="shared" si="211"/>
        <v>0</v>
      </c>
      <c r="AB105" s="140">
        <f>IF($AC$5='Manuell filtrering og justering'!$J$2,Z105,(T105-AA105))</f>
        <v>10</v>
      </c>
      <c r="AD105" s="141">
        <f t="shared" si="213"/>
        <v>7.6923076923076927E-2</v>
      </c>
      <c r="AE105" s="141">
        <f t="shared" si="224"/>
        <v>0</v>
      </c>
      <c r="AF105" s="141">
        <f t="shared" si="225"/>
        <v>0</v>
      </c>
      <c r="AG105" s="141">
        <f t="shared" si="226"/>
        <v>0</v>
      </c>
      <c r="AI105" s="821">
        <f>IF(AI246=AD_no,0,IF(VLOOKUP(E105,'Pre-Assessment Estimator'!$E$11:$Z$227,'Pre-Assessment Estimator'!$G$2,FALSE)&gt;AB105,AB105,VLOOKUP(E105,'Pre-Assessment Estimator'!$E$11:$Z$227,'Pre-Assessment Estimator'!$G$2,FALSE)))</f>
        <v>0</v>
      </c>
      <c r="AJ105" s="821">
        <f>IF(AJ246=AD_no,0,IF(VLOOKUP(E105,'Pre-Assessment Estimator'!$E$11:$Z$227,'Pre-Assessment Estimator'!$N$2,FALSE)&gt;AB105,AB105,VLOOKUP(E105,'Pre-Assessment Estimator'!$E$11:$Z$227,'Pre-Assessment Estimator'!$N$2,FALSE)))</f>
        <v>0</v>
      </c>
      <c r="AK105" s="821">
        <f>IF(AK246=AD_no,0,IF(VLOOKUP(E105,'Pre-Assessment Estimator'!$E$11:$Z$227,'Pre-Assessment Estimator'!$U$2,FALSE)&gt;AB105,AB105,VLOOKUP(E105,'Pre-Assessment Estimator'!$E$11:$Z$227,'Pre-Assessment Estimator'!$U$2,FALSE)))</f>
        <v>0</v>
      </c>
      <c r="AM105" s="243"/>
      <c r="AN105" s="244"/>
      <c r="AO105" s="244"/>
      <c r="AP105" s="244"/>
      <c r="AQ105" s="245"/>
      <c r="AR105" s="114"/>
      <c r="AS105" s="243"/>
      <c r="AT105" s="244"/>
      <c r="AU105" s="244"/>
      <c r="AV105" s="244"/>
      <c r="AW105" s="245"/>
      <c r="AY105" s="137"/>
      <c r="AZ105" s="35"/>
      <c r="BA105" s="35"/>
      <c r="BB105" s="35"/>
      <c r="BC105" s="138"/>
      <c r="BD105" s="151">
        <f t="shared" si="227"/>
        <v>9</v>
      </c>
      <c r="BE105" s="37" t="str">
        <f t="shared" si="219"/>
        <v>N/A</v>
      </c>
      <c r="BF105" s="154"/>
      <c r="BG105" s="151">
        <f t="shared" si="228"/>
        <v>9</v>
      </c>
      <c r="BH105" s="37" t="str">
        <f t="shared" si="221"/>
        <v>N/A</v>
      </c>
      <c r="BI105" s="154"/>
      <c r="BJ105" s="151">
        <f t="shared" si="229"/>
        <v>9</v>
      </c>
      <c r="BK105" s="37" t="str">
        <f t="shared" si="222"/>
        <v>N/A</v>
      </c>
      <c r="BL105" s="154"/>
      <c r="BO105" s="35"/>
      <c r="BP105" s="35"/>
      <c r="BQ105" s="35" t="str">
        <f t="shared" si="157"/>
        <v/>
      </c>
      <c r="BR105" s="35">
        <f t="shared" si="198"/>
        <v>9</v>
      </c>
      <c r="BS105" s="35">
        <f t="shared" si="199"/>
        <v>9</v>
      </c>
      <c r="BT105" s="35">
        <f t="shared" si="200"/>
        <v>9</v>
      </c>
      <c r="BW105" s="35"/>
      <c r="BX105" s="35"/>
      <c r="BY105" s="35"/>
      <c r="BZ105" s="35"/>
      <c r="CA105" s="35"/>
      <c r="CB105" s="35"/>
    </row>
    <row r="106" spans="1:81">
      <c r="A106">
        <v>98</v>
      </c>
      <c r="D106" s="548" t="s">
        <v>772</v>
      </c>
      <c r="E106" s="547"/>
      <c r="F106" s="749"/>
      <c r="G106" s="749"/>
      <c r="H106" s="749"/>
      <c r="I106" s="749"/>
      <c r="J106" s="749"/>
      <c r="K106" s="749"/>
      <c r="L106" s="749"/>
      <c r="M106" s="749"/>
      <c r="N106" s="749"/>
      <c r="O106" s="749"/>
      <c r="P106" s="749"/>
      <c r="Q106" s="749"/>
      <c r="R106" s="749"/>
      <c r="T106" s="761"/>
      <c r="U106" s="548"/>
      <c r="V106" s="547"/>
      <c r="W106" s="547"/>
      <c r="X106" s="547"/>
      <c r="Y106" s="760"/>
      <c r="Z106" s="760"/>
      <c r="AA106" s="761"/>
      <c r="AB106" s="762"/>
      <c r="AD106" s="141">
        <f t="shared" si="213"/>
        <v>0</v>
      </c>
      <c r="AE106" s="765"/>
      <c r="AF106" s="765"/>
      <c r="AG106" s="765"/>
      <c r="AI106" s="562"/>
      <c r="AJ106" s="562"/>
      <c r="AK106" s="562"/>
      <c r="AM106" s="243"/>
      <c r="AN106" s="244"/>
      <c r="AO106" s="244"/>
      <c r="AP106" s="244"/>
      <c r="AQ106" s="245"/>
      <c r="AR106" s="114"/>
      <c r="AS106" s="243"/>
      <c r="AT106" s="244"/>
      <c r="AU106" s="244"/>
      <c r="AV106" s="244"/>
      <c r="AW106" s="245"/>
      <c r="AY106" s="137"/>
      <c r="AZ106" s="35"/>
      <c r="BA106" s="35"/>
      <c r="BB106" s="35"/>
      <c r="BC106" s="138"/>
      <c r="BD106" s="151">
        <f t="shared" si="60"/>
        <v>9</v>
      </c>
      <c r="BE106" s="37" t="str">
        <f t="shared" si="219"/>
        <v>N/A</v>
      </c>
      <c r="BF106" s="154"/>
      <c r="BG106" s="151">
        <f t="shared" si="220"/>
        <v>9</v>
      </c>
      <c r="BH106" s="37" t="str">
        <f t="shared" si="221"/>
        <v>N/A</v>
      </c>
      <c r="BI106" s="154"/>
      <c r="BJ106" s="151">
        <f t="shared" si="28"/>
        <v>9</v>
      </c>
      <c r="BK106" s="37" t="str">
        <f t="shared" si="222"/>
        <v>N/A</v>
      </c>
      <c r="BL106" s="154"/>
      <c r="BO106" s="35"/>
      <c r="BP106" s="35"/>
      <c r="BQ106" s="35" t="str">
        <f t="shared" si="157"/>
        <v/>
      </c>
      <c r="BR106" s="35">
        <f t="shared" si="198"/>
        <v>9</v>
      </c>
      <c r="BS106" s="35">
        <f t="shared" si="199"/>
        <v>9</v>
      </c>
      <c r="BT106" s="35">
        <f t="shared" si="200"/>
        <v>9</v>
      </c>
      <c r="BW106" s="35" t="str">
        <f>D106</f>
        <v>Tra 03</v>
      </c>
      <c r="BX106" s="35" t="str">
        <f>IFERROR(VLOOKUP($E106,'Pre-Assessment Estimator'!$E$11:$AB$227,'Pre-Assessment Estimator'!AB$2,FALSE),"")</f>
        <v/>
      </c>
      <c r="BY106" s="35" t="str">
        <f>IFERROR(VLOOKUP($E106,'Pre-Assessment Estimator'!$E$11:$AI$227,'Pre-Assessment Estimator'!AI$2,FALSE),"")</f>
        <v/>
      </c>
      <c r="BZ106" s="35" t="str">
        <f t="shared" ref="BZ106:CA113" si="240">IFERROR(VLOOKUP($BX106,$E$293:$H$326,F$291,FALSE),"")</f>
        <v/>
      </c>
      <c r="CA106" s="35" t="str">
        <f t="shared" si="240"/>
        <v/>
      </c>
      <c r="CB106" s="35"/>
      <c r="CC106" t="s">
        <v>895</v>
      </c>
    </row>
    <row r="107" spans="1:81">
      <c r="A107">
        <v>99</v>
      </c>
      <c r="D107" s="548" t="s">
        <v>751</v>
      </c>
      <c r="E107" s="547"/>
      <c r="F107" s="749"/>
      <c r="G107" s="749"/>
      <c r="H107" s="749"/>
      <c r="I107" s="749"/>
      <c r="J107" s="749"/>
      <c r="K107" s="749"/>
      <c r="L107" s="749"/>
      <c r="M107" s="749"/>
      <c r="N107" s="749"/>
      <c r="O107" s="749"/>
      <c r="P107" s="749"/>
      <c r="Q107" s="749"/>
      <c r="R107" s="749"/>
      <c r="T107" s="761"/>
      <c r="U107" s="548"/>
      <c r="V107" s="547"/>
      <c r="W107" s="547"/>
      <c r="X107" s="547"/>
      <c r="Y107" s="760"/>
      <c r="Z107" s="760"/>
      <c r="AA107" s="761"/>
      <c r="AB107" s="762"/>
      <c r="AD107" s="141">
        <f t="shared" si="213"/>
        <v>0</v>
      </c>
      <c r="AE107" s="765"/>
      <c r="AF107" s="765"/>
      <c r="AG107" s="765"/>
      <c r="AI107" s="562"/>
      <c r="AJ107" s="562"/>
      <c r="AK107" s="562"/>
      <c r="AM107" s="243"/>
      <c r="AN107" s="244"/>
      <c r="AO107" s="244"/>
      <c r="AP107" s="244"/>
      <c r="AQ107" s="245"/>
      <c r="AR107" s="114"/>
      <c r="AS107" s="243"/>
      <c r="AT107" s="244"/>
      <c r="AU107" s="244"/>
      <c r="AV107" s="244"/>
      <c r="AW107" s="245"/>
      <c r="AY107" s="137"/>
      <c r="AZ107" s="35"/>
      <c r="BA107" s="35"/>
      <c r="BB107" s="35"/>
      <c r="BC107" s="138"/>
      <c r="BD107" s="151">
        <f t="shared" si="60"/>
        <v>9</v>
      </c>
      <c r="BE107" s="37" t="str">
        <f t="shared" si="219"/>
        <v>N/A</v>
      </c>
      <c r="BF107" s="154"/>
      <c r="BG107" s="151">
        <f t="shared" si="220"/>
        <v>9</v>
      </c>
      <c r="BH107" s="37" t="str">
        <f t="shared" si="221"/>
        <v>N/A</v>
      </c>
      <c r="BI107" s="154"/>
      <c r="BJ107" s="151">
        <f t="shared" si="28"/>
        <v>9</v>
      </c>
      <c r="BK107" s="37" t="str">
        <f t="shared" si="222"/>
        <v>N/A</v>
      </c>
      <c r="BL107" s="154"/>
      <c r="BO107" s="35"/>
      <c r="BP107" s="35"/>
      <c r="BQ107" s="35" t="str">
        <f t="shared" si="157"/>
        <v/>
      </c>
      <c r="BR107" s="35">
        <f t="shared" si="198"/>
        <v>9</v>
      </c>
      <c r="BS107" s="35">
        <f t="shared" si="199"/>
        <v>9</v>
      </c>
      <c r="BT107" s="35">
        <f t="shared" si="200"/>
        <v>9</v>
      </c>
      <c r="BW107" s="35" t="str">
        <f>D107</f>
        <v>Tra 04</v>
      </c>
      <c r="BX107" s="35" t="str">
        <f>IFERROR(VLOOKUP($E107,'Pre-Assessment Estimator'!$E$11:$AB$227,'Pre-Assessment Estimator'!AB$2,FALSE),"")</f>
        <v/>
      </c>
      <c r="BY107" s="35" t="str">
        <f>IFERROR(VLOOKUP($E107,'Pre-Assessment Estimator'!$E$11:$AI$227,'Pre-Assessment Estimator'!AI$2,FALSE),"")</f>
        <v/>
      </c>
      <c r="BZ107" s="35" t="str">
        <f t="shared" si="240"/>
        <v/>
      </c>
      <c r="CA107" s="35" t="str">
        <f t="shared" si="240"/>
        <v/>
      </c>
      <c r="CB107" s="35"/>
      <c r="CC107" t="str">
        <f t="shared" ref="CC107:CC112" si="241">IFERROR(VLOOKUP($BX107,$E$293:$H$326,I$291,FALSE),"")</f>
        <v/>
      </c>
    </row>
    <row r="108" spans="1:81">
      <c r="A108">
        <v>100</v>
      </c>
      <c r="D108" s="548" t="s">
        <v>752</v>
      </c>
      <c r="E108" s="547"/>
      <c r="F108" s="749"/>
      <c r="G108" s="749"/>
      <c r="H108" s="749"/>
      <c r="I108" s="749"/>
      <c r="J108" s="749"/>
      <c r="K108" s="749"/>
      <c r="L108" s="749"/>
      <c r="M108" s="749"/>
      <c r="N108" s="749"/>
      <c r="O108" s="749"/>
      <c r="P108" s="749"/>
      <c r="Q108" s="749"/>
      <c r="R108" s="749"/>
      <c r="T108" s="761"/>
      <c r="U108" s="548"/>
      <c r="V108" s="547"/>
      <c r="W108" s="547"/>
      <c r="X108" s="547"/>
      <c r="Y108" s="760"/>
      <c r="Z108" s="760"/>
      <c r="AA108" s="761"/>
      <c r="AB108" s="762"/>
      <c r="AD108" s="141">
        <f t="shared" si="213"/>
        <v>0</v>
      </c>
      <c r="AE108" s="765"/>
      <c r="AF108" s="765"/>
      <c r="AG108" s="765"/>
      <c r="AI108" s="562"/>
      <c r="AJ108" s="562"/>
      <c r="AK108" s="562"/>
      <c r="AM108" s="243"/>
      <c r="AN108" s="244"/>
      <c r="AO108" s="244"/>
      <c r="AP108" s="244"/>
      <c r="AQ108" s="245"/>
      <c r="AR108" s="114"/>
      <c r="AS108" s="243"/>
      <c r="AT108" s="244"/>
      <c r="AU108" s="244"/>
      <c r="AV108" s="244"/>
      <c r="AW108" s="245"/>
      <c r="AY108" s="137"/>
      <c r="AZ108" s="35"/>
      <c r="BA108" s="35"/>
      <c r="BB108" s="35"/>
      <c r="BC108" s="138"/>
      <c r="BD108" s="151">
        <f t="shared" si="60"/>
        <v>9</v>
      </c>
      <c r="BE108" s="37" t="str">
        <f t="shared" si="219"/>
        <v>N/A</v>
      </c>
      <c r="BF108" s="154"/>
      <c r="BG108" s="151">
        <f t="shared" si="220"/>
        <v>9</v>
      </c>
      <c r="BH108" s="37" t="str">
        <f t="shared" si="221"/>
        <v>N/A</v>
      </c>
      <c r="BI108" s="154"/>
      <c r="BJ108" s="151">
        <f t="shared" si="28"/>
        <v>9</v>
      </c>
      <c r="BK108" s="37" t="str">
        <f t="shared" si="222"/>
        <v>N/A</v>
      </c>
      <c r="BL108" s="154"/>
      <c r="BO108" s="35"/>
      <c r="BP108" s="35"/>
      <c r="BQ108" s="35" t="str">
        <f t="shared" si="157"/>
        <v/>
      </c>
      <c r="BR108" s="35">
        <f t="shared" si="198"/>
        <v>9</v>
      </c>
      <c r="BS108" s="35">
        <f t="shared" si="199"/>
        <v>9</v>
      </c>
      <c r="BT108" s="35">
        <f t="shared" si="200"/>
        <v>9</v>
      </c>
      <c r="BW108" s="35" t="str">
        <f>D108</f>
        <v>Tra 05</v>
      </c>
      <c r="BX108" s="35" t="str">
        <f>IFERROR(VLOOKUP($E108,'Pre-Assessment Estimator'!$E$11:$AB$227,'Pre-Assessment Estimator'!AB$2,FALSE),"")</f>
        <v/>
      </c>
      <c r="BY108" s="35" t="str">
        <f>IFERROR(VLOOKUP($E108,'Pre-Assessment Estimator'!$E$11:$AI$227,'Pre-Assessment Estimator'!AI$2,FALSE),"")</f>
        <v/>
      </c>
      <c r="BZ108" s="35" t="str">
        <f t="shared" si="240"/>
        <v/>
      </c>
      <c r="CA108" s="35" t="str">
        <f t="shared" si="240"/>
        <v/>
      </c>
      <c r="CB108" s="35"/>
      <c r="CC108" t="str">
        <f t="shared" si="241"/>
        <v/>
      </c>
    </row>
    <row r="109" spans="1:81" ht="15.75" thickBot="1">
      <c r="A109">
        <v>101</v>
      </c>
      <c r="D109" s="552" t="s">
        <v>753</v>
      </c>
      <c r="E109" s="553"/>
      <c r="F109" s="752"/>
      <c r="G109" s="752"/>
      <c r="H109" s="752"/>
      <c r="I109" s="752"/>
      <c r="J109" s="752"/>
      <c r="K109" s="752"/>
      <c r="L109" s="752"/>
      <c r="M109" s="752"/>
      <c r="N109" s="752"/>
      <c r="O109" s="752"/>
      <c r="P109" s="752"/>
      <c r="Q109" s="752"/>
      <c r="R109" s="752"/>
      <c r="T109" s="761"/>
      <c r="U109" s="550"/>
      <c r="V109" s="551"/>
      <c r="W109" s="551"/>
      <c r="X109" s="547"/>
      <c r="Y109" s="760"/>
      <c r="Z109" s="760"/>
      <c r="AA109" s="761"/>
      <c r="AB109" s="762"/>
      <c r="AD109" s="141">
        <f t="shared" si="213"/>
        <v>0</v>
      </c>
      <c r="AE109" s="765"/>
      <c r="AF109" s="765"/>
      <c r="AG109" s="765"/>
      <c r="AI109" s="562"/>
      <c r="AJ109" s="562"/>
      <c r="AK109" s="562"/>
      <c r="AM109" s="246"/>
      <c r="AN109" s="247"/>
      <c r="AO109" s="247"/>
      <c r="AP109" s="247"/>
      <c r="AQ109" s="248"/>
      <c r="AR109" s="114"/>
      <c r="AS109" s="246"/>
      <c r="AT109" s="247"/>
      <c r="AU109" s="247"/>
      <c r="AV109" s="247"/>
      <c r="AW109" s="248"/>
      <c r="AY109" s="159"/>
      <c r="AZ109" s="161"/>
      <c r="BA109" s="161"/>
      <c r="BB109" s="161"/>
      <c r="BC109" s="162"/>
      <c r="BD109" s="163">
        <f t="shared" ref="BD109" si="242">IF(BC109=0,9,IF(AI109&gt;=BC109,5,IF(AI109&gt;=BB109,4,IF(AI109&gt;=BA109,3,IF(AI109&gt;=AZ109,2,IF(AI109&lt;AY109,0,1))))))</f>
        <v>9</v>
      </c>
      <c r="BE109" s="37" t="str">
        <f t="shared" si="219"/>
        <v>N/A</v>
      </c>
      <c r="BF109" s="164"/>
      <c r="BG109" s="163">
        <f t="shared" si="220"/>
        <v>9</v>
      </c>
      <c r="BH109" s="37" t="str">
        <f t="shared" si="221"/>
        <v>N/A</v>
      </c>
      <c r="BI109" s="164"/>
      <c r="BJ109" s="163">
        <f t="shared" si="28"/>
        <v>9</v>
      </c>
      <c r="BK109" s="37" t="str">
        <f t="shared" si="222"/>
        <v>N/A</v>
      </c>
      <c r="BL109" s="164"/>
      <c r="BO109" s="35"/>
      <c r="BP109" s="35"/>
      <c r="BQ109" s="35" t="str">
        <f t="shared" si="157"/>
        <v/>
      </c>
      <c r="BR109" s="35">
        <f t="shared" si="198"/>
        <v>9</v>
      </c>
      <c r="BS109" s="35">
        <f t="shared" si="199"/>
        <v>9</v>
      </c>
      <c r="BT109" s="35">
        <f t="shared" si="200"/>
        <v>9</v>
      </c>
      <c r="BW109" s="55" t="str">
        <f>D109</f>
        <v>Tra 06</v>
      </c>
      <c r="BX109" s="55" t="str">
        <f>IFERROR(VLOOKUP($E109,'Pre-Assessment Estimator'!$E$11:$AB$227,'Pre-Assessment Estimator'!AB$2,FALSE),"")</f>
        <v/>
      </c>
      <c r="BY109" s="55" t="str">
        <f>IFERROR(VLOOKUP($E109,'Pre-Assessment Estimator'!$E$11:$AI$227,'Pre-Assessment Estimator'!AI$2,FALSE),"")</f>
        <v/>
      </c>
      <c r="BZ109" s="55" t="str">
        <f t="shared" si="240"/>
        <v/>
      </c>
      <c r="CA109" s="55" t="str">
        <f t="shared" si="240"/>
        <v/>
      </c>
      <c r="CB109" s="55"/>
      <c r="CC109" t="str">
        <f t="shared" si="241"/>
        <v/>
      </c>
    </row>
    <row r="110" spans="1:81" ht="15.75" thickBot="1">
      <c r="A110">
        <v>102</v>
      </c>
      <c r="B110" t="s">
        <v>383</v>
      </c>
      <c r="D110" s="165"/>
      <c r="E110" s="42" t="s">
        <v>725</v>
      </c>
      <c r="F110" s="611">
        <f>F100+F103</f>
        <v>13</v>
      </c>
      <c r="G110" s="611">
        <f t="shared" ref="G110:R110" si="243">G100+G103</f>
        <v>13</v>
      </c>
      <c r="H110" s="611">
        <f t="shared" si="243"/>
        <v>13</v>
      </c>
      <c r="I110" s="611">
        <f t="shared" si="243"/>
        <v>13</v>
      </c>
      <c r="J110" s="611">
        <f t="shared" si="243"/>
        <v>13</v>
      </c>
      <c r="K110" s="611">
        <f t="shared" si="243"/>
        <v>13</v>
      </c>
      <c r="L110" s="611">
        <f t="shared" si="243"/>
        <v>13</v>
      </c>
      <c r="M110" s="611">
        <f t="shared" si="243"/>
        <v>13</v>
      </c>
      <c r="N110" s="611">
        <f t="shared" si="243"/>
        <v>13</v>
      </c>
      <c r="O110" s="611">
        <f t="shared" si="243"/>
        <v>13</v>
      </c>
      <c r="P110" s="611">
        <f t="shared" si="243"/>
        <v>13</v>
      </c>
      <c r="Q110" s="611">
        <f t="shared" ref="Q110" si="244">Q100+Q103</f>
        <v>13</v>
      </c>
      <c r="R110" s="611">
        <f t="shared" si="243"/>
        <v>13</v>
      </c>
      <c r="T110" s="186">
        <f>HLOOKUP($E$6,$F$9:$R$231,$A110,FALSE)</f>
        <v>13</v>
      </c>
      <c r="U110" s="167"/>
      <c r="V110" s="168"/>
      <c r="W110" s="168"/>
      <c r="X110" s="168"/>
      <c r="Y110" s="169"/>
      <c r="Z110" s="169"/>
      <c r="AA110" s="611">
        <f t="shared" ref="AA110:AG110" si="245">AA100+AA103</f>
        <v>0</v>
      </c>
      <c r="AB110" s="611">
        <f t="shared" si="245"/>
        <v>13</v>
      </c>
      <c r="AD110" s="171">
        <f t="shared" si="245"/>
        <v>0.1</v>
      </c>
      <c r="AE110" s="171">
        <f t="shared" si="245"/>
        <v>0</v>
      </c>
      <c r="AF110" s="171">
        <f t="shared" si="245"/>
        <v>0</v>
      </c>
      <c r="AG110" s="171">
        <f t="shared" si="245"/>
        <v>0</v>
      </c>
      <c r="AI110" s="64">
        <f t="shared" ref="AI110:AK110" si="246">AI100+AI103</f>
        <v>0</v>
      </c>
      <c r="AJ110" s="64">
        <f t="shared" si="246"/>
        <v>0</v>
      </c>
      <c r="AK110" s="64">
        <f t="shared" si="246"/>
        <v>0</v>
      </c>
      <c r="AM110" s="114"/>
      <c r="AN110" s="114"/>
      <c r="AO110" s="114"/>
      <c r="AP110" s="114"/>
      <c r="AQ110" s="114"/>
      <c r="AR110" s="114"/>
      <c r="AS110" s="114"/>
      <c r="AT110" s="114"/>
      <c r="AU110" s="114"/>
      <c r="AV110" s="114"/>
      <c r="AW110" s="114"/>
      <c r="AZ110" s="172"/>
      <c r="BW110" s="42"/>
      <c r="BX110" s="42" t="str">
        <f>IFERROR(VLOOKUP($E110,'Pre-Assessment Estimator'!$E$11:$AB$227,'Pre-Assessment Estimator'!AB$2,FALSE),"")</f>
        <v/>
      </c>
      <c r="BY110" s="42" t="str">
        <f>IFERROR(VLOOKUP($E110,'Pre-Assessment Estimator'!$E$11:$AI$227,'Pre-Assessment Estimator'!AI$2,FALSE),"")</f>
        <v/>
      </c>
      <c r="BZ110" s="42" t="str">
        <f t="shared" si="240"/>
        <v/>
      </c>
      <c r="CA110" s="42" t="str">
        <f t="shared" si="240"/>
        <v/>
      </c>
      <c r="CB110" s="42"/>
      <c r="CC110" t="str">
        <f t="shared" si="241"/>
        <v/>
      </c>
    </row>
    <row r="111" spans="1:81" ht="15.75" thickBot="1">
      <c r="A111">
        <v>103</v>
      </c>
      <c r="AI111" s="1"/>
      <c r="AJ111" s="1"/>
      <c r="AK111" s="1"/>
      <c r="AM111" s="114"/>
      <c r="AN111" s="114"/>
      <c r="AO111" s="114"/>
      <c r="AP111" s="114"/>
      <c r="AQ111" s="114"/>
      <c r="AR111" s="114"/>
      <c r="AS111" s="114"/>
      <c r="AT111" s="114"/>
      <c r="AU111" s="114"/>
      <c r="AV111" s="114"/>
      <c r="AW111" s="114"/>
      <c r="BX111" t="str">
        <f>IFERROR(VLOOKUP($E111,'Pre-Assessment Estimator'!$E$11:$AB$227,'Pre-Assessment Estimator'!AB$2,FALSE),"")</f>
        <v/>
      </c>
      <c r="BY111" t="str">
        <f>IFERROR(VLOOKUP($E111,'Pre-Assessment Estimator'!$E$11:$AI$227,'Pre-Assessment Estimator'!AI$2,FALSE),"")</f>
        <v/>
      </c>
      <c r="BZ111" t="str">
        <f t="shared" si="240"/>
        <v/>
      </c>
      <c r="CA111" t="str">
        <f t="shared" si="240"/>
        <v/>
      </c>
      <c r="CC111" t="str">
        <f t="shared" si="241"/>
        <v/>
      </c>
    </row>
    <row r="112" spans="1:81" ht="60.75" thickBot="1">
      <c r="A112">
        <v>104</v>
      </c>
      <c r="D112" s="118"/>
      <c r="E112" s="39" t="s">
        <v>385</v>
      </c>
      <c r="F112" s="964" t="str">
        <f>$F$9</f>
        <v>Office</v>
      </c>
      <c r="G112" s="964" t="str">
        <f>$G$9</f>
        <v>Retail</v>
      </c>
      <c r="H112" s="968" t="str">
        <f>$H$9</f>
        <v>Residential</v>
      </c>
      <c r="I112" s="964" t="str">
        <f>$I$9</f>
        <v>Industrial</v>
      </c>
      <c r="J112" s="966" t="str">
        <f>$J$9</f>
        <v>Healthcare</v>
      </c>
      <c r="K112" s="966" t="str">
        <f>$K$9</f>
        <v>Prison</v>
      </c>
      <c r="L112" s="966" t="str">
        <f>$L$9</f>
        <v>Law Court</v>
      </c>
      <c r="M112" s="970" t="str">
        <f>$M$9</f>
        <v>Residential institution (long term stay)</v>
      </c>
      <c r="N112" s="733" t="str">
        <f>$N$9</f>
        <v>Residential institution (short term stay)</v>
      </c>
      <c r="O112" s="733" t="str">
        <f>$O$9</f>
        <v>Non-residential institution</v>
      </c>
      <c r="P112" s="733" t="str">
        <f>$P$9</f>
        <v>Assembly and leisure</v>
      </c>
      <c r="Q112" s="966" t="str">
        <f>$Q$9</f>
        <v>Education</v>
      </c>
      <c r="R112" s="683" t="str">
        <f>$R$9</f>
        <v>Other</v>
      </c>
      <c r="T112" s="113" t="str">
        <f>$E$6</f>
        <v>Office</v>
      </c>
      <c r="U112" s="173"/>
      <c r="V112" s="174"/>
      <c r="W112" s="174"/>
      <c r="X112" s="174"/>
      <c r="Y112" s="900" t="s">
        <v>871</v>
      </c>
      <c r="Z112" s="295" t="s">
        <v>25</v>
      </c>
      <c r="AA112" s="122" t="s">
        <v>725</v>
      </c>
      <c r="AB112" s="45" t="s">
        <v>860</v>
      </c>
      <c r="AI112" s="28"/>
      <c r="AJ112" s="46"/>
      <c r="AK112" s="46"/>
      <c r="AM112" s="114"/>
      <c r="AN112" s="114"/>
      <c r="AO112" s="114"/>
      <c r="AP112" s="114"/>
      <c r="AQ112" s="114"/>
      <c r="AR112" s="114"/>
      <c r="AS112" s="114"/>
      <c r="AT112" s="114"/>
      <c r="AU112" s="114"/>
      <c r="AV112" s="114"/>
      <c r="AW112" s="114"/>
      <c r="BO112" s="46"/>
      <c r="BP112" s="46"/>
      <c r="BQ112" s="46"/>
      <c r="BR112" s="46"/>
      <c r="BS112" s="46"/>
      <c r="BT112" s="46"/>
      <c r="BW112" s="39"/>
      <c r="BX112" s="39" t="str">
        <f>E112</f>
        <v>Water</v>
      </c>
      <c r="BY112" s="39">
        <f>IFERROR(VLOOKUP($E112,'Pre-Assessment Estimator'!$E$11:$AI$227,'Pre-Assessment Estimator'!AI$2,FALSE),"")</f>
        <v>0</v>
      </c>
      <c r="BZ112" s="39" t="str">
        <f t="shared" si="240"/>
        <v/>
      </c>
      <c r="CA112" s="39" t="str">
        <f t="shared" si="240"/>
        <v/>
      </c>
      <c r="CB112" s="39"/>
      <c r="CC112" t="str">
        <f t="shared" si="241"/>
        <v/>
      </c>
    </row>
    <row r="113" spans="1:85">
      <c r="A113">
        <v>105</v>
      </c>
      <c r="B113" s="112" t="str">
        <f>D113</f>
        <v>Wat 01</v>
      </c>
      <c r="C113" s="112" t="str">
        <f>B113</f>
        <v>Wat 01</v>
      </c>
      <c r="D113" s="662" t="s">
        <v>387</v>
      </c>
      <c r="E113" s="660" t="s">
        <v>388</v>
      </c>
      <c r="F113" s="748">
        <f>SUM(F114)</f>
        <v>5</v>
      </c>
      <c r="G113" s="748">
        <f t="shared" ref="G113:R113" si="247">SUM(G114)</f>
        <v>5</v>
      </c>
      <c r="H113" s="748">
        <f t="shared" si="247"/>
        <v>5</v>
      </c>
      <c r="I113" s="748">
        <f t="shared" si="247"/>
        <v>5</v>
      </c>
      <c r="J113" s="748">
        <f t="shared" si="247"/>
        <v>5</v>
      </c>
      <c r="K113" s="748">
        <f t="shared" si="247"/>
        <v>5</v>
      </c>
      <c r="L113" s="748">
        <f t="shared" si="247"/>
        <v>5</v>
      </c>
      <c r="M113" s="748">
        <f t="shared" si="247"/>
        <v>5</v>
      </c>
      <c r="N113" s="748">
        <f t="shared" si="247"/>
        <v>5</v>
      </c>
      <c r="O113" s="748">
        <f t="shared" si="247"/>
        <v>5</v>
      </c>
      <c r="P113" s="748">
        <f t="shared" si="247"/>
        <v>5</v>
      </c>
      <c r="Q113" s="748">
        <f t="shared" si="247"/>
        <v>5</v>
      </c>
      <c r="R113" s="748">
        <f t="shared" si="247"/>
        <v>5</v>
      </c>
      <c r="T113" s="766">
        <f t="shared" ref="T113:T123" si="248">HLOOKUP($E$6,$F$9:$R$231,$A113,FALSE)</f>
        <v>5</v>
      </c>
      <c r="U113" s="182"/>
      <c r="V113" s="53"/>
      <c r="W113" s="53"/>
      <c r="X113" s="53">
        <f>'Manuell filtrering og justering'!E52</f>
        <v>0</v>
      </c>
      <c r="Y113" s="53"/>
      <c r="Z113" s="763">
        <f t="shared" ref="Z113" si="249">SUM(Z114)</f>
        <v>5</v>
      </c>
      <c r="AA113" s="768">
        <f t="shared" ref="AA113:AA122" si="250">IF(SUM(U113:Y113)&gt;T113,T113,SUM(U113:Y113))</f>
        <v>0</v>
      </c>
      <c r="AB113" s="735">
        <f>AB114</f>
        <v>5</v>
      </c>
      <c r="AD113" s="141">
        <f t="shared" ref="AD113:AD122" si="251">(Wat_Weight/Wat__Credits)*AB113</f>
        <v>2.2222222222222223E-2</v>
      </c>
      <c r="AE113" s="736">
        <f>SUM(AE114)</f>
        <v>0</v>
      </c>
      <c r="AF113" s="736">
        <f t="shared" ref="AF113:AG113" si="252">SUM(AF114)</f>
        <v>0</v>
      </c>
      <c r="AG113" s="736">
        <f t="shared" si="252"/>
        <v>0</v>
      </c>
      <c r="AI113" s="763">
        <f t="shared" ref="AI113" si="253">SUM(AI114)</f>
        <v>0</v>
      </c>
      <c r="AJ113" s="763">
        <f t="shared" ref="AJ113" si="254">SUM(AJ114)</f>
        <v>0</v>
      </c>
      <c r="AK113" s="763">
        <f t="shared" ref="AK113" si="255">SUM(AK114)</f>
        <v>0</v>
      </c>
      <c r="AM113" s="249"/>
      <c r="AN113" s="250"/>
      <c r="AO113" s="259"/>
      <c r="AP113" s="250"/>
      <c r="AQ113" s="251"/>
      <c r="AR113" s="114"/>
      <c r="AS113" s="249"/>
      <c r="AT113" s="250"/>
      <c r="AU113" s="250"/>
      <c r="AV113" s="250"/>
      <c r="AW113" s="251"/>
      <c r="AY113" s="180"/>
      <c r="AZ113" s="147"/>
      <c r="BA113" s="147"/>
      <c r="BB113" s="147"/>
      <c r="BC113" s="181"/>
      <c r="BD113" s="144">
        <f t="shared" si="60"/>
        <v>9</v>
      </c>
      <c r="BE113" s="37" t="str">
        <f t="shared" ref="BE113:BE122" si="256">VLOOKUP(BD113,$BO$284:$BT$290,6,FALSE)</f>
        <v>N/A</v>
      </c>
      <c r="BF113" s="148"/>
      <c r="BG113" s="144">
        <f>IF(BC113=0,9,IF(AJ113&gt;=BC113,5,IF(AJ113&gt;=BB113,4,IF(AJ113&gt;=BA113,3,IF(AJ113&gt;=AZ113,2,IF(AJ113&lt;AY113,0,1))))))</f>
        <v>9</v>
      </c>
      <c r="BH113" s="37" t="str">
        <f t="shared" ref="BH113:BH122" si="257">VLOOKUP(BG113,$BO$284:$BT$290,6,FALSE)</f>
        <v>N/A</v>
      </c>
      <c r="BI113" s="148"/>
      <c r="BJ113" s="144">
        <f t="shared" si="28"/>
        <v>9</v>
      </c>
      <c r="BK113" s="37" t="str">
        <f t="shared" ref="BK113:BK122" si="258">VLOOKUP(BJ113,$BO$284:$BT$290,6,FALSE)</f>
        <v>N/A</v>
      </c>
      <c r="BL113" s="148"/>
      <c r="BO113" s="35"/>
      <c r="BP113" s="35"/>
      <c r="BQ113" s="35" t="str">
        <f t="shared" si="157"/>
        <v/>
      </c>
      <c r="BR113" s="35">
        <f t="shared" si="198"/>
        <v>9</v>
      </c>
      <c r="BS113" s="35">
        <f t="shared" si="199"/>
        <v>9</v>
      </c>
      <c r="BT113" s="35">
        <f t="shared" si="200"/>
        <v>9</v>
      </c>
      <c r="BW113" s="37" t="str">
        <f>D113</f>
        <v>Wat 01</v>
      </c>
      <c r="BX113" s="37" t="str">
        <f>IFERROR(VLOOKUP($E113,'Pre-Assessment Estimator'!$E$11:$AB$227,'Pre-Assessment Estimator'!AB$2,FALSE),"")</f>
        <v>No</v>
      </c>
      <c r="BY113" s="37">
        <f>IFERROR(VLOOKUP($E113,'Pre-Assessment Estimator'!$E$11:$AI$227,'Pre-Assessment Estimator'!AI$2,FALSE),"")</f>
        <v>0</v>
      </c>
      <c r="BZ113" s="37">
        <f t="shared" si="240"/>
        <v>1</v>
      </c>
      <c r="CA113" s="37">
        <f t="shared" si="240"/>
        <v>0</v>
      </c>
      <c r="CB113" s="37"/>
      <c r="CC113" t="s">
        <v>895</v>
      </c>
    </row>
    <row r="114" spans="1:85">
      <c r="A114">
        <v>106</v>
      </c>
      <c r="B114" t="str">
        <f t="shared" ref="B114" si="259">$D$113&amp;D114</f>
        <v>Wat 01a</v>
      </c>
      <c r="C114" t="str">
        <f t="shared" si="159"/>
        <v>Wat 01</v>
      </c>
      <c r="D114" s="135" t="s">
        <v>729</v>
      </c>
      <c r="E114" s="871" t="s">
        <v>773</v>
      </c>
      <c r="F114" s="753">
        <v>5</v>
      </c>
      <c r="G114" s="753">
        <v>5</v>
      </c>
      <c r="H114" s="753">
        <v>5</v>
      </c>
      <c r="I114" s="753">
        <v>5</v>
      </c>
      <c r="J114" s="753">
        <v>5</v>
      </c>
      <c r="K114" s="753">
        <v>5</v>
      </c>
      <c r="L114" s="753">
        <v>5</v>
      </c>
      <c r="M114" s="753">
        <v>5</v>
      </c>
      <c r="N114" s="753">
        <v>5</v>
      </c>
      <c r="O114" s="753">
        <v>5</v>
      </c>
      <c r="P114" s="753">
        <v>5</v>
      </c>
      <c r="Q114" s="753">
        <v>5</v>
      </c>
      <c r="R114" s="753">
        <v>5</v>
      </c>
      <c r="T114" s="139">
        <f t="shared" si="248"/>
        <v>5</v>
      </c>
      <c r="U114" s="137"/>
      <c r="V114" s="35"/>
      <c r="W114" s="35"/>
      <c r="X114" s="35"/>
      <c r="Y114" s="139">
        <f>IF($Y$4=$Y$6,T114,0)</f>
        <v>0</v>
      </c>
      <c r="Z114" s="138">
        <f>VLOOKUP(B114,'Manuell filtrering og justering'!$A$7:$H$253,'Manuell filtrering og justering'!$H$1,FALSE)</f>
        <v>5</v>
      </c>
      <c r="AA114" s="139">
        <f t="shared" si="250"/>
        <v>0</v>
      </c>
      <c r="AB114" s="140">
        <f>IF($AC$5='Manuell filtrering og justering'!$J$2,Z114,(T114-AA114))</f>
        <v>5</v>
      </c>
      <c r="AD114" s="141">
        <f t="shared" si="251"/>
        <v>2.2222222222222223E-2</v>
      </c>
      <c r="AE114" s="141">
        <f t="shared" ref="AE114:AE122" si="260">IF(AB114=0,0,(AD114/AB114)*AI114)</f>
        <v>0</v>
      </c>
      <c r="AF114" s="141">
        <f t="shared" ref="AF114:AF122" si="261">IF(AB114=0,0,(AD114/AB114)*AJ114)</f>
        <v>0</v>
      </c>
      <c r="AG114" s="141">
        <f t="shared" ref="AG114:AG122" si="262">IF(AB114=0,0,(AD114/AB114)*AK114)</f>
        <v>0</v>
      </c>
      <c r="AI114" s="142">
        <f>IF(VLOOKUP(E114,'Pre-Assessment Estimator'!$E$11:$Z$227,'Pre-Assessment Estimator'!$G$2,FALSE)&gt;AB114,AB114,VLOOKUP(E114,'Pre-Assessment Estimator'!$E$11:$Z$227,'Pre-Assessment Estimator'!$G$2,FALSE))</f>
        <v>0</v>
      </c>
      <c r="AJ114" s="142">
        <f>IF(VLOOKUP(E114,'Pre-Assessment Estimator'!$E$11:$Z$227,'Pre-Assessment Estimator'!$N$2,FALSE)&gt;AB114,AB114,VLOOKUP(E114,'Pre-Assessment Estimator'!$E$11:$Z$227,'Pre-Assessment Estimator'!$N$2,FALSE))</f>
        <v>0</v>
      </c>
      <c r="AK114" s="142">
        <f>IF(VLOOKUP(E114,'Pre-Assessment Estimator'!$E$11:$Z$227,'Pre-Assessment Estimator'!$U$2,FALSE)&gt;AB114,AB114,VLOOKUP(E114,'Pre-Assessment Estimator'!$E$11:$Z$227,'Pre-Assessment Estimator'!$U$2,FALSE))</f>
        <v>0</v>
      </c>
      <c r="AM114" s="664"/>
      <c r="AN114" s="665"/>
      <c r="AO114" s="677"/>
      <c r="AP114" s="921">
        <f>IF(AND($Y$4&lt;&gt;$Y$3,Y114&gt;0),0,2)</f>
        <v>2</v>
      </c>
      <c r="AQ114" s="923">
        <f>IF(AND($Y$4&lt;&gt;$Y$3,Y114&gt;0),0,2)</f>
        <v>2</v>
      </c>
      <c r="AR114" s="114"/>
      <c r="AS114" s="664"/>
      <c r="AT114" s="665"/>
      <c r="AU114" s="665"/>
      <c r="AV114" s="665">
        <v>2</v>
      </c>
      <c r="AW114" s="666">
        <v>2</v>
      </c>
      <c r="AY114" s="135"/>
      <c r="AZ114" s="37"/>
      <c r="BA114" s="37"/>
      <c r="BB114" s="152">
        <f>IF($AB114=0,0,IF($E$6=$H$9,AV114,AP114))</f>
        <v>2</v>
      </c>
      <c r="BC114" s="152">
        <f>IF($AB114=0,0,IF($E$6=$H$9,AW114,AQ114))</f>
        <v>2</v>
      </c>
      <c r="BD114" s="151">
        <f t="shared" ref="BD114" si="263">IF(BC114=0,9,IF(AI114&gt;=BC114,5,IF(AI114&gt;=BB114,4,IF(AI114&gt;=BA114,3,IF(AI114&gt;=AZ114,2,IF(AI114&lt;AY114,0,1))))))</f>
        <v>3</v>
      </c>
      <c r="BE114" s="37" t="str">
        <f t="shared" si="256"/>
        <v>Very Good</v>
      </c>
      <c r="BF114" s="154"/>
      <c r="BG114" s="151">
        <f>IF(BC114=0,9,IF(AJ114&gt;=BC114,5,IF(AJ114&gt;=BB114,4,IF(AJ114&gt;=BA114,3,IF(AJ114&gt;=AZ114,2,IF(AJ114&lt;AY114,0,1))))))</f>
        <v>3</v>
      </c>
      <c r="BH114" s="37" t="str">
        <f t="shared" si="257"/>
        <v>Very Good</v>
      </c>
      <c r="BI114" s="154"/>
      <c r="BJ114" s="151">
        <f t="shared" ref="BJ114" si="264">IF(BC114=0,9,IF(AK114&gt;=BC114,5,IF(AK114&gt;=BB114,4,IF(AK114&gt;=BA114,3,IF(AK114&gt;=AZ114,2,IF(AK114&lt;AY114,0,1))))))</f>
        <v>3</v>
      </c>
      <c r="BK114" s="37" t="str">
        <f t="shared" si="258"/>
        <v>Very Good</v>
      </c>
      <c r="BL114" s="659"/>
      <c r="BO114" s="35"/>
      <c r="BP114" s="915">
        <f>2*0</f>
        <v>0</v>
      </c>
      <c r="BQ114" s="35">
        <f t="shared" si="157"/>
        <v>0</v>
      </c>
      <c r="BR114" s="35">
        <f t="shared" si="198"/>
        <v>5</v>
      </c>
      <c r="BS114" s="35">
        <f t="shared" si="199"/>
        <v>5</v>
      </c>
      <c r="BT114" s="35">
        <f t="shared" si="200"/>
        <v>5</v>
      </c>
      <c r="BW114" s="37"/>
      <c r="BX114" s="37"/>
      <c r="BY114" s="37"/>
      <c r="BZ114" s="37"/>
      <c r="CB114" s="37"/>
    </row>
    <row r="115" spans="1:85">
      <c r="A115">
        <v>107</v>
      </c>
      <c r="B115" s="112" t="str">
        <f>D115</f>
        <v>Wat 02</v>
      </c>
      <c r="C115" s="112" t="str">
        <f>B115</f>
        <v>Wat 02</v>
      </c>
      <c r="D115" s="663" t="s">
        <v>391</v>
      </c>
      <c r="E115" s="661" t="s">
        <v>392</v>
      </c>
      <c r="F115" s="748">
        <f>SUM(F116)</f>
        <v>1</v>
      </c>
      <c r="G115" s="748">
        <f t="shared" ref="G115:R115" si="265">SUM(G116)</f>
        <v>1</v>
      </c>
      <c r="H115" s="748">
        <f t="shared" si="265"/>
        <v>1</v>
      </c>
      <c r="I115" s="748">
        <f t="shared" si="265"/>
        <v>1</v>
      </c>
      <c r="J115" s="748">
        <f t="shared" si="265"/>
        <v>1</v>
      </c>
      <c r="K115" s="748">
        <f t="shared" si="265"/>
        <v>1</v>
      </c>
      <c r="L115" s="748">
        <f t="shared" si="265"/>
        <v>1</v>
      </c>
      <c r="M115" s="748">
        <f t="shared" si="265"/>
        <v>1</v>
      </c>
      <c r="N115" s="748">
        <f t="shared" si="265"/>
        <v>1</v>
      </c>
      <c r="O115" s="748">
        <f t="shared" si="265"/>
        <v>1</v>
      </c>
      <c r="P115" s="748">
        <f t="shared" si="265"/>
        <v>1</v>
      </c>
      <c r="Q115" s="748">
        <f t="shared" si="265"/>
        <v>1</v>
      </c>
      <c r="R115" s="748">
        <f t="shared" si="265"/>
        <v>1</v>
      </c>
      <c r="T115" s="768">
        <f t="shared" si="248"/>
        <v>1</v>
      </c>
      <c r="U115" s="182"/>
      <c r="V115" s="53"/>
      <c r="W115" s="53"/>
      <c r="X115" s="53">
        <f>'Manuell filtrering og justering'!E53</f>
        <v>0</v>
      </c>
      <c r="Y115" s="53"/>
      <c r="Z115" s="763">
        <f t="shared" ref="Z115" si="266">SUM(Z116)</f>
        <v>1</v>
      </c>
      <c r="AA115" s="768">
        <f t="shared" si="250"/>
        <v>0</v>
      </c>
      <c r="AB115" s="735">
        <f>AB116</f>
        <v>1</v>
      </c>
      <c r="AD115" s="141">
        <f t="shared" si="251"/>
        <v>4.4444444444444444E-3</v>
      </c>
      <c r="AE115" s="736">
        <f>SUM(AE116)</f>
        <v>0</v>
      </c>
      <c r="AF115" s="736">
        <f t="shared" ref="AF115:AG115" si="267">SUM(AF116)</f>
        <v>0</v>
      </c>
      <c r="AG115" s="736">
        <f t="shared" si="267"/>
        <v>0</v>
      </c>
      <c r="AI115" s="763">
        <f t="shared" ref="AI115" si="268">SUM(AI116)</f>
        <v>0</v>
      </c>
      <c r="AJ115" s="763">
        <f t="shared" ref="AJ115" si="269">SUM(AJ116)</f>
        <v>0</v>
      </c>
      <c r="AK115" s="763">
        <f t="shared" ref="AK115" si="270">SUM(AK116)</f>
        <v>0</v>
      </c>
      <c r="AL115" t="s">
        <v>223</v>
      </c>
      <c r="AM115" s="243"/>
      <c r="AN115" s="244"/>
      <c r="AO115" s="244"/>
      <c r="AP115" s="244"/>
      <c r="AQ115" s="245"/>
      <c r="AR115" s="114"/>
      <c r="AS115" s="243"/>
      <c r="AT115" s="244"/>
      <c r="AU115" s="244"/>
      <c r="AV115" s="244"/>
      <c r="AW115" s="245"/>
      <c r="AY115" s="137"/>
      <c r="AZ115" s="35"/>
      <c r="BA115" s="35"/>
      <c r="BB115" s="35"/>
      <c r="BC115" s="138"/>
      <c r="BD115" s="151">
        <f t="shared" si="60"/>
        <v>9</v>
      </c>
      <c r="BE115" s="37" t="str">
        <f t="shared" si="256"/>
        <v>N/A</v>
      </c>
      <c r="BF115" s="154"/>
      <c r="BG115" s="151">
        <f>IF(BC115=0,9,IF(AJ115&gt;=BC115,5,IF(AJ115&gt;=BB115,4,IF(AJ115&gt;=BA115,3,IF(AJ115&gt;=AZ115,2,IF(AJ115&lt;AY115,0,1))))))</f>
        <v>9</v>
      </c>
      <c r="BH115" s="37" t="str">
        <f t="shared" si="257"/>
        <v>N/A</v>
      </c>
      <c r="BI115" s="154"/>
      <c r="BJ115" s="151">
        <f t="shared" si="28"/>
        <v>9</v>
      </c>
      <c r="BK115" s="37" t="str">
        <f t="shared" si="258"/>
        <v>N/A</v>
      </c>
      <c r="BL115" s="154"/>
      <c r="BO115" s="35"/>
      <c r="BP115" s="35"/>
      <c r="BQ115" s="35" t="str">
        <f t="shared" si="157"/>
        <v/>
      </c>
      <c r="BR115" s="35">
        <f t="shared" si="198"/>
        <v>9</v>
      </c>
      <c r="BS115" s="35">
        <f t="shared" si="199"/>
        <v>9</v>
      </c>
      <c r="BT115" s="35">
        <f t="shared" si="200"/>
        <v>9</v>
      </c>
      <c r="BW115" s="35" t="str">
        <f>D115</f>
        <v>Wat 02</v>
      </c>
      <c r="BX115" s="35" t="str">
        <f>IFERROR(VLOOKUP($E115,'Pre-Assessment Estimator'!$E$11:$AB$227,'Pre-Assessment Estimator'!AB$2,FALSE),"")</f>
        <v>No</v>
      </c>
      <c r="BY115" s="53" t="str">
        <f>IFERROR(VLOOKUP($E115,'Pre-Assessment Estimator'!$E$11:$AI$227,'Pre-Assessment Estimator'!AI$2,FALSE),"")</f>
        <v>Ja</v>
      </c>
      <c r="BZ115" s="35">
        <f>IFERROR(VLOOKUP($BX115,$E$293:$H$326,F$291,FALSE),"")</f>
        <v>1</v>
      </c>
      <c r="CA115" s="529" t="s">
        <v>851</v>
      </c>
      <c r="CB115" s="35"/>
      <c r="CC115" t="str">
        <f>IFERROR(VLOOKUP($BX115,$E$293:$H$326,I$291,FALSE),"")</f>
        <v/>
      </c>
      <c r="CD115" t="s">
        <v>898</v>
      </c>
      <c r="CE115" s="35">
        <f>VLOOKUP(CA115,$CA$4:$CB$5,2,FALSE)</f>
        <v>1</v>
      </c>
      <c r="CG115" s="54">
        <f>IF($BX$5=ais_nei,CE115,IF(AND(CA115=$CA$4,BX115=$CC$4),0,BZ115))</f>
        <v>1</v>
      </c>
    </row>
    <row r="116" spans="1:85">
      <c r="A116">
        <v>108</v>
      </c>
      <c r="B116" t="str">
        <f t="shared" ref="B116" si="271">$D$115&amp;D116</f>
        <v>Wat 02a</v>
      </c>
      <c r="C116" t="str">
        <f t="shared" si="159"/>
        <v>Wat 02</v>
      </c>
      <c r="D116" s="137" t="s">
        <v>729</v>
      </c>
      <c r="E116" s="871" t="s">
        <v>774</v>
      </c>
      <c r="F116" s="607">
        <v>1</v>
      </c>
      <c r="G116" s="607">
        <v>1</v>
      </c>
      <c r="H116" s="607">
        <v>1</v>
      </c>
      <c r="I116" s="607">
        <v>1</v>
      </c>
      <c r="J116" s="607">
        <v>1</v>
      </c>
      <c r="K116" s="607">
        <v>1</v>
      </c>
      <c r="L116" s="607">
        <v>1</v>
      </c>
      <c r="M116" s="607">
        <v>1</v>
      </c>
      <c r="N116" s="607">
        <v>1</v>
      </c>
      <c r="O116" s="607">
        <v>1</v>
      </c>
      <c r="P116" s="607">
        <v>1</v>
      </c>
      <c r="Q116" s="607">
        <v>1</v>
      </c>
      <c r="R116" s="607">
        <v>1</v>
      </c>
      <c r="T116" s="139">
        <f t="shared" si="248"/>
        <v>1</v>
      </c>
      <c r="U116" s="137"/>
      <c r="V116" s="35"/>
      <c r="W116" s="35"/>
      <c r="X116" s="35"/>
      <c r="Y116" s="138"/>
      <c r="Z116" s="138">
        <f>VLOOKUP(B116,'Manuell filtrering og justering'!$A$7:$H$253,'Manuell filtrering og justering'!$H$1,FALSE)</f>
        <v>1</v>
      </c>
      <c r="AA116" s="139">
        <f t="shared" si="250"/>
        <v>0</v>
      </c>
      <c r="AB116" s="140">
        <f>IF($AC$5='Manuell filtrering og justering'!$J$2,Z116,(T116-AA116))</f>
        <v>1</v>
      </c>
      <c r="AD116" s="141">
        <f t="shared" si="251"/>
        <v>4.4444444444444444E-3</v>
      </c>
      <c r="AE116" s="141">
        <f t="shared" si="260"/>
        <v>0</v>
      </c>
      <c r="AF116" s="141">
        <f t="shared" si="261"/>
        <v>0</v>
      </c>
      <c r="AG116" s="141">
        <f t="shared" si="262"/>
        <v>0</v>
      </c>
      <c r="AI116" s="142">
        <f>IF(VLOOKUP(E116,'Pre-Assessment Estimator'!$E$11:$Z$227,'Pre-Assessment Estimator'!$G$2,FALSE)&gt;AB116,AB116,VLOOKUP(E116,'Pre-Assessment Estimator'!$E$11:$Z$227,'Pre-Assessment Estimator'!$G$2,FALSE))</f>
        <v>0</v>
      </c>
      <c r="AJ116" s="142">
        <f>IF(VLOOKUP(E116,'Pre-Assessment Estimator'!$E$11:$Z$227,'Pre-Assessment Estimator'!$N$2,FALSE)&gt;AB116,AB116,VLOOKUP(E116,'Pre-Assessment Estimator'!$E$11:$Z$227,'Pre-Assessment Estimator'!$N$2,FALSE))</f>
        <v>0</v>
      </c>
      <c r="AK116" s="142">
        <f>IF(VLOOKUP(E116,'Pre-Assessment Estimator'!$E$11:$Z$227,'Pre-Assessment Estimator'!$U$2,FALSE)&gt;AB116,AB116,VLOOKUP(E116,'Pre-Assessment Estimator'!$E$11:$Z$227,'Pre-Assessment Estimator'!$U$2,FALSE))</f>
        <v>0</v>
      </c>
      <c r="AM116" s="243"/>
      <c r="AN116" s="244"/>
      <c r="AO116" s="244"/>
      <c r="AP116" s="244"/>
      <c r="AQ116" s="245"/>
      <c r="AR116" s="114"/>
      <c r="AS116" s="243"/>
      <c r="AT116" s="244"/>
      <c r="AU116" s="244"/>
      <c r="AV116" s="244"/>
      <c r="AW116" s="245"/>
      <c r="AY116" s="137"/>
      <c r="AZ116" s="35"/>
      <c r="BA116" s="35"/>
      <c r="BB116" s="35"/>
      <c r="BC116" s="138"/>
      <c r="BD116" s="151">
        <f t="shared" si="60"/>
        <v>9</v>
      </c>
      <c r="BE116" s="37" t="str">
        <f t="shared" si="256"/>
        <v>N/A</v>
      </c>
      <c r="BF116" s="154"/>
      <c r="BG116" s="151">
        <f t="shared" ref="BG116:BG120" si="272">IF(BC116=0,9,IF(AJ116&gt;=BC116,5,IF(AJ116&gt;=BB116,4,IF(AJ116&gt;=BA116,3,IF(AJ116&gt;=AZ116,2,IF(AJ116&lt;AY116,0,1))))))</f>
        <v>9</v>
      </c>
      <c r="BH116" s="37" t="str">
        <f t="shared" si="257"/>
        <v>N/A</v>
      </c>
      <c r="BI116" s="154"/>
      <c r="BJ116" s="151">
        <f t="shared" si="28"/>
        <v>9</v>
      </c>
      <c r="BK116" s="37" t="str">
        <f t="shared" si="258"/>
        <v>N/A</v>
      </c>
      <c r="BL116" s="154"/>
      <c r="BO116" s="35"/>
      <c r="BP116" s="35"/>
      <c r="BQ116" s="35" t="str">
        <f t="shared" si="157"/>
        <v/>
      </c>
      <c r="BR116" s="35">
        <f t="shared" si="198"/>
        <v>9</v>
      </c>
      <c r="BS116" s="35">
        <f t="shared" si="199"/>
        <v>9</v>
      </c>
      <c r="BT116" s="35">
        <f t="shared" si="200"/>
        <v>9</v>
      </c>
      <c r="BW116" s="35"/>
      <c r="BX116" s="35"/>
      <c r="BY116" s="53"/>
      <c r="BZ116" s="35"/>
      <c r="CA116" s="529"/>
      <c r="CB116" s="35"/>
      <c r="CE116" s="35"/>
      <c r="CG116" s="54"/>
    </row>
    <row r="117" spans="1:85">
      <c r="A117">
        <v>109</v>
      </c>
      <c r="B117" s="112" t="str">
        <f>D117</f>
        <v>Wat 03</v>
      </c>
      <c r="C117" s="112" t="str">
        <f>B117</f>
        <v>Wat 03</v>
      </c>
      <c r="D117" s="663" t="s">
        <v>394</v>
      </c>
      <c r="E117" s="661" t="s">
        <v>395</v>
      </c>
      <c r="F117" s="748">
        <f>SUM(F118:F120)</f>
        <v>2</v>
      </c>
      <c r="G117" s="748">
        <f t="shared" ref="G117:R117" si="273">SUM(G118:G120)</f>
        <v>2</v>
      </c>
      <c r="H117" s="748">
        <f t="shared" si="273"/>
        <v>2</v>
      </c>
      <c r="I117" s="748">
        <f t="shared" si="273"/>
        <v>2</v>
      </c>
      <c r="J117" s="748">
        <f t="shared" si="273"/>
        <v>2</v>
      </c>
      <c r="K117" s="748">
        <f t="shared" si="273"/>
        <v>2</v>
      </c>
      <c r="L117" s="748">
        <f t="shared" si="273"/>
        <v>2</v>
      </c>
      <c r="M117" s="748">
        <f t="shared" si="273"/>
        <v>2</v>
      </c>
      <c r="N117" s="748">
        <f t="shared" si="273"/>
        <v>2</v>
      </c>
      <c r="O117" s="748">
        <f t="shared" si="273"/>
        <v>2</v>
      </c>
      <c r="P117" s="748">
        <f t="shared" si="273"/>
        <v>2</v>
      </c>
      <c r="Q117" s="748">
        <f t="shared" ref="Q117" si="274">SUM(Q118:Q120)</f>
        <v>2</v>
      </c>
      <c r="R117" s="748">
        <f t="shared" si="273"/>
        <v>2</v>
      </c>
      <c r="T117" s="768">
        <f t="shared" si="248"/>
        <v>2</v>
      </c>
      <c r="U117" s="182"/>
      <c r="V117" s="53"/>
      <c r="W117" s="53"/>
      <c r="X117" s="53">
        <f>'Manuell filtrering og justering'!E54</f>
        <v>0</v>
      </c>
      <c r="Y117" s="53"/>
      <c r="Z117" s="763">
        <f t="shared" ref="Z117" si="275">SUM(Z118:Z120)</f>
        <v>0</v>
      </c>
      <c r="AA117" s="768">
        <f t="shared" si="250"/>
        <v>0</v>
      </c>
      <c r="AB117" s="820">
        <f>SUM(AB118:AB120)</f>
        <v>2</v>
      </c>
      <c r="AD117" s="141">
        <f t="shared" si="251"/>
        <v>8.8888888888888889E-3</v>
      </c>
      <c r="AE117" s="736">
        <f>SUM(AE118:AE120)</f>
        <v>0</v>
      </c>
      <c r="AF117" s="736">
        <f t="shared" ref="AF117:AG117" si="276">SUM(AF118:AF120)</f>
        <v>0</v>
      </c>
      <c r="AG117" s="736">
        <f t="shared" si="276"/>
        <v>0</v>
      </c>
      <c r="AI117" s="763">
        <f t="shared" ref="AI117" si="277">SUM(AI118:AI120)</f>
        <v>0</v>
      </c>
      <c r="AJ117" s="763">
        <f t="shared" ref="AJ117" si="278">SUM(AJ118:AJ120)</f>
        <v>0</v>
      </c>
      <c r="AK117" s="763">
        <f t="shared" ref="AK117" si="279">SUM(AK118:AK120)</f>
        <v>0</v>
      </c>
      <c r="AL117" t="s">
        <v>223</v>
      </c>
      <c r="AM117" s="243"/>
      <c r="AN117" s="244"/>
      <c r="AO117" s="244"/>
      <c r="AP117" s="244"/>
      <c r="AQ117" s="245"/>
      <c r="AR117" s="114"/>
      <c r="AS117" s="243"/>
      <c r="AT117" s="244"/>
      <c r="AU117" s="244"/>
      <c r="AV117" s="244"/>
      <c r="AW117" s="245"/>
      <c r="AY117" s="137"/>
      <c r="AZ117" s="35"/>
      <c r="BA117" s="35"/>
      <c r="BB117" s="35"/>
      <c r="BC117" s="138"/>
      <c r="BD117" s="151">
        <f t="shared" ref="BD117:BD120" si="280">IF(BC117=0,9,IF(AI117&gt;=BC117,5,IF(AI117&gt;=BB117,4,IF(AI117&gt;=BA117,3,IF(AI117&gt;=AZ117,2,IF(AI117&lt;AY117,0,1))))))</f>
        <v>9</v>
      </c>
      <c r="BE117" s="37" t="str">
        <f t="shared" si="256"/>
        <v>N/A</v>
      </c>
      <c r="BF117" s="154"/>
      <c r="BG117" s="151">
        <f t="shared" si="272"/>
        <v>9</v>
      </c>
      <c r="BH117" s="37" t="str">
        <f t="shared" si="257"/>
        <v>N/A</v>
      </c>
      <c r="BI117" s="154"/>
      <c r="BJ117" s="151">
        <f t="shared" ref="BJ117:BJ120" si="281">IF(BC117=0,9,IF(AK117&gt;=BC117,5,IF(AK117&gt;=BB117,4,IF(AK117&gt;=BA117,3,IF(AK117&gt;=AZ117,2,IF(AK117&lt;AY117,0,1))))))</f>
        <v>9</v>
      </c>
      <c r="BK117" s="37" t="str">
        <f t="shared" si="258"/>
        <v>N/A</v>
      </c>
      <c r="BL117" s="154"/>
      <c r="BO117" s="35"/>
      <c r="BP117" s="35"/>
      <c r="BQ117" s="35" t="str">
        <f t="shared" si="157"/>
        <v/>
      </c>
      <c r="BR117" s="35">
        <f t="shared" si="198"/>
        <v>9</v>
      </c>
      <c r="BS117" s="35">
        <f t="shared" si="199"/>
        <v>9</v>
      </c>
      <c r="BT117" s="35">
        <f t="shared" si="200"/>
        <v>9</v>
      </c>
      <c r="BW117" s="35" t="str">
        <f>D117</f>
        <v>Wat 03</v>
      </c>
      <c r="BX117" s="35" t="str">
        <f>IFERROR(VLOOKUP($E117,'Pre-Assessment Estimator'!$E$11:$AB$227,'Pre-Assessment Estimator'!AB$2,FALSE),"")</f>
        <v>No</v>
      </c>
      <c r="BY117" s="53" t="str">
        <f>IFERROR(VLOOKUP($E117,'Pre-Assessment Estimator'!$E$11:$AI$227,'Pre-Assessment Estimator'!AI$2,FALSE),"")</f>
        <v>Ja</v>
      </c>
      <c r="BZ117" s="35">
        <f>IFERROR(VLOOKUP($BX117,$E$293:$H$326,F$291,FALSE),"")</f>
        <v>1</v>
      </c>
      <c r="CA117" s="523" t="s">
        <v>847</v>
      </c>
      <c r="CB117" s="35">
        <f>H312</f>
        <v>1</v>
      </c>
      <c r="CC117" t="str">
        <f>IFERROR(VLOOKUP($BX117,$E$293:$H$326,I$291,FALSE),"")</f>
        <v/>
      </c>
      <c r="CD117" t="s">
        <v>844</v>
      </c>
      <c r="CE117" s="35">
        <f>VLOOKUP(CA117,$CA$4:$CB$5,2,FALSE)</f>
        <v>0</v>
      </c>
      <c r="CG117" s="54">
        <f>IF($BX$5=ais_nei,CE117,IF(AND(CA117=$CA$4,BX117=$CC$4),0,BZ117))</f>
        <v>0</v>
      </c>
    </row>
    <row r="118" spans="1:85">
      <c r="A118">
        <v>110</v>
      </c>
      <c r="B118" t="str">
        <f t="shared" ref="B118:B120" si="282">$D$117&amp;D118</f>
        <v>Wat 03a</v>
      </c>
      <c r="C118" t="str">
        <f t="shared" si="159"/>
        <v>Wat 03</v>
      </c>
      <c r="D118" s="135" t="s">
        <v>729</v>
      </c>
      <c r="E118" s="871" t="s">
        <v>633</v>
      </c>
      <c r="F118" s="607">
        <v>1</v>
      </c>
      <c r="G118" s="607">
        <v>1</v>
      </c>
      <c r="H118" s="607">
        <v>1</v>
      </c>
      <c r="I118" s="607">
        <v>1</v>
      </c>
      <c r="J118" s="607">
        <v>1</v>
      </c>
      <c r="K118" s="607">
        <v>1</v>
      </c>
      <c r="L118" s="607">
        <v>1</v>
      </c>
      <c r="M118" s="607">
        <v>1</v>
      </c>
      <c r="N118" s="607">
        <v>1</v>
      </c>
      <c r="O118" s="607">
        <v>1</v>
      </c>
      <c r="P118" s="607">
        <v>1</v>
      </c>
      <c r="Q118" s="607">
        <v>1</v>
      </c>
      <c r="R118" s="607">
        <v>1</v>
      </c>
      <c r="T118" s="139">
        <f t="shared" si="248"/>
        <v>1</v>
      </c>
      <c r="U118" s="182">
        <f>IF(AND(ADBT0=ADBT12,OR('Assessment Details'!F6='Assessment Details'!V6,'Assessment Details'!F6='Assessment Details'!V7)),Poeng!T118,0)</f>
        <v>0</v>
      </c>
      <c r="V118" s="35"/>
      <c r="W118" s="35"/>
      <c r="X118" s="35"/>
      <c r="Y118" s="138"/>
      <c r="Z118" s="138">
        <f>VLOOKUP(B118,'Manuell filtrering og justering'!$A$7:$H$253,'Manuell filtrering og justering'!$H$1,FALSE)</f>
        <v>0</v>
      </c>
      <c r="AA118" s="139">
        <f t="shared" si="250"/>
        <v>0</v>
      </c>
      <c r="AB118" s="140">
        <f>IF($AC$5='Manuell filtrering og justering'!$J$2,Z118,(T118-AA118))</f>
        <v>1</v>
      </c>
      <c r="AD118" s="141">
        <f t="shared" si="251"/>
        <v>4.4444444444444444E-3</v>
      </c>
      <c r="AE118" s="141">
        <f t="shared" si="260"/>
        <v>0</v>
      </c>
      <c r="AF118" s="141">
        <f t="shared" si="261"/>
        <v>0</v>
      </c>
      <c r="AG118" s="141">
        <f t="shared" si="262"/>
        <v>0</v>
      </c>
      <c r="AI118" s="142">
        <f>IF(VLOOKUP(E118,'Pre-Assessment Estimator'!$E$11:$Z$227,'Pre-Assessment Estimator'!$G$2,FALSE)&gt;AB118,AB118,VLOOKUP(E118,'Pre-Assessment Estimator'!$E$11:$Z$227,'Pre-Assessment Estimator'!$G$2,FALSE))</f>
        <v>0</v>
      </c>
      <c r="AJ118" s="142">
        <f>IF(VLOOKUP(E118,'Pre-Assessment Estimator'!$E$11:$Z$227,'Pre-Assessment Estimator'!$N$2,FALSE)&gt;AB118,AB118,VLOOKUP(E118,'Pre-Assessment Estimator'!$E$11:$Z$227,'Pre-Assessment Estimator'!$N$2,FALSE))</f>
        <v>0</v>
      </c>
      <c r="AK118" s="142">
        <f>IF(VLOOKUP(E118,'Pre-Assessment Estimator'!$E$11:$Z$227,'Pre-Assessment Estimator'!$U$2,FALSE)&gt;AB118,AB118,VLOOKUP(E118,'Pre-Assessment Estimator'!$E$11:$Z$227,'Pre-Assessment Estimator'!$U$2,FALSE))</f>
        <v>0</v>
      </c>
      <c r="AM118" s="678"/>
      <c r="AN118" s="679"/>
      <c r="AO118" s="679"/>
      <c r="AP118" s="679"/>
      <c r="AQ118" s="671"/>
      <c r="AR118" s="114"/>
      <c r="AS118" s="678"/>
      <c r="AT118" s="679"/>
      <c r="AU118" s="679"/>
      <c r="AV118" s="679"/>
      <c r="AW118" s="671"/>
      <c r="AY118" s="158"/>
      <c r="AZ118" s="40"/>
      <c r="BA118" s="40"/>
      <c r="BB118" s="40"/>
      <c r="BC118" s="680"/>
      <c r="BD118" s="151">
        <f t="shared" si="280"/>
        <v>9</v>
      </c>
      <c r="BE118" s="37" t="str">
        <f t="shared" si="256"/>
        <v>N/A</v>
      </c>
      <c r="BF118" s="154"/>
      <c r="BG118" s="151">
        <f t="shared" si="272"/>
        <v>9</v>
      </c>
      <c r="BH118" s="37" t="str">
        <f t="shared" si="257"/>
        <v>N/A</v>
      </c>
      <c r="BI118" s="154"/>
      <c r="BJ118" s="151">
        <f t="shared" si="281"/>
        <v>9</v>
      </c>
      <c r="BK118" s="37" t="str">
        <f t="shared" si="258"/>
        <v>N/A</v>
      </c>
      <c r="BL118" s="675"/>
      <c r="BO118" s="35"/>
      <c r="BP118" s="35"/>
      <c r="BQ118" s="35" t="str">
        <f t="shared" si="157"/>
        <v/>
      </c>
      <c r="BR118" s="35">
        <f t="shared" si="198"/>
        <v>9</v>
      </c>
      <c r="BS118" s="35">
        <f t="shared" si="199"/>
        <v>9</v>
      </c>
      <c r="BT118" s="35">
        <f t="shared" si="200"/>
        <v>9</v>
      </c>
      <c r="BW118" s="35"/>
      <c r="BX118" s="35"/>
      <c r="BY118" s="53"/>
      <c r="BZ118" s="35"/>
      <c r="CA118" s="523"/>
      <c r="CB118" s="35"/>
      <c r="CG118" s="54"/>
    </row>
    <row r="119" spans="1:85">
      <c r="A119">
        <v>111</v>
      </c>
      <c r="B119" t="str">
        <f t="shared" si="282"/>
        <v>Wat 03b</v>
      </c>
      <c r="C119" t="str">
        <f t="shared" si="159"/>
        <v>Wat 03</v>
      </c>
      <c r="D119" s="135" t="s">
        <v>730</v>
      </c>
      <c r="E119" s="871" t="s">
        <v>775</v>
      </c>
      <c r="F119" s="607">
        <v>1</v>
      </c>
      <c r="G119" s="607">
        <v>1</v>
      </c>
      <c r="H119" s="801">
        <v>0</v>
      </c>
      <c r="I119" s="607">
        <v>1</v>
      </c>
      <c r="J119" s="607">
        <v>1</v>
      </c>
      <c r="K119" s="607">
        <v>1</v>
      </c>
      <c r="L119" s="607">
        <v>1</v>
      </c>
      <c r="M119" s="607">
        <v>1</v>
      </c>
      <c r="N119" s="607">
        <v>1</v>
      </c>
      <c r="O119" s="607">
        <v>1</v>
      </c>
      <c r="P119" s="607">
        <v>1</v>
      </c>
      <c r="Q119" s="607">
        <v>1</v>
      </c>
      <c r="R119" s="607">
        <v>1</v>
      </c>
      <c r="T119" s="139">
        <f t="shared" si="248"/>
        <v>1</v>
      </c>
      <c r="U119" s="182">
        <f>IF(AND('Assessment Details'!I15=1,AD_heat='Assessment Details'!R22),Poeng!T119,0)</f>
        <v>0</v>
      </c>
      <c r="V119" s="35"/>
      <c r="W119" s="35"/>
      <c r="X119" s="35"/>
      <c r="Y119" s="139">
        <f>IF($Y$4=$Y$6,T119,0)</f>
        <v>0</v>
      </c>
      <c r="Z119" s="138">
        <f>VLOOKUP(B119,'Manuell filtrering og justering'!$A$7:$H$253,'Manuell filtrering og justering'!$H$1,FALSE)</f>
        <v>0</v>
      </c>
      <c r="AA119" s="139">
        <f t="shared" si="250"/>
        <v>0</v>
      </c>
      <c r="AB119" s="140">
        <f>IF($AC$5='Manuell filtrering og justering'!$J$2,Z119,(T119-AA119))</f>
        <v>1</v>
      </c>
      <c r="AD119" s="141">
        <f t="shared" si="251"/>
        <v>4.4444444444444444E-3</v>
      </c>
      <c r="AE119" s="141">
        <f t="shared" si="260"/>
        <v>0</v>
      </c>
      <c r="AF119" s="141">
        <f t="shared" si="261"/>
        <v>0</v>
      </c>
      <c r="AG119" s="141">
        <f t="shared" si="262"/>
        <v>0</v>
      </c>
      <c r="AI119" s="142">
        <f>IF(VLOOKUP(E119,'Pre-Assessment Estimator'!$E$11:$Z$227,'Pre-Assessment Estimator'!$G$2,FALSE)&gt;AB119,AB119,VLOOKUP(E119,'Pre-Assessment Estimator'!$E$11:$Z$227,'Pre-Assessment Estimator'!$G$2,FALSE))</f>
        <v>0</v>
      </c>
      <c r="AJ119" s="142">
        <f>IF(VLOOKUP(E119,'Pre-Assessment Estimator'!$E$11:$Z$227,'Pre-Assessment Estimator'!$N$2,FALSE)&gt;AB119,AB119,VLOOKUP(E119,'Pre-Assessment Estimator'!$E$11:$Z$227,'Pre-Assessment Estimator'!$N$2,FALSE))</f>
        <v>0</v>
      </c>
      <c r="AK119" s="142">
        <f>IF(VLOOKUP(E119,'Pre-Assessment Estimator'!$E$11:$Z$227,'Pre-Assessment Estimator'!$U$2,FALSE)&gt;AB119,AB119,VLOOKUP(E119,'Pre-Assessment Estimator'!$E$11:$Z$227,'Pre-Assessment Estimator'!$U$2,FALSE))</f>
        <v>0</v>
      </c>
      <c r="AM119" s="678"/>
      <c r="AN119" s="679"/>
      <c r="AO119" s="679"/>
      <c r="AP119" s="679"/>
      <c r="AQ119" s="671"/>
      <c r="AR119" s="114"/>
      <c r="AS119" s="678"/>
      <c r="AT119" s="679"/>
      <c r="AU119" s="679"/>
      <c r="AV119" s="679"/>
      <c r="AW119" s="671"/>
      <c r="AY119" s="158"/>
      <c r="AZ119" s="40"/>
      <c r="BA119" s="40"/>
      <c r="BB119" s="40"/>
      <c r="BC119" s="680"/>
      <c r="BD119" s="151">
        <f t="shared" si="280"/>
        <v>9</v>
      </c>
      <c r="BE119" s="37" t="str">
        <f t="shared" si="256"/>
        <v>N/A</v>
      </c>
      <c r="BF119" s="154"/>
      <c r="BG119" s="151">
        <f t="shared" si="272"/>
        <v>9</v>
      </c>
      <c r="BH119" s="37" t="str">
        <f t="shared" si="257"/>
        <v>N/A</v>
      </c>
      <c r="BI119" s="154"/>
      <c r="BJ119" s="151">
        <f t="shared" si="281"/>
        <v>9</v>
      </c>
      <c r="BK119" s="37" t="str">
        <f t="shared" si="258"/>
        <v>N/A</v>
      </c>
      <c r="BL119" s="675"/>
      <c r="BO119" s="35"/>
      <c r="BP119" s="35"/>
      <c r="BQ119" s="35" t="str">
        <f t="shared" si="157"/>
        <v/>
      </c>
      <c r="BR119" s="35">
        <f t="shared" si="198"/>
        <v>9</v>
      </c>
      <c r="BS119" s="35">
        <f t="shared" si="199"/>
        <v>9</v>
      </c>
      <c r="BT119" s="35">
        <f t="shared" si="200"/>
        <v>9</v>
      </c>
      <c r="BW119" s="35"/>
      <c r="BX119" s="35"/>
      <c r="BY119" s="53"/>
      <c r="BZ119" s="35"/>
      <c r="CA119" s="523"/>
      <c r="CB119" s="35"/>
      <c r="CG119" s="54"/>
    </row>
    <row r="120" spans="1:85">
      <c r="A120">
        <v>112</v>
      </c>
      <c r="B120" t="str">
        <f t="shared" si="282"/>
        <v>Wat 03c</v>
      </c>
      <c r="C120" t="str">
        <f t="shared" si="159"/>
        <v>Wat 03</v>
      </c>
      <c r="D120" s="137" t="s">
        <v>731</v>
      </c>
      <c r="E120" s="871" t="s">
        <v>635</v>
      </c>
      <c r="F120" s="607">
        <v>0</v>
      </c>
      <c r="G120" s="607">
        <v>0</v>
      </c>
      <c r="H120" s="801">
        <v>1</v>
      </c>
      <c r="I120" s="607">
        <v>0</v>
      </c>
      <c r="J120" s="607">
        <v>0</v>
      </c>
      <c r="K120" s="607">
        <v>0</v>
      </c>
      <c r="L120" s="607">
        <v>0</v>
      </c>
      <c r="M120" s="607">
        <v>0</v>
      </c>
      <c r="N120" s="607">
        <v>0</v>
      </c>
      <c r="O120" s="607">
        <v>0</v>
      </c>
      <c r="P120" s="607">
        <v>0</v>
      </c>
      <c r="Q120" s="607">
        <v>0</v>
      </c>
      <c r="R120" s="607">
        <v>0</v>
      </c>
      <c r="T120" s="139">
        <f t="shared" si="248"/>
        <v>0</v>
      </c>
      <c r="U120" s="137"/>
      <c r="V120" s="35"/>
      <c r="W120" s="35"/>
      <c r="X120" s="35"/>
      <c r="Y120" s="138"/>
      <c r="Z120" s="138">
        <f>VLOOKUP(B120,'Manuell filtrering og justering'!$A$7:$H$253,'Manuell filtrering og justering'!$H$1,FALSE)</f>
        <v>0</v>
      </c>
      <c r="AA120" s="139">
        <f t="shared" si="250"/>
        <v>0</v>
      </c>
      <c r="AB120" s="140">
        <f>IF($AC$5='Manuell filtrering og justering'!$J$2,Z120,(T120-AA120))</f>
        <v>0</v>
      </c>
      <c r="AD120" s="141">
        <f t="shared" si="251"/>
        <v>0</v>
      </c>
      <c r="AE120" s="141">
        <f t="shared" si="260"/>
        <v>0</v>
      </c>
      <c r="AF120" s="141">
        <f t="shared" si="261"/>
        <v>0</v>
      </c>
      <c r="AG120" s="141">
        <f t="shared" si="262"/>
        <v>0</v>
      </c>
      <c r="AI120" s="142">
        <f>IF(VLOOKUP(E120,'Pre-Assessment Estimator'!$E$11:$Z$227,'Pre-Assessment Estimator'!$G$2,FALSE)&gt;AB120,AB120,VLOOKUP(E120,'Pre-Assessment Estimator'!$E$11:$Z$227,'Pre-Assessment Estimator'!$G$2,FALSE))</f>
        <v>0</v>
      </c>
      <c r="AJ120" s="142">
        <f>IF(VLOOKUP(E120,'Pre-Assessment Estimator'!$E$11:$Z$227,'Pre-Assessment Estimator'!$N$2,FALSE)&gt;AB120,AB120,VLOOKUP(E120,'Pre-Assessment Estimator'!$E$11:$Z$227,'Pre-Assessment Estimator'!$N$2,FALSE))</f>
        <v>0</v>
      </c>
      <c r="AK120" s="142">
        <f>IF(VLOOKUP(E120,'Pre-Assessment Estimator'!$E$11:$Z$227,'Pre-Assessment Estimator'!$U$2,FALSE)&gt;AB120,AB120,VLOOKUP(E120,'Pre-Assessment Estimator'!$E$11:$Z$227,'Pre-Assessment Estimator'!$U$2,FALSE))</f>
        <v>0</v>
      </c>
      <c r="AM120" s="678"/>
      <c r="AN120" s="679"/>
      <c r="AO120" s="679"/>
      <c r="AP120" s="679"/>
      <c r="AQ120" s="671"/>
      <c r="AR120" s="114"/>
      <c r="AS120" s="678"/>
      <c r="AT120" s="679"/>
      <c r="AU120" s="679"/>
      <c r="AV120" s="679"/>
      <c r="AW120" s="671"/>
      <c r="AY120" s="158"/>
      <c r="AZ120" s="40"/>
      <c r="BA120" s="40"/>
      <c r="BB120" s="40"/>
      <c r="BC120" s="680"/>
      <c r="BD120" s="151">
        <f t="shared" si="280"/>
        <v>9</v>
      </c>
      <c r="BE120" s="37" t="str">
        <f t="shared" si="256"/>
        <v>N/A</v>
      </c>
      <c r="BF120" s="154"/>
      <c r="BG120" s="151">
        <f t="shared" si="272"/>
        <v>9</v>
      </c>
      <c r="BH120" s="37" t="str">
        <f t="shared" si="257"/>
        <v>N/A</v>
      </c>
      <c r="BI120" s="154"/>
      <c r="BJ120" s="151">
        <f t="shared" si="281"/>
        <v>9</v>
      </c>
      <c r="BK120" s="37" t="str">
        <f t="shared" si="258"/>
        <v>N/A</v>
      </c>
      <c r="BL120" s="675"/>
      <c r="BO120" s="35"/>
      <c r="BP120" s="35"/>
      <c r="BQ120" s="35" t="str">
        <f t="shared" si="157"/>
        <v/>
      </c>
      <c r="BR120" s="35">
        <f t="shared" si="198"/>
        <v>9</v>
      </c>
      <c r="BS120" s="35">
        <f t="shared" si="199"/>
        <v>9</v>
      </c>
      <c r="BT120" s="35">
        <f t="shared" si="200"/>
        <v>9</v>
      </c>
      <c r="BW120" s="35"/>
      <c r="BX120" s="35"/>
      <c r="BY120" s="53"/>
      <c r="BZ120" s="35"/>
      <c r="CA120" s="523"/>
      <c r="CB120" s="35"/>
      <c r="CG120" s="54"/>
    </row>
    <row r="121" spans="1:85" ht="15.75" thickBot="1">
      <c r="A121">
        <v>113</v>
      </c>
      <c r="B121" s="112" t="str">
        <f>D121</f>
        <v>Wat 04</v>
      </c>
      <c r="C121" s="112" t="str">
        <f>B121</f>
        <v>Wat 04</v>
      </c>
      <c r="D121" s="663" t="s">
        <v>403</v>
      </c>
      <c r="E121" s="661" t="s">
        <v>404</v>
      </c>
      <c r="F121" s="748">
        <f>SUM(F122)</f>
        <v>1</v>
      </c>
      <c r="G121" s="748">
        <f t="shared" ref="G121:R121" si="283">SUM(G122)</f>
        <v>1</v>
      </c>
      <c r="H121" s="748">
        <f t="shared" si="283"/>
        <v>1</v>
      </c>
      <c r="I121" s="748">
        <f t="shared" si="283"/>
        <v>1</v>
      </c>
      <c r="J121" s="748">
        <f t="shared" si="283"/>
        <v>1</v>
      </c>
      <c r="K121" s="748">
        <f t="shared" si="283"/>
        <v>1</v>
      </c>
      <c r="L121" s="748">
        <f t="shared" si="283"/>
        <v>1</v>
      </c>
      <c r="M121" s="748">
        <f t="shared" si="283"/>
        <v>1</v>
      </c>
      <c r="N121" s="748">
        <f t="shared" si="283"/>
        <v>1</v>
      </c>
      <c r="O121" s="748">
        <f t="shared" si="283"/>
        <v>1</v>
      </c>
      <c r="P121" s="748">
        <f t="shared" si="283"/>
        <v>1</v>
      </c>
      <c r="Q121" s="748">
        <f t="shared" si="283"/>
        <v>1</v>
      </c>
      <c r="R121" s="748">
        <f t="shared" si="283"/>
        <v>1</v>
      </c>
      <c r="T121" s="768">
        <f t="shared" si="248"/>
        <v>1</v>
      </c>
      <c r="U121" s="182">
        <f>U122</f>
        <v>0</v>
      </c>
      <c r="V121" s="53"/>
      <c r="W121" s="53"/>
      <c r="X121" s="53">
        <f>'Manuell filtrering og justering'!E55</f>
        <v>0</v>
      </c>
      <c r="Y121" s="53"/>
      <c r="Z121" s="763">
        <f t="shared" ref="Z121" si="284">SUM(Z122)</f>
        <v>1</v>
      </c>
      <c r="AA121" s="768">
        <f t="shared" si="250"/>
        <v>0</v>
      </c>
      <c r="AB121" s="735">
        <f>AB122</f>
        <v>1</v>
      </c>
      <c r="AD121" s="141">
        <f t="shared" si="251"/>
        <v>4.4444444444444444E-3</v>
      </c>
      <c r="AE121" s="736">
        <f>SUM(AE122)</f>
        <v>0</v>
      </c>
      <c r="AF121" s="736">
        <f t="shared" ref="AF121:AG121" si="285">SUM(AF122)</f>
        <v>0</v>
      </c>
      <c r="AG121" s="736">
        <f t="shared" si="285"/>
        <v>0</v>
      </c>
      <c r="AI121" s="763">
        <f t="shared" ref="AI121" si="286">SUM(AI122)</f>
        <v>0</v>
      </c>
      <c r="AJ121" s="763">
        <f t="shared" ref="AJ121" si="287">SUM(AJ122)</f>
        <v>0</v>
      </c>
      <c r="AK121" s="763">
        <f t="shared" ref="AK121" si="288">SUM(AK122)</f>
        <v>0</v>
      </c>
      <c r="AM121" s="246"/>
      <c r="AN121" s="247"/>
      <c r="AO121" s="247"/>
      <c r="AP121" s="247"/>
      <c r="AQ121" s="248"/>
      <c r="AR121" s="114"/>
      <c r="AS121" s="246"/>
      <c r="AT121" s="247"/>
      <c r="AU121" s="247"/>
      <c r="AV121" s="247"/>
      <c r="AW121" s="248"/>
      <c r="AY121" s="159"/>
      <c r="AZ121" s="161"/>
      <c r="BA121" s="161"/>
      <c r="BB121" s="161"/>
      <c r="BC121" s="162"/>
      <c r="BD121" s="163">
        <f t="shared" si="60"/>
        <v>9</v>
      </c>
      <c r="BE121" s="37" t="str">
        <f t="shared" si="256"/>
        <v>N/A</v>
      </c>
      <c r="BF121" s="164"/>
      <c r="BG121" s="163">
        <f>IF(BC121=0,9,IF(AJ121&gt;=BC121,5,IF(AJ121&gt;=BB121,4,IF(AJ121&gt;=BA121,3,IF(AJ121&gt;=AZ121,2,IF(AJ121&lt;AY121,0,1))))))</f>
        <v>9</v>
      </c>
      <c r="BH121" s="37" t="str">
        <f t="shared" si="257"/>
        <v>N/A</v>
      </c>
      <c r="BI121" s="164"/>
      <c r="BJ121" s="163">
        <f t="shared" si="28"/>
        <v>9</v>
      </c>
      <c r="BK121" s="37" t="str">
        <f t="shared" si="258"/>
        <v>N/A</v>
      </c>
      <c r="BL121" s="164"/>
      <c r="BO121" s="35"/>
      <c r="BP121" s="35"/>
      <c r="BQ121" s="35" t="str">
        <f t="shared" si="157"/>
        <v/>
      </c>
      <c r="BR121" s="35">
        <f t="shared" si="198"/>
        <v>9</v>
      </c>
      <c r="BS121" s="35">
        <f t="shared" si="199"/>
        <v>9</v>
      </c>
      <c r="BT121" s="35">
        <f t="shared" si="200"/>
        <v>9</v>
      </c>
      <c r="BW121" s="35" t="str">
        <f>D121</f>
        <v>Wat 04</v>
      </c>
      <c r="BX121" s="35" t="str">
        <f>IFERROR(VLOOKUP($E121,'Pre-Assessment Estimator'!$E$11:$AB$227,'Pre-Assessment Estimator'!AB$2,FALSE),"")</f>
        <v>N/A</v>
      </c>
      <c r="BY121" s="35">
        <f>IFERROR(VLOOKUP($E121,'Pre-Assessment Estimator'!$E$11:$AI$227,'Pre-Assessment Estimator'!AI$2,FALSE),"")</f>
        <v>0</v>
      </c>
      <c r="BZ121" s="35">
        <f>IFERROR(VLOOKUP($BX121,$E$293:$H$326,F$291,FALSE),"")</f>
        <v>1</v>
      </c>
      <c r="CA121" s="35">
        <f>IFERROR(VLOOKUP($BX121,$E$293:$H$326,G$291,FALSE),"")</f>
        <v>0</v>
      </c>
      <c r="CB121" s="35"/>
      <c r="CC121" t="str">
        <f>IFERROR(VLOOKUP($BX121,$E$293:$H$326,I$291,FALSE),"")</f>
        <v/>
      </c>
    </row>
    <row r="122" spans="1:85" ht="15.75" thickBot="1">
      <c r="A122">
        <v>114</v>
      </c>
      <c r="B122" t="str">
        <f>$D$121&amp;D122</f>
        <v>Wat 04a</v>
      </c>
      <c r="C122" t="str">
        <f t="shared" si="159"/>
        <v>Wat 04</v>
      </c>
      <c r="D122" s="189" t="s">
        <v>729</v>
      </c>
      <c r="E122" s="871" t="s">
        <v>636</v>
      </c>
      <c r="F122" s="756">
        <v>1</v>
      </c>
      <c r="G122" s="756">
        <v>1</v>
      </c>
      <c r="H122" s="756">
        <v>1</v>
      </c>
      <c r="I122" s="756">
        <v>1</v>
      </c>
      <c r="J122" s="756">
        <v>1</v>
      </c>
      <c r="K122" s="756">
        <v>1</v>
      </c>
      <c r="L122" s="756">
        <v>1</v>
      </c>
      <c r="M122" s="756">
        <v>1</v>
      </c>
      <c r="N122" s="756">
        <v>1</v>
      </c>
      <c r="O122" s="756">
        <v>1</v>
      </c>
      <c r="P122" s="756">
        <v>1</v>
      </c>
      <c r="Q122" s="756">
        <v>1</v>
      </c>
      <c r="R122" s="756">
        <v>1</v>
      </c>
      <c r="T122" s="139">
        <f t="shared" si="248"/>
        <v>1</v>
      </c>
      <c r="U122" s="158">
        <f>IF('Assessment Details'!F23=AD_no,Poeng!T122,0)</f>
        <v>0</v>
      </c>
      <c r="V122" s="40"/>
      <c r="W122" s="40"/>
      <c r="X122" s="40"/>
      <c r="Y122" s="680"/>
      <c r="Z122" s="138">
        <f>VLOOKUP(B122,'Manuell filtrering og justering'!$A$7:$H$253,'Manuell filtrering og justering'!$H$1,FALSE)</f>
        <v>1</v>
      </c>
      <c r="AA122" s="139">
        <f t="shared" si="250"/>
        <v>0</v>
      </c>
      <c r="AB122" s="140">
        <f>IF($AC$5='Manuell filtrering og justering'!$J$2,Z122,(T122-AA122))</f>
        <v>1</v>
      </c>
      <c r="AD122" s="141">
        <f t="shared" si="251"/>
        <v>4.4444444444444444E-3</v>
      </c>
      <c r="AE122" s="141">
        <f t="shared" si="260"/>
        <v>0</v>
      </c>
      <c r="AF122" s="141">
        <f t="shared" si="261"/>
        <v>0</v>
      </c>
      <c r="AG122" s="141">
        <f t="shared" si="262"/>
        <v>0</v>
      </c>
      <c r="AI122" s="142">
        <f>IF(VLOOKUP(E122,'Pre-Assessment Estimator'!$E$11:$Z$227,'Pre-Assessment Estimator'!$G$2,FALSE)&gt;AB122,AB122,VLOOKUP(E122,'Pre-Assessment Estimator'!$E$11:$Z$227,'Pre-Assessment Estimator'!$G$2,FALSE))</f>
        <v>0</v>
      </c>
      <c r="AJ122" s="142">
        <f>IF(VLOOKUP(E122,'Pre-Assessment Estimator'!$E$11:$Z$227,'Pre-Assessment Estimator'!$N$2,FALSE)&gt;AB122,AB122,VLOOKUP(E122,'Pre-Assessment Estimator'!$E$11:$Z$227,'Pre-Assessment Estimator'!$N$2,FALSE))</f>
        <v>0</v>
      </c>
      <c r="AK122" s="142">
        <f>IF(VLOOKUP(E122,'Pre-Assessment Estimator'!$E$11:$Z$227,'Pre-Assessment Estimator'!$U$2,FALSE)&gt;AB122,AB122,VLOOKUP(E122,'Pre-Assessment Estimator'!$E$11:$Z$227,'Pre-Assessment Estimator'!$U$2,FALSE))</f>
        <v>0</v>
      </c>
      <c r="AM122" s="246"/>
      <c r="AN122" s="247"/>
      <c r="AO122" s="247"/>
      <c r="AP122" s="247"/>
      <c r="AQ122" s="248"/>
      <c r="AR122" s="114"/>
      <c r="AS122" s="246"/>
      <c r="AT122" s="247"/>
      <c r="AU122" s="247"/>
      <c r="AV122" s="247"/>
      <c r="AW122" s="248"/>
      <c r="AY122" s="159"/>
      <c r="AZ122" s="161"/>
      <c r="BA122" s="161"/>
      <c r="BB122" s="161"/>
      <c r="BC122" s="162"/>
      <c r="BD122" s="163">
        <f t="shared" ref="BD122" si="289">IF(BC122=0,9,IF(AI122&gt;=BC122,5,IF(AI122&gt;=BB122,4,IF(AI122&gt;=BA122,3,IF(AI122&gt;=AZ122,2,IF(AI122&lt;AY122,0,1))))))</f>
        <v>9</v>
      </c>
      <c r="BE122" s="37" t="str">
        <f t="shared" si="256"/>
        <v>N/A</v>
      </c>
      <c r="BF122" s="164"/>
      <c r="BG122" s="163">
        <f>IF(BC122=0,9,IF(AJ122&gt;=BC122,5,IF(AJ122&gt;=BB122,4,IF(AJ122&gt;=BA122,3,IF(AJ122&gt;=AZ122,2,IF(AJ122&lt;AY122,0,1))))))</f>
        <v>9</v>
      </c>
      <c r="BH122" s="37" t="str">
        <f t="shared" si="257"/>
        <v>N/A</v>
      </c>
      <c r="BI122" s="164"/>
      <c r="BJ122" s="163">
        <f t="shared" ref="BJ122" si="290">IF(BC122=0,9,IF(AK122&gt;=BC122,5,IF(AK122&gt;=BB122,4,IF(AK122&gt;=BA122,3,IF(AK122&gt;=AZ122,2,IF(AK122&lt;AY122,0,1))))))</f>
        <v>9</v>
      </c>
      <c r="BK122" s="37" t="str">
        <f t="shared" si="258"/>
        <v>N/A</v>
      </c>
      <c r="BL122" s="164"/>
      <c r="BO122" s="35"/>
      <c r="BP122" s="35"/>
      <c r="BQ122" s="35" t="str">
        <f t="shared" si="157"/>
        <v/>
      </c>
      <c r="BR122" s="35">
        <f t="shared" si="198"/>
        <v>9</v>
      </c>
      <c r="BS122" s="35">
        <f t="shared" si="199"/>
        <v>9</v>
      </c>
      <c r="BT122" s="35">
        <f t="shared" si="200"/>
        <v>9</v>
      </c>
      <c r="BW122" s="55"/>
      <c r="BX122" s="55"/>
      <c r="BY122" s="55"/>
      <c r="BZ122" s="55"/>
      <c r="CA122" s="55"/>
      <c r="CB122" s="55"/>
    </row>
    <row r="123" spans="1:85" ht="15.75" thickBot="1">
      <c r="A123">
        <v>115</v>
      </c>
      <c r="B123" t="s">
        <v>406</v>
      </c>
      <c r="D123" s="165"/>
      <c r="E123" s="42" t="s">
        <v>725</v>
      </c>
      <c r="F123" s="611">
        <f>F113+F115+F117+F121</f>
        <v>9</v>
      </c>
      <c r="G123" s="611">
        <f t="shared" ref="G123:R123" si="291">G113+G115+G117+G121</f>
        <v>9</v>
      </c>
      <c r="H123" s="611">
        <f t="shared" si="291"/>
        <v>9</v>
      </c>
      <c r="I123" s="611">
        <f t="shared" si="291"/>
        <v>9</v>
      </c>
      <c r="J123" s="611">
        <f t="shared" si="291"/>
        <v>9</v>
      </c>
      <c r="K123" s="611">
        <f t="shared" si="291"/>
        <v>9</v>
      </c>
      <c r="L123" s="611">
        <f t="shared" si="291"/>
        <v>9</v>
      </c>
      <c r="M123" s="611">
        <f t="shared" si="291"/>
        <v>9</v>
      </c>
      <c r="N123" s="611">
        <f t="shared" si="291"/>
        <v>9</v>
      </c>
      <c r="O123" s="611">
        <f t="shared" si="291"/>
        <v>9</v>
      </c>
      <c r="P123" s="611">
        <f t="shared" si="291"/>
        <v>9</v>
      </c>
      <c r="Q123" s="611">
        <f t="shared" ref="Q123" si="292">Q113+Q115+Q117+Q121</f>
        <v>9</v>
      </c>
      <c r="R123" s="611">
        <f t="shared" si="291"/>
        <v>9</v>
      </c>
      <c r="T123" s="186">
        <f t="shared" si="248"/>
        <v>9</v>
      </c>
      <c r="U123" s="167"/>
      <c r="V123" s="168"/>
      <c r="W123" s="168"/>
      <c r="X123" s="168"/>
      <c r="Y123" s="169"/>
      <c r="Z123" s="169"/>
      <c r="AA123" s="611">
        <f t="shared" ref="AA123:AG123" si="293">AA113+AA115+AA117+AA121</f>
        <v>0</v>
      </c>
      <c r="AB123" s="611">
        <f t="shared" si="293"/>
        <v>9</v>
      </c>
      <c r="AD123" s="171">
        <f t="shared" si="293"/>
        <v>0.04</v>
      </c>
      <c r="AE123" s="171">
        <f t="shared" si="293"/>
        <v>0</v>
      </c>
      <c r="AF123" s="171">
        <f t="shared" si="293"/>
        <v>0</v>
      </c>
      <c r="AG123" s="171">
        <f t="shared" si="293"/>
        <v>0</v>
      </c>
      <c r="AI123" s="64">
        <f t="shared" ref="AI123:AK123" si="294">AI113+AI115+AI117+AI121</f>
        <v>0</v>
      </c>
      <c r="AJ123" s="64">
        <f t="shared" si="294"/>
        <v>0</v>
      </c>
      <c r="AK123" s="64">
        <f t="shared" si="294"/>
        <v>0</v>
      </c>
      <c r="AM123" s="114"/>
      <c r="AN123" s="114"/>
      <c r="AO123" s="114"/>
      <c r="AP123" s="114"/>
      <c r="AQ123" s="114"/>
      <c r="AR123" s="114"/>
      <c r="AS123" s="114"/>
      <c r="AT123" s="114"/>
      <c r="AU123" s="114"/>
      <c r="AV123" s="114"/>
      <c r="AW123" s="114"/>
      <c r="AZ123" s="172"/>
      <c r="BW123" s="42"/>
      <c r="BX123" s="42" t="str">
        <f>IFERROR(VLOOKUP($E123,'Pre-Assessment Estimator'!$E$11:$AB$227,'Pre-Assessment Estimator'!AB$2,FALSE),"")</f>
        <v/>
      </c>
      <c r="BY123" s="42" t="str">
        <f>IFERROR(VLOOKUP($E123,'Pre-Assessment Estimator'!$E$11:$AI$227,'Pre-Assessment Estimator'!AI$2,FALSE),"")</f>
        <v/>
      </c>
      <c r="BZ123" s="42" t="str">
        <f t="shared" ref="BZ123:CA126" si="295">IFERROR(VLOOKUP($BX123,$E$293:$H$326,F$291,FALSE),"")</f>
        <v/>
      </c>
      <c r="CA123" s="42" t="str">
        <f t="shared" si="295"/>
        <v/>
      </c>
      <c r="CB123" s="42"/>
      <c r="CC123" t="str">
        <f>IFERROR(VLOOKUP($BX123,$E$293:$H$326,I$291,FALSE),"")</f>
        <v/>
      </c>
    </row>
    <row r="124" spans="1:85" ht="15.75" thickBot="1">
      <c r="A124">
        <v>116</v>
      </c>
      <c r="AI124" s="1"/>
      <c r="AJ124" s="1"/>
      <c r="AK124" s="1"/>
      <c r="AM124" s="114"/>
      <c r="AN124" s="114"/>
      <c r="AO124" s="114"/>
      <c r="AP124" s="114"/>
      <c r="AQ124" s="114"/>
      <c r="AR124" s="114"/>
      <c r="AS124" s="114"/>
      <c r="AT124" s="114"/>
      <c r="AU124" s="114"/>
      <c r="AV124" s="114"/>
      <c r="AW124" s="114"/>
      <c r="BX124" t="str">
        <f>IFERROR(VLOOKUP($E124,'Pre-Assessment Estimator'!$E$11:$AB$227,'Pre-Assessment Estimator'!AB$2,FALSE),"")</f>
        <v/>
      </c>
      <c r="BY124" t="str">
        <f>IFERROR(VLOOKUP($E124,'Pre-Assessment Estimator'!$E$11:$AI$227,'Pre-Assessment Estimator'!AI$2,FALSE),"")</f>
        <v/>
      </c>
      <c r="BZ124" t="str">
        <f t="shared" si="295"/>
        <v/>
      </c>
      <c r="CA124" t="str">
        <f t="shared" si="295"/>
        <v/>
      </c>
      <c r="CC124" t="str">
        <f>IFERROR(VLOOKUP($BX124,$E$293:$H$326,I$291,FALSE),"")</f>
        <v/>
      </c>
    </row>
    <row r="125" spans="1:85" ht="60.75" thickBot="1">
      <c r="A125">
        <v>117</v>
      </c>
      <c r="D125" s="123"/>
      <c r="E125" s="124" t="s">
        <v>408</v>
      </c>
      <c r="F125" s="964" t="str">
        <f>$F$9</f>
        <v>Office</v>
      </c>
      <c r="G125" s="964" t="str">
        <f>$G$9</f>
        <v>Retail</v>
      </c>
      <c r="H125" s="968" t="str">
        <f>$H$9</f>
        <v>Residential</v>
      </c>
      <c r="I125" s="964" t="str">
        <f>$I$9</f>
        <v>Industrial</v>
      </c>
      <c r="J125" s="966" t="str">
        <f>$J$9</f>
        <v>Healthcare</v>
      </c>
      <c r="K125" s="966" t="str">
        <f>$K$9</f>
        <v>Prison</v>
      </c>
      <c r="L125" s="966" t="str">
        <f>$L$9</f>
        <v>Law Court</v>
      </c>
      <c r="M125" s="970" t="str">
        <f>$M$9</f>
        <v>Residential institution (long term stay)</v>
      </c>
      <c r="N125" s="733" t="str">
        <f>$N$9</f>
        <v>Residential institution (short term stay)</v>
      </c>
      <c r="O125" s="733" t="str">
        <f>$O$9</f>
        <v>Non-residential institution</v>
      </c>
      <c r="P125" s="733" t="str">
        <f>$P$9</f>
        <v>Assembly and leisure</v>
      </c>
      <c r="Q125" s="966" t="str">
        <f>$Q$9</f>
        <v>Education</v>
      </c>
      <c r="R125" s="683" t="str">
        <f>$R$9</f>
        <v>Other</v>
      </c>
      <c r="T125" s="113" t="str">
        <f>$E$6</f>
        <v>Office</v>
      </c>
      <c r="U125" s="173"/>
      <c r="V125" s="174"/>
      <c r="W125" s="174"/>
      <c r="X125" s="174"/>
      <c r="Y125" s="900" t="s">
        <v>871</v>
      </c>
      <c r="Z125" s="295" t="s">
        <v>25</v>
      </c>
      <c r="AA125" s="122" t="s">
        <v>725</v>
      </c>
      <c r="AB125" s="45" t="s">
        <v>860</v>
      </c>
      <c r="AI125" s="28"/>
      <c r="AJ125" s="46"/>
      <c r="AK125" s="46"/>
      <c r="AM125" s="114"/>
      <c r="AN125" s="114"/>
      <c r="AO125" s="114"/>
      <c r="AP125" s="114"/>
      <c r="AQ125" s="114"/>
      <c r="AR125" s="114"/>
      <c r="AS125" s="114"/>
      <c r="AT125" s="114"/>
      <c r="AU125" s="114"/>
      <c r="AV125" s="114"/>
      <c r="AW125" s="114"/>
      <c r="BO125" s="46"/>
      <c r="BP125" s="46"/>
      <c r="BQ125" s="46"/>
      <c r="BR125" s="46"/>
      <c r="BS125" s="46"/>
      <c r="BT125" s="46"/>
      <c r="BW125" s="39"/>
      <c r="BX125" s="39" t="str">
        <f>E125</f>
        <v>Materials</v>
      </c>
      <c r="BY125" s="39">
        <f>IFERROR(VLOOKUP($E125,'Pre-Assessment Estimator'!$E$11:$AI$227,'Pre-Assessment Estimator'!AI$2,FALSE),"")</f>
        <v>0</v>
      </c>
      <c r="BZ125" s="39" t="str">
        <f t="shared" si="295"/>
        <v/>
      </c>
      <c r="CA125" s="39" t="str">
        <f t="shared" si="295"/>
        <v/>
      </c>
      <c r="CB125" s="39"/>
      <c r="CC125" t="str">
        <f>IFERROR(VLOOKUP($BX125,$E$293:$H$326,I$291,FALSE),"")</f>
        <v/>
      </c>
    </row>
    <row r="126" spans="1:85">
      <c r="A126">
        <v>118</v>
      </c>
      <c r="B126" s="112" t="str">
        <f>D126</f>
        <v>Mat 01</v>
      </c>
      <c r="C126" s="112" t="str">
        <f>B126</f>
        <v>Mat 01</v>
      </c>
      <c r="D126" s="684" t="s">
        <v>410</v>
      </c>
      <c r="E126" s="685" t="s">
        <v>776</v>
      </c>
      <c r="F126" s="748">
        <f>SUM(F127:F129)</f>
        <v>5</v>
      </c>
      <c r="G126" s="748">
        <f t="shared" ref="G126:R126" si="296">SUM(G127:G129)</f>
        <v>5</v>
      </c>
      <c r="H126" s="748">
        <f t="shared" si="296"/>
        <v>5</v>
      </c>
      <c r="I126" s="748">
        <f t="shared" si="296"/>
        <v>5</v>
      </c>
      <c r="J126" s="748">
        <f t="shared" si="296"/>
        <v>5</v>
      </c>
      <c r="K126" s="748">
        <f t="shared" si="296"/>
        <v>5</v>
      </c>
      <c r="L126" s="748">
        <f t="shared" si="296"/>
        <v>5</v>
      </c>
      <c r="M126" s="748">
        <f t="shared" si="296"/>
        <v>5</v>
      </c>
      <c r="N126" s="748">
        <f t="shared" si="296"/>
        <v>5</v>
      </c>
      <c r="O126" s="748">
        <f t="shared" si="296"/>
        <v>5</v>
      </c>
      <c r="P126" s="748">
        <f t="shared" si="296"/>
        <v>5</v>
      </c>
      <c r="Q126" s="748">
        <f t="shared" ref="Q126" si="297">SUM(Q127:Q129)</f>
        <v>5</v>
      </c>
      <c r="R126" s="748">
        <f t="shared" si="296"/>
        <v>5</v>
      </c>
      <c r="T126" s="766">
        <f t="shared" ref="T126:T152" si="298">HLOOKUP($E$6,$F$9:$R$231,$A126,FALSE)</f>
        <v>5</v>
      </c>
      <c r="U126" s="182"/>
      <c r="V126" s="53"/>
      <c r="W126" s="53"/>
      <c r="X126" s="53">
        <f>'Manuell filtrering og justering'!E59</f>
        <v>0</v>
      </c>
      <c r="Y126" s="53"/>
      <c r="Z126" s="763">
        <f t="shared" ref="Z126" si="299">SUM(Z127:Z129)</f>
        <v>5</v>
      </c>
      <c r="AA126" s="768">
        <f t="shared" ref="AA126:AA151" si="300">IF(SUM(U126:Y126)&gt;T126,T126,SUM(U126:Y126))</f>
        <v>0</v>
      </c>
      <c r="AB126" s="820">
        <f>SUM(AB127:AB129)</f>
        <v>5</v>
      </c>
      <c r="AD126" s="141">
        <f t="shared" ref="AD126:AD151" si="301">(Mat_Weight/Mat_Credits)*AB126</f>
        <v>4.0476190476190485E-2</v>
      </c>
      <c r="AE126" s="736">
        <f>SUM(AE127:AE129)</f>
        <v>0</v>
      </c>
      <c r="AF126" s="736">
        <f t="shared" ref="AF126" si="302">SUM(AF127:AF129)</f>
        <v>0</v>
      </c>
      <c r="AG126" s="736">
        <f t="shared" ref="AG126" si="303">SUM(AG127:AG129)</f>
        <v>0</v>
      </c>
      <c r="AI126" s="763">
        <f t="shared" ref="AI126" si="304">SUM(AI127:AI129)</f>
        <v>0</v>
      </c>
      <c r="AJ126" s="763">
        <f t="shared" ref="AJ126" si="305">SUM(AJ127:AJ129)</f>
        <v>0</v>
      </c>
      <c r="AK126" s="763">
        <f t="shared" ref="AK126" si="306">SUM(AK127:AK129)</f>
        <v>0</v>
      </c>
      <c r="AM126" s="249"/>
      <c r="AN126" s="250"/>
      <c r="AO126" s="250"/>
      <c r="AP126" s="250"/>
      <c r="AQ126" s="251"/>
      <c r="AR126" s="114"/>
      <c r="AS126" s="249"/>
      <c r="AT126" s="250"/>
      <c r="AU126" s="250"/>
      <c r="AV126" s="250"/>
      <c r="AW126" s="251"/>
      <c r="AY126" s="180"/>
      <c r="AZ126" s="147"/>
      <c r="BA126" s="147"/>
      <c r="BB126" s="147"/>
      <c r="BC126" s="148"/>
      <c r="BD126" s="144">
        <f t="shared" ref="BD126:BD129" si="307">IF(BC126=0,9,IF(AI126&gt;=BC126,5,IF(AI126&gt;=BB126,4,IF(AI126&gt;=BA126,3,IF(AI126&gt;=AZ126,2,IF(AI126&lt;AY126,0,1))))))</f>
        <v>9</v>
      </c>
      <c r="BE126" s="37" t="str">
        <f t="shared" ref="BE126:BE151" si="308">VLOOKUP(BD126,$BO$284:$BT$290,6,FALSE)</f>
        <v>N/A</v>
      </c>
      <c r="BF126" s="148"/>
      <c r="BG126" s="144">
        <f t="shared" ref="BG126:BG133" si="309">IF(BC126=0,9,IF(AJ126&gt;=BC126,5,IF(AJ126&gt;=BB126,4,IF(AJ126&gt;=BA126,3,IF(AJ126&gt;=AZ126,2,IF(AJ126&lt;AY126,0,1))))))</f>
        <v>9</v>
      </c>
      <c r="BH126" s="37" t="str">
        <f t="shared" ref="BH126:BH151" si="310">VLOOKUP(BG126,$BO$284:$BT$290,6,FALSE)</f>
        <v>N/A</v>
      </c>
      <c r="BI126" s="148"/>
      <c r="BJ126" s="144">
        <f t="shared" si="28"/>
        <v>9</v>
      </c>
      <c r="BK126" s="37" t="str">
        <f t="shared" ref="BK126:BK151" si="311">VLOOKUP(BJ126,$BO$284:$BT$290,6,FALSE)</f>
        <v>N/A</v>
      </c>
      <c r="BL126" s="148"/>
      <c r="BO126" s="35"/>
      <c r="BP126" s="35"/>
      <c r="BQ126" s="35" t="str">
        <f t="shared" si="157"/>
        <v/>
      </c>
      <c r="BR126" s="35">
        <f t="shared" si="198"/>
        <v>9</v>
      </c>
      <c r="BS126" s="35">
        <f t="shared" si="199"/>
        <v>9</v>
      </c>
      <c r="BT126" s="35">
        <f t="shared" si="200"/>
        <v>9</v>
      </c>
      <c r="BW126" s="37" t="str">
        <f>D126</f>
        <v>Mat 01</v>
      </c>
      <c r="BX126" s="37" t="str">
        <f>IFERROR(VLOOKUP($E126,'Pre-Assessment Estimator'!$E$11:$AB$227,'Pre-Assessment Estimator'!AB$2,FALSE),"")</f>
        <v>N/A</v>
      </c>
      <c r="BY126" s="37">
        <f>IFERROR(VLOOKUP($E126,'Pre-Assessment Estimator'!$E$11:$AI$227,'Pre-Assessment Estimator'!AI$2,FALSE),"")</f>
        <v>0</v>
      </c>
      <c r="BZ126" s="37">
        <f t="shared" si="295"/>
        <v>1</v>
      </c>
      <c r="CA126" s="37">
        <f t="shared" si="295"/>
        <v>0</v>
      </c>
      <c r="CB126" s="37"/>
      <c r="CC126" t="s">
        <v>895</v>
      </c>
    </row>
    <row r="127" spans="1:85">
      <c r="A127">
        <v>119</v>
      </c>
      <c r="B127" s="112"/>
      <c r="C127" t="str">
        <f t="shared" si="159"/>
        <v>Mat 01</v>
      </c>
      <c r="D127" s="137" t="s">
        <v>729</v>
      </c>
      <c r="E127" s="754" t="s">
        <v>777</v>
      </c>
      <c r="F127" s="607"/>
      <c r="G127" s="607"/>
      <c r="H127" s="607"/>
      <c r="I127" s="607"/>
      <c r="J127" s="607"/>
      <c r="K127" s="607"/>
      <c r="L127" s="607"/>
      <c r="M127" s="607"/>
      <c r="N127" s="607"/>
      <c r="O127" s="607"/>
      <c r="P127" s="607"/>
      <c r="Q127" s="607"/>
      <c r="R127" s="607"/>
      <c r="T127" s="139">
        <f t="shared" si="298"/>
        <v>0</v>
      </c>
      <c r="U127" s="137"/>
      <c r="V127" s="35"/>
      <c r="W127" s="35"/>
      <c r="X127" s="35"/>
      <c r="Y127" s="138"/>
      <c r="Z127" s="138"/>
      <c r="AA127" s="139">
        <f t="shared" si="300"/>
        <v>0</v>
      </c>
      <c r="AB127" s="140">
        <f>IF($AC$5='Manuell filtrering og justering'!$J$2,Z127,(T127-AA127))</f>
        <v>0</v>
      </c>
      <c r="AD127" s="141">
        <f t="shared" si="301"/>
        <v>0</v>
      </c>
      <c r="AE127" s="141">
        <f t="shared" ref="AE127:AE151" si="312">IF(AB127=0,0,(AD127/AB127)*AI127)</f>
        <v>0</v>
      </c>
      <c r="AF127" s="141">
        <f t="shared" ref="AF127:AF151" si="313">IF(AB127=0,0,(AD127/AB127)*AJ127)</f>
        <v>0</v>
      </c>
      <c r="AG127" s="141">
        <f t="shared" ref="AG127:AG151" si="314">IF(AB127=0,0,(AD127/AB127)*AK127)</f>
        <v>0</v>
      </c>
      <c r="AI127" s="142">
        <f>IF(VLOOKUP(E127,'Pre-Assessment Estimator'!$E$11:$Z$227,'Pre-Assessment Estimator'!$G$2,FALSE)&gt;AB127,AB127,VLOOKUP(E127,'Pre-Assessment Estimator'!$E$11:$Z$227,'Pre-Assessment Estimator'!$G$2,FALSE))</f>
        <v>0</v>
      </c>
      <c r="AJ127" s="142">
        <f>IF(VLOOKUP(E127,'Pre-Assessment Estimator'!$E$11:$Z$227,'Pre-Assessment Estimator'!$N$2,FALSE)&gt;AB127,AB127,VLOOKUP(E127,'Pre-Assessment Estimator'!$E$11:$Z$227,'Pre-Assessment Estimator'!$N$2,FALSE))</f>
        <v>0</v>
      </c>
      <c r="AK127" s="142">
        <f>IF(VLOOKUP(E127,'Pre-Assessment Estimator'!$E$11:$Z$227,'Pre-Assessment Estimator'!$U$2,FALSE)&gt;AB127,AB127,VLOOKUP(E127,'Pre-Assessment Estimator'!$E$11:$Z$227,'Pre-Assessment Estimator'!$U$2,FALSE))</f>
        <v>0</v>
      </c>
      <c r="AM127" s="664"/>
      <c r="AN127" s="665"/>
      <c r="AO127" s="665"/>
      <c r="AP127" s="665"/>
      <c r="AQ127" s="666"/>
      <c r="AR127" s="114"/>
      <c r="AS127" s="664"/>
      <c r="AT127" s="665"/>
      <c r="AU127" s="665"/>
      <c r="AV127" s="665"/>
      <c r="AW127" s="666"/>
      <c r="AY127" s="135"/>
      <c r="AZ127" s="37"/>
      <c r="BA127" s="37"/>
      <c r="BB127" s="37"/>
      <c r="BC127" s="659"/>
      <c r="BD127" s="151">
        <f t="shared" si="307"/>
        <v>9</v>
      </c>
      <c r="BE127" s="37" t="str">
        <f t="shared" si="308"/>
        <v>N/A</v>
      </c>
      <c r="BF127" s="154"/>
      <c r="BG127" s="151">
        <f t="shared" ref="BG127:BG129" si="315">IF(BC127=0,9,IF(AJ127&gt;=BC127,5,IF(AJ127&gt;=BB127,4,IF(AJ127&gt;=BA127,3,IF(AJ127&gt;=AZ127,2,IF(AJ127&lt;AY127,0,1))))))</f>
        <v>9</v>
      </c>
      <c r="BH127" s="37" t="str">
        <f t="shared" si="310"/>
        <v>N/A</v>
      </c>
      <c r="BI127" s="154"/>
      <c r="BJ127" s="151">
        <f t="shared" si="28"/>
        <v>9</v>
      </c>
      <c r="BK127" s="37" t="str">
        <f t="shared" si="311"/>
        <v>N/A</v>
      </c>
      <c r="BL127" s="659"/>
      <c r="BO127" s="35"/>
      <c r="BP127" s="35"/>
      <c r="BQ127" s="35" t="str">
        <f t="shared" si="157"/>
        <v/>
      </c>
      <c r="BR127" s="35">
        <f t="shared" si="198"/>
        <v>9</v>
      </c>
      <c r="BS127" s="35">
        <f t="shared" si="199"/>
        <v>9</v>
      </c>
      <c r="BT127" s="35">
        <f t="shared" si="200"/>
        <v>9</v>
      </c>
      <c r="BW127" s="37"/>
      <c r="BX127" s="37"/>
      <c r="BY127" s="37"/>
      <c r="BZ127" s="37"/>
      <c r="CA127" s="37"/>
      <c r="CB127" s="37"/>
    </row>
    <row r="128" spans="1:85">
      <c r="A128">
        <v>120</v>
      </c>
      <c r="B128" t="str">
        <f t="shared" ref="B128:B129" si="316">$D$126&amp;D128</f>
        <v>Mat 01b</v>
      </c>
      <c r="C128" t="str">
        <f t="shared" si="159"/>
        <v>Mat 01</v>
      </c>
      <c r="D128" s="137" t="s">
        <v>730</v>
      </c>
      <c r="E128" s="871" t="s">
        <v>639</v>
      </c>
      <c r="F128" s="607">
        <v>3</v>
      </c>
      <c r="G128" s="607">
        <v>3</v>
      </c>
      <c r="H128" s="607">
        <v>3</v>
      </c>
      <c r="I128" s="607">
        <v>3</v>
      </c>
      <c r="J128" s="607">
        <v>3</v>
      </c>
      <c r="K128" s="607">
        <v>3</v>
      </c>
      <c r="L128" s="607">
        <v>3</v>
      </c>
      <c r="M128" s="607">
        <v>3</v>
      </c>
      <c r="N128" s="607">
        <v>3</v>
      </c>
      <c r="O128" s="607">
        <v>3</v>
      </c>
      <c r="P128" s="607">
        <v>3</v>
      </c>
      <c r="Q128" s="607">
        <v>3</v>
      </c>
      <c r="R128" s="607">
        <v>3</v>
      </c>
      <c r="T128" s="139">
        <f t="shared" si="298"/>
        <v>3</v>
      </c>
      <c r="U128" s="137"/>
      <c r="V128" s="35"/>
      <c r="W128" s="35"/>
      <c r="X128" s="35"/>
      <c r="Y128" s="138"/>
      <c r="Z128" s="138">
        <f>VLOOKUP(B128,'Manuell filtrering og justering'!$A$7:$H$253,'Manuell filtrering og justering'!$H$1,FALSE)</f>
        <v>3</v>
      </c>
      <c r="AA128" s="139">
        <f t="shared" si="300"/>
        <v>0</v>
      </c>
      <c r="AB128" s="140">
        <f>IF($AC$5='Manuell filtrering og justering'!$J$2,Z128,(T128-AA128))</f>
        <v>3</v>
      </c>
      <c r="AD128" s="141">
        <f t="shared" si="301"/>
        <v>2.4285714285714289E-2</v>
      </c>
      <c r="AE128" s="141">
        <f t="shared" si="312"/>
        <v>0</v>
      </c>
      <c r="AF128" s="141">
        <f t="shared" si="313"/>
        <v>0</v>
      </c>
      <c r="AG128" s="141">
        <f t="shared" si="314"/>
        <v>0</v>
      </c>
      <c r="AI128" s="142">
        <f>IF(VLOOKUP(E128,'Pre-Assessment Estimator'!$E$11:$Z$227,'Pre-Assessment Estimator'!$G$2,FALSE)&gt;AB128,AB128,VLOOKUP(E128,'Pre-Assessment Estimator'!$E$11:$Z$227,'Pre-Assessment Estimator'!$G$2,FALSE))</f>
        <v>0</v>
      </c>
      <c r="AJ128" s="142">
        <f>IF(VLOOKUP(E128,'Pre-Assessment Estimator'!$E$11:$Z$227,'Pre-Assessment Estimator'!$N$2,FALSE)&gt;AB128,AB128,VLOOKUP(E128,'Pre-Assessment Estimator'!$E$11:$Z$227,'Pre-Assessment Estimator'!$N$2,FALSE))</f>
        <v>0</v>
      </c>
      <c r="AK128" s="142">
        <f>IF(VLOOKUP(E128,'Pre-Assessment Estimator'!$E$11:$Z$227,'Pre-Assessment Estimator'!$U$2,FALSE)&gt;AB128,AB128,VLOOKUP(E128,'Pre-Assessment Estimator'!$E$11:$Z$227,'Pre-Assessment Estimator'!$U$2,FALSE))</f>
        <v>0</v>
      </c>
      <c r="AM128" s="664"/>
      <c r="AN128" s="665"/>
      <c r="AO128" s="665">
        <v>1</v>
      </c>
      <c r="AP128" s="665">
        <v>1</v>
      </c>
      <c r="AQ128" s="666">
        <v>2</v>
      </c>
      <c r="AR128" s="114"/>
      <c r="AS128" s="664"/>
      <c r="AT128" s="665"/>
      <c r="AU128" s="665">
        <v>1</v>
      </c>
      <c r="AV128" s="665">
        <v>1</v>
      </c>
      <c r="AW128" s="666">
        <v>2</v>
      </c>
      <c r="AY128" s="135"/>
      <c r="AZ128" s="37"/>
      <c r="BA128" s="152">
        <f>IF($AB128=0,0,IF($E$6=$H$9,AU128,AO128))</f>
        <v>1</v>
      </c>
      <c r="BB128" s="152">
        <f>IF($AB128=0,0,IF($E$6=$H$9,AV128,AP128))</f>
        <v>1</v>
      </c>
      <c r="BC128" s="152">
        <f>IF($AB128=0,0,IF($E$6=$H$9,AW128,AQ128))</f>
        <v>2</v>
      </c>
      <c r="BD128" s="151">
        <f t="shared" si="307"/>
        <v>2</v>
      </c>
      <c r="BE128" s="37" t="str">
        <f t="shared" si="308"/>
        <v>Good</v>
      </c>
      <c r="BF128" s="154"/>
      <c r="BG128" s="151">
        <f t="shared" si="315"/>
        <v>2</v>
      </c>
      <c r="BH128" s="37" t="str">
        <f t="shared" si="310"/>
        <v>Good</v>
      </c>
      <c r="BI128" s="154"/>
      <c r="BJ128" s="151">
        <f t="shared" si="28"/>
        <v>2</v>
      </c>
      <c r="BK128" s="37" t="str">
        <f t="shared" si="311"/>
        <v>Good</v>
      </c>
      <c r="BL128" s="659"/>
      <c r="BO128" s="35"/>
      <c r="BP128" s="35"/>
      <c r="BQ128" s="35" t="str">
        <f t="shared" si="157"/>
        <v/>
      </c>
      <c r="BR128" s="35">
        <f t="shared" si="198"/>
        <v>9</v>
      </c>
      <c r="BS128" s="35">
        <f t="shared" si="199"/>
        <v>9</v>
      </c>
      <c r="BT128" s="35">
        <f t="shared" si="200"/>
        <v>9</v>
      </c>
      <c r="BW128" s="37"/>
      <c r="BX128" s="37"/>
      <c r="BY128" s="37"/>
      <c r="BZ128" s="37"/>
      <c r="CA128" s="37"/>
      <c r="CB128" s="37"/>
    </row>
    <row r="129" spans="1:85">
      <c r="A129">
        <v>121</v>
      </c>
      <c r="B129" t="str">
        <f t="shared" si="316"/>
        <v>Mat 01c</v>
      </c>
      <c r="C129" t="str">
        <f t="shared" si="159"/>
        <v>Mat 01</v>
      </c>
      <c r="D129" s="137" t="s">
        <v>731</v>
      </c>
      <c r="E129" s="871" t="s">
        <v>640</v>
      </c>
      <c r="F129" s="607">
        <v>2</v>
      </c>
      <c r="G129" s="607">
        <v>2</v>
      </c>
      <c r="H129" s="607">
        <v>2</v>
      </c>
      <c r="I129" s="607">
        <v>2</v>
      </c>
      <c r="J129" s="607">
        <v>2</v>
      </c>
      <c r="K129" s="607">
        <v>2</v>
      </c>
      <c r="L129" s="607">
        <v>2</v>
      </c>
      <c r="M129" s="607">
        <v>2</v>
      </c>
      <c r="N129" s="607">
        <v>2</v>
      </c>
      <c r="O129" s="607">
        <v>2</v>
      </c>
      <c r="P129" s="607">
        <v>2</v>
      </c>
      <c r="Q129" s="607">
        <v>2</v>
      </c>
      <c r="R129" s="607">
        <v>2</v>
      </c>
      <c r="T129" s="139">
        <f t="shared" si="298"/>
        <v>2</v>
      </c>
      <c r="U129" s="137"/>
      <c r="V129" s="35"/>
      <c r="W129" s="35"/>
      <c r="X129" s="35"/>
      <c r="Y129" s="138"/>
      <c r="Z129" s="138">
        <f>VLOOKUP(B129,'Manuell filtrering og justering'!$A$7:$H$253,'Manuell filtrering og justering'!$H$1,FALSE)</f>
        <v>2</v>
      </c>
      <c r="AA129" s="139">
        <f t="shared" si="300"/>
        <v>0</v>
      </c>
      <c r="AB129" s="140">
        <f>IF($AC$5='Manuell filtrering og justering'!$J$2,Z129,(T129-AA129))</f>
        <v>2</v>
      </c>
      <c r="AD129" s="141">
        <f t="shared" si="301"/>
        <v>1.6190476190476193E-2</v>
      </c>
      <c r="AE129" s="141">
        <f t="shared" si="312"/>
        <v>0</v>
      </c>
      <c r="AF129" s="141">
        <f t="shared" si="313"/>
        <v>0</v>
      </c>
      <c r="AG129" s="141">
        <f t="shared" si="314"/>
        <v>0</v>
      </c>
      <c r="AI129" s="142">
        <f>IF(VLOOKUP(E129,'Pre-Assessment Estimator'!$E$11:$Z$227,'Pre-Assessment Estimator'!$G$2,FALSE)&gt;AB129,AB129,VLOOKUP(E129,'Pre-Assessment Estimator'!$E$11:$Z$227,'Pre-Assessment Estimator'!$G$2,FALSE))</f>
        <v>0</v>
      </c>
      <c r="AJ129" s="142">
        <f>IF(VLOOKUP(E129,'Pre-Assessment Estimator'!$E$11:$Z$227,'Pre-Assessment Estimator'!$N$2,FALSE)&gt;AB129,AB129,VLOOKUP(E129,'Pre-Assessment Estimator'!$E$11:$Z$227,'Pre-Assessment Estimator'!$N$2,FALSE))</f>
        <v>0</v>
      </c>
      <c r="AK129" s="142">
        <f>IF(VLOOKUP(E129,'Pre-Assessment Estimator'!$E$11:$Z$227,'Pre-Assessment Estimator'!$U$2,FALSE)&gt;AB129,AB129,VLOOKUP(E129,'Pre-Assessment Estimator'!$E$11:$Z$227,'Pre-Assessment Estimator'!$U$2,FALSE))</f>
        <v>0</v>
      </c>
      <c r="AM129" s="664"/>
      <c r="AN129" s="665"/>
      <c r="AO129" s="665"/>
      <c r="AP129" s="665"/>
      <c r="AQ129" s="666"/>
      <c r="AR129" s="114"/>
      <c r="AS129" s="664"/>
      <c r="AT129" s="665"/>
      <c r="AU129" s="665"/>
      <c r="AV129" s="665"/>
      <c r="AW129" s="666"/>
      <c r="AY129" s="135"/>
      <c r="AZ129" s="37"/>
      <c r="BA129" s="37"/>
      <c r="BB129" s="37"/>
      <c r="BC129" s="659"/>
      <c r="BD129" s="151">
        <f t="shared" si="307"/>
        <v>9</v>
      </c>
      <c r="BE129" s="37" t="str">
        <f t="shared" si="308"/>
        <v>N/A</v>
      </c>
      <c r="BF129" s="154"/>
      <c r="BG129" s="151">
        <f t="shared" si="315"/>
        <v>9</v>
      </c>
      <c r="BH129" s="37" t="str">
        <f t="shared" si="310"/>
        <v>N/A</v>
      </c>
      <c r="BI129" s="154"/>
      <c r="BJ129" s="151">
        <f t="shared" si="28"/>
        <v>9</v>
      </c>
      <c r="BK129" s="37" t="str">
        <f t="shared" si="311"/>
        <v>N/A</v>
      </c>
      <c r="BL129" s="659"/>
      <c r="BO129" s="35"/>
      <c r="BP129" s="35"/>
      <c r="BQ129" s="35" t="str">
        <f t="shared" si="157"/>
        <v/>
      </c>
      <c r="BR129" s="35">
        <f t="shared" si="198"/>
        <v>9</v>
      </c>
      <c r="BS129" s="35">
        <f t="shared" si="199"/>
        <v>9</v>
      </c>
      <c r="BT129" s="35">
        <f t="shared" si="200"/>
        <v>9</v>
      </c>
      <c r="BW129" s="37"/>
      <c r="BX129" s="37"/>
      <c r="BY129" s="37"/>
      <c r="BZ129" s="37"/>
      <c r="CA129" s="37"/>
      <c r="CB129" s="37"/>
    </row>
    <row r="130" spans="1:85">
      <c r="A130">
        <v>122</v>
      </c>
      <c r="B130" s="112" t="str">
        <f>D130</f>
        <v>Mat 02</v>
      </c>
      <c r="C130" s="112" t="str">
        <f>B130</f>
        <v>Mat 02</v>
      </c>
      <c r="D130" s="663" t="s">
        <v>415</v>
      </c>
      <c r="E130" s="661" t="s">
        <v>908</v>
      </c>
      <c r="F130" s="748">
        <f>SUM(F131:F133)</f>
        <v>3</v>
      </c>
      <c r="G130" s="748">
        <f t="shared" ref="G130:R130" si="317">SUM(G131:G133)</f>
        <v>3</v>
      </c>
      <c r="H130" s="748">
        <f t="shared" si="317"/>
        <v>3</v>
      </c>
      <c r="I130" s="748">
        <f t="shared" si="317"/>
        <v>3</v>
      </c>
      <c r="J130" s="748">
        <f t="shared" si="317"/>
        <v>3</v>
      </c>
      <c r="K130" s="748">
        <f t="shared" si="317"/>
        <v>3</v>
      </c>
      <c r="L130" s="748">
        <f t="shared" si="317"/>
        <v>3</v>
      </c>
      <c r="M130" s="748">
        <f t="shared" si="317"/>
        <v>3</v>
      </c>
      <c r="N130" s="748">
        <f t="shared" si="317"/>
        <v>3</v>
      </c>
      <c r="O130" s="748">
        <f t="shared" si="317"/>
        <v>3</v>
      </c>
      <c r="P130" s="748">
        <f t="shared" si="317"/>
        <v>3</v>
      </c>
      <c r="Q130" s="748">
        <f t="shared" ref="Q130" si="318">SUM(Q131:Q133)</f>
        <v>3</v>
      </c>
      <c r="R130" s="748">
        <f t="shared" si="317"/>
        <v>3</v>
      </c>
      <c r="T130" s="768">
        <f t="shared" si="298"/>
        <v>3</v>
      </c>
      <c r="U130" s="182"/>
      <c r="V130" s="53"/>
      <c r="W130" s="53"/>
      <c r="X130" s="53">
        <f>'Manuell filtrering og justering'!E60</f>
        <v>0</v>
      </c>
      <c r="Y130" s="53"/>
      <c r="Z130" s="763">
        <f t="shared" ref="Z130" si="319">SUM(Z131:Z133)</f>
        <v>3</v>
      </c>
      <c r="AA130" s="768">
        <f t="shared" si="300"/>
        <v>0</v>
      </c>
      <c r="AB130" s="820">
        <f>SUM(AB131:AB133)</f>
        <v>3</v>
      </c>
      <c r="AD130" s="141">
        <f t="shared" si="301"/>
        <v>2.4285714285714289E-2</v>
      </c>
      <c r="AE130" s="736">
        <f>SUM(AE131:AE133)</f>
        <v>0</v>
      </c>
      <c r="AF130" s="736">
        <f t="shared" ref="AF130" si="320">SUM(AF131:AF133)</f>
        <v>0</v>
      </c>
      <c r="AG130" s="736">
        <f t="shared" ref="AG130" si="321">SUM(AG131:AG133)</f>
        <v>0</v>
      </c>
      <c r="AI130" s="763">
        <f t="shared" ref="AI130" si="322">SUM(AI131:AI133)</f>
        <v>0</v>
      </c>
      <c r="AJ130" s="763">
        <f t="shared" ref="AJ130" si="323">SUM(AJ131:AJ133)</f>
        <v>0</v>
      </c>
      <c r="AK130" s="763">
        <f t="shared" ref="AK130" si="324">SUM(AK131:AK133)</f>
        <v>0</v>
      </c>
      <c r="AM130" s="243"/>
      <c r="AN130" s="244"/>
      <c r="AO130" s="244"/>
      <c r="AP130" s="244"/>
      <c r="AQ130" s="245"/>
      <c r="AR130" s="114"/>
      <c r="AS130" s="243"/>
      <c r="AT130" s="244"/>
      <c r="AU130" s="244"/>
      <c r="AV130" s="244"/>
      <c r="AW130" s="245"/>
      <c r="AY130" s="135"/>
      <c r="AZ130" s="37"/>
      <c r="BA130" s="37"/>
      <c r="BB130" s="37"/>
      <c r="BC130" s="154"/>
      <c r="BD130" s="151">
        <f t="shared" ref="BD130:BD133" si="325">IF(BC130=0,9,IF(AI130&gt;=BC130,5,IF(AI130&gt;=BB130,4,IF(AI130&gt;=BA130,3,IF(AI130&gt;=AZ130,2,IF(AI130&lt;AY130,0,1))))))</f>
        <v>9</v>
      </c>
      <c r="BE130" s="37" t="str">
        <f t="shared" si="308"/>
        <v>N/A</v>
      </c>
      <c r="BF130" s="154"/>
      <c r="BG130" s="151">
        <f t="shared" si="309"/>
        <v>9</v>
      </c>
      <c r="BH130" s="37" t="str">
        <f t="shared" si="310"/>
        <v>N/A</v>
      </c>
      <c r="BI130" s="154"/>
      <c r="BJ130" s="151">
        <f t="shared" ref="BJ130:BJ133" si="326">IF(BC130=0,9,IF(AK130&gt;=BC130,5,IF(AK130&gt;=BB130,4,IF(AK130&gt;=BA130,3,IF(AK130&gt;=AZ130,2,IF(AK130&lt;AY130,0,1))))))</f>
        <v>9</v>
      </c>
      <c r="BK130" s="37" t="str">
        <f t="shared" si="311"/>
        <v>N/A</v>
      </c>
      <c r="BL130" s="154"/>
      <c r="BO130" s="35"/>
      <c r="BP130" s="35"/>
      <c r="BQ130" s="35" t="str">
        <f t="shared" si="157"/>
        <v/>
      </c>
      <c r="BR130" s="35">
        <f t="shared" si="198"/>
        <v>9</v>
      </c>
      <c r="BS130" s="35">
        <f t="shared" si="199"/>
        <v>9</v>
      </c>
      <c r="BT130" s="35">
        <f t="shared" si="200"/>
        <v>9</v>
      </c>
      <c r="BW130" s="37"/>
      <c r="BX130" s="37"/>
      <c r="BY130" s="37"/>
      <c r="BZ130" s="37"/>
      <c r="CA130" s="37"/>
      <c r="CB130" s="37"/>
    </row>
    <row r="131" spans="1:85">
      <c r="A131">
        <v>123</v>
      </c>
      <c r="B131" s="112"/>
      <c r="C131" t="str">
        <f t="shared" si="159"/>
        <v>Mat 02</v>
      </c>
      <c r="D131" s="137" t="s">
        <v>729</v>
      </c>
      <c r="E131" s="754" t="str">
        <f>Ene01_Crit1</f>
        <v>Minimum req: absence of environmental toxins (EU taxonomy requirement: criterion 1)</v>
      </c>
      <c r="F131" s="607"/>
      <c r="G131" s="607"/>
      <c r="H131" s="607"/>
      <c r="I131" s="607"/>
      <c r="J131" s="607"/>
      <c r="K131" s="607"/>
      <c r="L131" s="607"/>
      <c r="M131" s="607"/>
      <c r="N131" s="607"/>
      <c r="O131" s="607"/>
      <c r="P131" s="607"/>
      <c r="Q131" s="607"/>
      <c r="R131" s="607"/>
      <c r="T131" s="139">
        <f t="shared" si="298"/>
        <v>0</v>
      </c>
      <c r="U131" s="137"/>
      <c r="V131" s="35"/>
      <c r="W131" s="35"/>
      <c r="X131" s="35"/>
      <c r="Y131" s="138"/>
      <c r="Z131" s="138"/>
      <c r="AA131" s="139">
        <f t="shared" si="300"/>
        <v>0</v>
      </c>
      <c r="AB131" s="140">
        <f>IF($AC$5='Manuell filtrering og justering'!$J$2,Z131,(T131-AA131))</f>
        <v>0</v>
      </c>
      <c r="AD131" s="141">
        <f t="shared" si="301"/>
        <v>0</v>
      </c>
      <c r="AE131" s="141">
        <f t="shared" si="312"/>
        <v>0</v>
      </c>
      <c r="AF131" s="141">
        <f t="shared" si="313"/>
        <v>0</v>
      </c>
      <c r="AG131" s="141">
        <f t="shared" si="314"/>
        <v>0</v>
      </c>
      <c r="AI131" s="142">
        <f>IF(VLOOKUP(E131,'Pre-Assessment Estimator'!$E$11:$Z$227,'Pre-Assessment Estimator'!$G$2,FALSE)&gt;AB131,AB131,VLOOKUP(E131,'Pre-Assessment Estimator'!$E$11:$Z$227,'Pre-Assessment Estimator'!$G$2,FALSE))</f>
        <v>0</v>
      </c>
      <c r="AJ131" s="142">
        <f>IF(VLOOKUP(E131,'Pre-Assessment Estimator'!$E$11:$Z$227,'Pre-Assessment Estimator'!$N$2,FALSE)&gt;AB131,AB131,VLOOKUP(E131,'Pre-Assessment Estimator'!$E$11:$Z$227,'Pre-Assessment Estimator'!$N$2,FALSE))</f>
        <v>0</v>
      </c>
      <c r="AK131" s="142">
        <f>IF(VLOOKUP(E131,'Pre-Assessment Estimator'!$E$11:$Z$227,'Pre-Assessment Estimator'!$U$2,FALSE)&gt;AB131,AB131,VLOOKUP(E131,'Pre-Assessment Estimator'!$E$11:$Z$227,'Pre-Assessment Estimator'!$U$2,FALSE))</f>
        <v>0</v>
      </c>
      <c r="AM131" s="243"/>
      <c r="AN131" s="244"/>
      <c r="AO131" s="244"/>
      <c r="AP131" s="244"/>
      <c r="AQ131" s="245"/>
      <c r="AR131" s="114"/>
      <c r="AS131" s="243"/>
      <c r="AT131" s="244"/>
      <c r="AU131" s="244"/>
      <c r="AV131" s="244"/>
      <c r="AW131" s="245"/>
      <c r="AY131" s="135"/>
      <c r="AZ131" s="37"/>
      <c r="BA131" s="37"/>
      <c r="BB131" s="37"/>
      <c r="BC131" s="154"/>
      <c r="BD131" s="151">
        <f t="shared" si="325"/>
        <v>9</v>
      </c>
      <c r="BE131" s="37" t="str">
        <f t="shared" si="308"/>
        <v>N/A</v>
      </c>
      <c r="BF131" s="154"/>
      <c r="BG131" s="151">
        <f t="shared" si="309"/>
        <v>9</v>
      </c>
      <c r="BH131" s="37" t="str">
        <f t="shared" si="310"/>
        <v>N/A</v>
      </c>
      <c r="BI131" s="154"/>
      <c r="BJ131" s="151">
        <f t="shared" si="326"/>
        <v>9</v>
      </c>
      <c r="BK131" s="37" t="str">
        <f t="shared" si="311"/>
        <v>N/A</v>
      </c>
      <c r="BL131" s="154"/>
      <c r="BO131" s="35"/>
      <c r="BP131" s="35"/>
      <c r="BQ131" s="35" t="str">
        <f t="shared" si="157"/>
        <v/>
      </c>
      <c r="BR131" s="35">
        <f t="shared" si="198"/>
        <v>9</v>
      </c>
      <c r="BS131" s="35">
        <f t="shared" si="199"/>
        <v>9</v>
      </c>
      <c r="BT131" s="35">
        <f t="shared" si="200"/>
        <v>9</v>
      </c>
      <c r="BW131" s="37"/>
      <c r="BX131" s="37"/>
      <c r="BY131" s="37"/>
      <c r="BZ131" s="37"/>
      <c r="CA131" s="37"/>
      <c r="CB131" s="37"/>
    </row>
    <row r="132" spans="1:85">
      <c r="A132">
        <v>124</v>
      </c>
      <c r="B132" t="str">
        <f t="shared" ref="B132:B133" si="327">$D$130&amp;D132</f>
        <v>Mat 02b</v>
      </c>
      <c r="C132" t="str">
        <f t="shared" si="159"/>
        <v>Mat 02</v>
      </c>
      <c r="D132" s="137" t="s">
        <v>730</v>
      </c>
      <c r="E132" s="871" t="s">
        <v>642</v>
      </c>
      <c r="F132" s="607">
        <v>1</v>
      </c>
      <c r="G132" s="607">
        <v>1</v>
      </c>
      <c r="H132" s="607">
        <v>1</v>
      </c>
      <c r="I132" s="607">
        <v>1</v>
      </c>
      <c r="J132" s="607">
        <v>1</v>
      </c>
      <c r="K132" s="607">
        <v>1</v>
      </c>
      <c r="L132" s="607">
        <v>1</v>
      </c>
      <c r="M132" s="607">
        <v>1</v>
      </c>
      <c r="N132" s="607">
        <v>1</v>
      </c>
      <c r="O132" s="607">
        <v>1</v>
      </c>
      <c r="P132" s="607">
        <v>1</v>
      </c>
      <c r="Q132" s="607">
        <v>1</v>
      </c>
      <c r="R132" s="607">
        <v>1</v>
      </c>
      <c r="T132" s="139">
        <f t="shared" si="298"/>
        <v>1</v>
      </c>
      <c r="U132" s="137"/>
      <c r="V132" s="35"/>
      <c r="W132" s="35"/>
      <c r="X132" s="35"/>
      <c r="Y132" s="138"/>
      <c r="Z132" s="138">
        <f>VLOOKUP(B132,'Manuell filtrering og justering'!$A$7:$H$253,'Manuell filtrering og justering'!$H$1,FALSE)</f>
        <v>1</v>
      </c>
      <c r="AA132" s="139">
        <f t="shared" si="300"/>
        <v>0</v>
      </c>
      <c r="AB132" s="140">
        <f>IF($AC$5='Manuell filtrering og justering'!$J$2,Z132,(T132-AA132))</f>
        <v>1</v>
      </c>
      <c r="AD132" s="141">
        <f t="shared" si="301"/>
        <v>8.0952380952380963E-3</v>
      </c>
      <c r="AE132" s="141">
        <f t="shared" si="312"/>
        <v>0</v>
      </c>
      <c r="AF132" s="141">
        <f t="shared" si="313"/>
        <v>0</v>
      </c>
      <c r="AG132" s="141">
        <f t="shared" si="314"/>
        <v>0</v>
      </c>
      <c r="AI132" s="142">
        <f>IF(VLOOKUP(E132,'Pre-Assessment Estimator'!$E$11:$Z$227,'Pre-Assessment Estimator'!$G$2,FALSE)&gt;AB132,AB132,VLOOKUP(E132,'Pre-Assessment Estimator'!$E$11:$Z$227,'Pre-Assessment Estimator'!$G$2,FALSE))</f>
        <v>0</v>
      </c>
      <c r="AJ132" s="142">
        <f>IF(VLOOKUP(E132,'Pre-Assessment Estimator'!$E$11:$Z$227,'Pre-Assessment Estimator'!$N$2,FALSE)&gt;AB132,AB132,VLOOKUP(E132,'Pre-Assessment Estimator'!$E$11:$Z$227,'Pre-Assessment Estimator'!$N$2,FALSE))</f>
        <v>0</v>
      </c>
      <c r="AK132" s="142">
        <f>IF(VLOOKUP(E132,'Pre-Assessment Estimator'!$E$11:$Z$227,'Pre-Assessment Estimator'!$U$2,FALSE)&gt;AB132,AB132,VLOOKUP(E132,'Pre-Assessment Estimator'!$E$11:$Z$227,'Pre-Assessment Estimator'!$U$2,FALSE))</f>
        <v>0</v>
      </c>
      <c r="AM132" s="243"/>
      <c r="AN132" s="244"/>
      <c r="AO132" s="244"/>
      <c r="AP132" s="244"/>
      <c r="AQ132" s="245"/>
      <c r="AR132" s="114"/>
      <c r="AS132" s="243"/>
      <c r="AT132" s="244"/>
      <c r="AU132" s="244"/>
      <c r="AV132" s="244"/>
      <c r="AW132" s="245"/>
      <c r="AY132" s="135"/>
      <c r="AZ132" s="37"/>
      <c r="BA132" s="37"/>
      <c r="BB132" s="37"/>
      <c r="BC132" s="154"/>
      <c r="BD132" s="151">
        <f t="shared" si="325"/>
        <v>9</v>
      </c>
      <c r="BE132" s="37" t="str">
        <f t="shared" si="308"/>
        <v>N/A</v>
      </c>
      <c r="BF132" s="154"/>
      <c r="BG132" s="151">
        <f t="shared" si="309"/>
        <v>9</v>
      </c>
      <c r="BH132" s="37" t="str">
        <f t="shared" si="310"/>
        <v>N/A</v>
      </c>
      <c r="BI132" s="154"/>
      <c r="BJ132" s="151">
        <f t="shared" si="326"/>
        <v>9</v>
      </c>
      <c r="BK132" s="37" t="str">
        <f t="shared" si="311"/>
        <v>N/A</v>
      </c>
      <c r="BL132" s="154"/>
      <c r="BO132" s="35"/>
      <c r="BP132" s="35"/>
      <c r="BQ132" s="35" t="str">
        <f t="shared" si="157"/>
        <v/>
      </c>
      <c r="BR132" s="35">
        <f t="shared" si="198"/>
        <v>9</v>
      </c>
      <c r="BS132" s="35">
        <f t="shared" si="199"/>
        <v>9</v>
      </c>
      <c r="BT132" s="35">
        <f t="shared" si="200"/>
        <v>9</v>
      </c>
      <c r="BW132" s="37"/>
      <c r="BX132" s="37"/>
      <c r="BY132" s="37"/>
      <c r="BZ132" s="37"/>
      <c r="CA132" s="37"/>
      <c r="CB132" s="37"/>
    </row>
    <row r="133" spans="1:85">
      <c r="A133">
        <v>125</v>
      </c>
      <c r="B133" t="str">
        <f t="shared" si="327"/>
        <v>Mat 02c</v>
      </c>
      <c r="C133" t="str">
        <f t="shared" si="159"/>
        <v>Mat 02</v>
      </c>
      <c r="D133" s="137" t="s">
        <v>731</v>
      </c>
      <c r="E133" s="871" t="s">
        <v>643</v>
      </c>
      <c r="F133" s="607">
        <v>2</v>
      </c>
      <c r="G133" s="607">
        <v>2</v>
      </c>
      <c r="H133" s="607">
        <v>2</v>
      </c>
      <c r="I133" s="607">
        <v>2</v>
      </c>
      <c r="J133" s="607">
        <v>2</v>
      </c>
      <c r="K133" s="607">
        <v>2</v>
      </c>
      <c r="L133" s="607">
        <v>2</v>
      </c>
      <c r="M133" s="607">
        <v>2</v>
      </c>
      <c r="N133" s="607">
        <v>2</v>
      </c>
      <c r="O133" s="607">
        <v>2</v>
      </c>
      <c r="P133" s="607">
        <v>2</v>
      </c>
      <c r="Q133" s="607">
        <v>2</v>
      </c>
      <c r="R133" s="607">
        <v>2</v>
      </c>
      <c r="T133" s="139">
        <f t="shared" si="298"/>
        <v>2</v>
      </c>
      <c r="U133" s="137"/>
      <c r="V133" s="35"/>
      <c r="W133" s="35"/>
      <c r="X133" s="35"/>
      <c r="Y133" s="138"/>
      <c r="Z133" s="138">
        <f>VLOOKUP(B133,'Manuell filtrering og justering'!$A$7:$H$253,'Manuell filtrering og justering'!$H$1,FALSE)</f>
        <v>2</v>
      </c>
      <c r="AA133" s="139">
        <f t="shared" si="300"/>
        <v>0</v>
      </c>
      <c r="AB133" s="140">
        <f>IF($AC$5='Manuell filtrering og justering'!$J$2,Z133,(T133-AA133))</f>
        <v>2</v>
      </c>
      <c r="AD133" s="141">
        <f t="shared" si="301"/>
        <v>1.6190476190476193E-2</v>
      </c>
      <c r="AE133" s="141">
        <f t="shared" si="312"/>
        <v>0</v>
      </c>
      <c r="AF133" s="141">
        <f t="shared" si="313"/>
        <v>0</v>
      </c>
      <c r="AG133" s="141">
        <f t="shared" si="314"/>
        <v>0</v>
      </c>
      <c r="AI133" s="142">
        <f>IF(VLOOKUP(E133,'Pre-Assessment Estimator'!$E$11:$Z$227,'Pre-Assessment Estimator'!$G$2,FALSE)&gt;AB133,AB133,VLOOKUP(E133,'Pre-Assessment Estimator'!$E$11:$Z$227,'Pre-Assessment Estimator'!$G$2,FALSE))</f>
        <v>0</v>
      </c>
      <c r="AJ133" s="142">
        <f>IF(VLOOKUP(E133,'Pre-Assessment Estimator'!$E$11:$Z$227,'Pre-Assessment Estimator'!$N$2,FALSE)&gt;AB133,AB133,VLOOKUP(E133,'Pre-Assessment Estimator'!$E$11:$Z$227,'Pre-Assessment Estimator'!$N$2,FALSE))</f>
        <v>0</v>
      </c>
      <c r="AK133" s="142">
        <f>IF(VLOOKUP(E133,'Pre-Assessment Estimator'!$E$11:$Z$227,'Pre-Assessment Estimator'!$U$2,FALSE)&gt;AB133,AB133,VLOOKUP(E133,'Pre-Assessment Estimator'!$E$11:$Z$227,'Pre-Assessment Estimator'!$U$2,FALSE))</f>
        <v>0</v>
      </c>
      <c r="AM133" s="243"/>
      <c r="AN133" s="244"/>
      <c r="AO133" s="244"/>
      <c r="AP133" s="244"/>
      <c r="AQ133" s="245"/>
      <c r="AR133" s="114"/>
      <c r="AS133" s="243"/>
      <c r="AT133" s="244"/>
      <c r="AU133" s="244"/>
      <c r="AV133" s="244"/>
      <c r="AW133" s="245"/>
      <c r="AY133" s="135"/>
      <c r="AZ133" s="37"/>
      <c r="BA133" s="37"/>
      <c r="BB133" s="37"/>
      <c r="BC133" s="154"/>
      <c r="BD133" s="151">
        <f t="shared" si="325"/>
        <v>9</v>
      </c>
      <c r="BE133" s="37" t="str">
        <f t="shared" si="308"/>
        <v>N/A</v>
      </c>
      <c r="BF133" s="154"/>
      <c r="BG133" s="151">
        <f t="shared" si="309"/>
        <v>9</v>
      </c>
      <c r="BH133" s="37" t="str">
        <f t="shared" si="310"/>
        <v>N/A</v>
      </c>
      <c r="BI133" s="154"/>
      <c r="BJ133" s="151">
        <f t="shared" si="326"/>
        <v>9</v>
      </c>
      <c r="BK133" s="37" t="str">
        <f t="shared" si="311"/>
        <v>N/A</v>
      </c>
      <c r="BL133" s="154"/>
      <c r="BO133" s="35"/>
      <c r="BP133" s="35"/>
      <c r="BQ133" s="35" t="str">
        <f t="shared" si="157"/>
        <v/>
      </c>
      <c r="BR133" s="35">
        <f t="shared" si="198"/>
        <v>9</v>
      </c>
      <c r="BS133" s="35">
        <f t="shared" si="199"/>
        <v>9</v>
      </c>
      <c r="BT133" s="35">
        <f t="shared" si="200"/>
        <v>9</v>
      </c>
      <c r="BW133" s="37"/>
      <c r="BX133" s="37"/>
      <c r="BY133" s="37"/>
      <c r="BZ133" s="37"/>
      <c r="CA133" s="37"/>
      <c r="CB133" s="37"/>
    </row>
    <row r="134" spans="1:85">
      <c r="A134">
        <v>126</v>
      </c>
      <c r="B134" s="112" t="str">
        <f>D134</f>
        <v>Mat 03</v>
      </c>
      <c r="C134" s="112" t="str">
        <f>B134</f>
        <v>Mat 03</v>
      </c>
      <c r="D134" s="663" t="s">
        <v>419</v>
      </c>
      <c r="E134" s="661" t="s">
        <v>780</v>
      </c>
      <c r="F134" s="748">
        <f>SUM(F135:F137)</f>
        <v>3</v>
      </c>
      <c r="G134" s="748">
        <f t="shared" ref="G134:R134" si="328">SUM(G135:G137)</f>
        <v>3</v>
      </c>
      <c r="H134" s="748">
        <f t="shared" si="328"/>
        <v>3</v>
      </c>
      <c r="I134" s="748">
        <f t="shared" si="328"/>
        <v>3</v>
      </c>
      <c r="J134" s="748">
        <f t="shared" si="328"/>
        <v>3</v>
      </c>
      <c r="K134" s="748">
        <f t="shared" si="328"/>
        <v>3</v>
      </c>
      <c r="L134" s="748">
        <f t="shared" si="328"/>
        <v>3</v>
      </c>
      <c r="M134" s="748">
        <f t="shared" si="328"/>
        <v>3</v>
      </c>
      <c r="N134" s="748">
        <f t="shared" si="328"/>
        <v>3</v>
      </c>
      <c r="O134" s="748">
        <f t="shared" si="328"/>
        <v>3</v>
      </c>
      <c r="P134" s="748">
        <f t="shared" si="328"/>
        <v>3</v>
      </c>
      <c r="Q134" s="748">
        <f t="shared" ref="Q134" si="329">SUM(Q135:Q137)</f>
        <v>3</v>
      </c>
      <c r="R134" s="748">
        <f t="shared" si="328"/>
        <v>3</v>
      </c>
      <c r="S134" s="518"/>
      <c r="T134" s="768">
        <f t="shared" si="298"/>
        <v>3</v>
      </c>
      <c r="U134" s="182"/>
      <c r="V134" s="53"/>
      <c r="W134" s="53"/>
      <c r="X134" s="53">
        <f>'Manuell filtrering og justering'!E61</f>
        <v>0</v>
      </c>
      <c r="Y134" s="53"/>
      <c r="Z134" s="763">
        <f t="shared" ref="Z134" si="330">SUM(Z135:Z137)</f>
        <v>3</v>
      </c>
      <c r="AA134" s="768">
        <f t="shared" si="300"/>
        <v>0</v>
      </c>
      <c r="AB134" s="820">
        <f>SUM(AB135:AB137)</f>
        <v>3</v>
      </c>
      <c r="AD134" s="141">
        <f t="shared" si="301"/>
        <v>2.4285714285714289E-2</v>
      </c>
      <c r="AE134" s="736">
        <f>SUM(AE135:AE137)</f>
        <v>0</v>
      </c>
      <c r="AF134" s="736">
        <f t="shared" ref="AF134" si="331">SUM(AF135:AF137)</f>
        <v>0</v>
      </c>
      <c r="AG134" s="736">
        <f t="shared" ref="AG134" si="332">SUM(AG135:AG137)</f>
        <v>0</v>
      </c>
      <c r="AI134" s="763">
        <f t="shared" ref="AI134" si="333">SUM(AI135:AI137)</f>
        <v>0</v>
      </c>
      <c r="AJ134" s="763">
        <f t="shared" ref="AJ134" si="334">SUM(AJ135:AJ137)</f>
        <v>0</v>
      </c>
      <c r="AK134" s="763">
        <f t="shared" ref="AK134" si="335">SUM(AK135:AK137)</f>
        <v>0</v>
      </c>
      <c r="AM134" s="243"/>
      <c r="AN134" s="244"/>
      <c r="AO134" s="244"/>
      <c r="AP134" s="244"/>
      <c r="AQ134" s="245"/>
      <c r="AR134" s="114"/>
      <c r="AS134" s="243"/>
      <c r="AT134" s="244"/>
      <c r="AU134" s="244"/>
      <c r="AV134" s="244"/>
      <c r="AW134" s="245"/>
      <c r="AY134" s="137"/>
      <c r="AZ134" s="35"/>
      <c r="BA134" s="35"/>
      <c r="BB134" s="35"/>
      <c r="BC134" s="154"/>
      <c r="BD134" s="151">
        <f t="shared" ref="BD134:BD147" si="336">IF(BC134=0,9,IF(AI134&gt;=BC134,5,IF(AI134&gt;=BB134,4,IF(AI134&gt;=BA134,3,IF(AI134&gt;=AZ134,2,IF(AI134&lt;AY134,0,1))))))</f>
        <v>9</v>
      </c>
      <c r="BE134" s="37" t="str">
        <f t="shared" si="308"/>
        <v>N/A</v>
      </c>
      <c r="BF134" s="154"/>
      <c r="BG134" s="151">
        <f t="shared" ref="BG134:BG147" si="337">IF(BC134=0,9,IF(AJ134&gt;=BC134,5,IF(AJ134&gt;=BB134,4,IF(AJ134&gt;=BA134,3,IF(AJ134&gt;=AZ134,2,IF(AJ134&lt;AY134,0,1))))))</f>
        <v>9</v>
      </c>
      <c r="BH134" s="37" t="str">
        <f t="shared" si="310"/>
        <v>N/A</v>
      </c>
      <c r="BI134" s="154"/>
      <c r="BJ134" s="151">
        <f t="shared" ref="BJ134:BJ147" si="338">IF(BC134=0,9,IF(AK134&gt;=BC134,5,IF(AK134&gt;=BB134,4,IF(AK134&gt;=BA134,3,IF(AK134&gt;=AZ134,2,IF(AK134&lt;AY134,0,1))))))</f>
        <v>9</v>
      </c>
      <c r="BK134" s="37" t="str">
        <f t="shared" si="311"/>
        <v>N/A</v>
      </c>
      <c r="BL134" s="154"/>
      <c r="BO134" s="35"/>
      <c r="BP134" s="35"/>
      <c r="BQ134" s="35" t="str">
        <f t="shared" si="157"/>
        <v/>
      </c>
      <c r="BR134" s="35">
        <f t="shared" si="198"/>
        <v>9</v>
      </c>
      <c r="BS134" s="35">
        <f t="shared" si="199"/>
        <v>9</v>
      </c>
      <c r="BT134" s="35">
        <f t="shared" si="200"/>
        <v>9</v>
      </c>
      <c r="BW134" s="35" t="str">
        <f>D134</f>
        <v>Mat 03</v>
      </c>
      <c r="BX134" s="35" t="str">
        <f>IFERROR(VLOOKUP($E134,'Pre-Assessment Estimator'!$E$11:$AB$227,'Pre-Assessment Estimator'!AB$2,FALSE),"")</f>
        <v>N/A</v>
      </c>
      <c r="BY134" s="35">
        <f>IFERROR(VLOOKUP($E134,'Pre-Assessment Estimator'!$E$11:$AI$227,'Pre-Assessment Estimator'!AI$2,FALSE),"")</f>
        <v>0</v>
      </c>
      <c r="BZ134" s="35">
        <f>IFERROR(VLOOKUP($BX134,$E$293:$H$326,F$291,FALSE),"")</f>
        <v>1</v>
      </c>
      <c r="CA134" s="35">
        <f>IFERROR(VLOOKUP($BX134,$E$293:$H$326,G$291,FALSE),"")</f>
        <v>0</v>
      </c>
      <c r="CB134" s="35"/>
      <c r="CC134" t="s">
        <v>895</v>
      </c>
    </row>
    <row r="135" spans="1:85">
      <c r="A135">
        <v>127</v>
      </c>
      <c r="C135" t="str">
        <f t="shared" si="159"/>
        <v>Mat 03</v>
      </c>
      <c r="D135" s="137" t="s">
        <v>729</v>
      </c>
      <c r="E135" s="754" t="s">
        <v>909</v>
      </c>
      <c r="F135" s="607"/>
      <c r="G135" s="607"/>
      <c r="H135" s="607"/>
      <c r="I135" s="607"/>
      <c r="J135" s="607"/>
      <c r="K135" s="607"/>
      <c r="L135" s="607"/>
      <c r="M135" s="607"/>
      <c r="N135" s="607"/>
      <c r="O135" s="607"/>
      <c r="P135" s="607"/>
      <c r="Q135" s="607"/>
      <c r="R135" s="607"/>
      <c r="S135" s="518"/>
      <c r="T135" s="139">
        <f t="shared" si="298"/>
        <v>0</v>
      </c>
      <c r="U135" s="137"/>
      <c r="V135" s="35"/>
      <c r="W135" s="35"/>
      <c r="X135" s="35"/>
      <c r="Y135" s="138"/>
      <c r="Z135" s="138"/>
      <c r="AA135" s="139">
        <f t="shared" si="300"/>
        <v>0</v>
      </c>
      <c r="AB135" s="140">
        <f>IF($AC$5='Manuell filtrering og justering'!$J$2,Z135,(T135-AA135))</f>
        <v>0</v>
      </c>
      <c r="AD135" s="141">
        <f t="shared" si="301"/>
        <v>0</v>
      </c>
      <c r="AE135" s="141">
        <f t="shared" si="312"/>
        <v>0</v>
      </c>
      <c r="AF135" s="141">
        <f t="shared" si="313"/>
        <v>0</v>
      </c>
      <c r="AG135" s="141">
        <f t="shared" si="314"/>
        <v>0</v>
      </c>
      <c r="AI135" s="142">
        <f>IF(VLOOKUP(E135,'Pre-Assessment Estimator'!$E$11:$Z$227,'Pre-Assessment Estimator'!$G$2,FALSE)&gt;AB135,AB135,VLOOKUP(E135,'Pre-Assessment Estimator'!$E$11:$Z$227,'Pre-Assessment Estimator'!$G$2,FALSE))</f>
        <v>0</v>
      </c>
      <c r="AJ135" s="142">
        <f>IF(VLOOKUP(E135,'Pre-Assessment Estimator'!$E$11:$Z$227,'Pre-Assessment Estimator'!$N$2,FALSE)&gt;AB135,AB135,VLOOKUP(E135,'Pre-Assessment Estimator'!$E$11:$Z$227,'Pre-Assessment Estimator'!$N$2,FALSE))</f>
        <v>0</v>
      </c>
      <c r="AK135" s="142">
        <f>IF(VLOOKUP(E135,'Pre-Assessment Estimator'!$E$11:$Z$227,'Pre-Assessment Estimator'!$U$2,FALSE)&gt;AB135,AB135,VLOOKUP(E135,'Pre-Assessment Estimator'!$E$11:$Z$227,'Pre-Assessment Estimator'!$U$2,FALSE))</f>
        <v>0</v>
      </c>
      <c r="AM135" s="243"/>
      <c r="AN135" s="244"/>
      <c r="AO135" s="244"/>
      <c r="AP135" s="244"/>
      <c r="AQ135" s="245"/>
      <c r="AR135" s="114"/>
      <c r="AS135" s="243"/>
      <c r="AT135" s="244"/>
      <c r="AU135" s="244"/>
      <c r="AV135" s="244"/>
      <c r="AW135" s="245"/>
      <c r="AY135" s="137"/>
      <c r="AZ135" s="35"/>
      <c r="BA135" s="35"/>
      <c r="BB135" s="35"/>
      <c r="BC135" s="154"/>
      <c r="BD135" s="151">
        <f t="shared" si="336"/>
        <v>9</v>
      </c>
      <c r="BE135" s="37" t="str">
        <f t="shared" si="308"/>
        <v>N/A</v>
      </c>
      <c r="BF135" s="154"/>
      <c r="BG135" s="151">
        <f t="shared" si="337"/>
        <v>9</v>
      </c>
      <c r="BH135" s="37" t="str">
        <f t="shared" si="310"/>
        <v>N/A</v>
      </c>
      <c r="BI135" s="154"/>
      <c r="BJ135" s="151">
        <f t="shared" si="338"/>
        <v>9</v>
      </c>
      <c r="BK135" s="37" t="str">
        <f t="shared" si="311"/>
        <v>N/A</v>
      </c>
      <c r="BL135" s="154"/>
      <c r="BO135" s="35"/>
      <c r="BP135" s="35"/>
      <c r="BQ135" s="35" t="str">
        <f t="shared" si="157"/>
        <v/>
      </c>
      <c r="BR135" s="35">
        <f t="shared" si="198"/>
        <v>9</v>
      </c>
      <c r="BS135" s="35">
        <f t="shared" si="199"/>
        <v>9</v>
      </c>
      <c r="BT135" s="35">
        <f t="shared" si="200"/>
        <v>9</v>
      </c>
      <c r="BW135" s="35"/>
      <c r="BX135" s="35"/>
      <c r="BY135" s="35"/>
      <c r="BZ135" s="35"/>
      <c r="CB135" s="35"/>
    </row>
    <row r="136" spans="1:85">
      <c r="A136">
        <v>128</v>
      </c>
      <c r="B136" t="str">
        <f t="shared" ref="B136:B137" si="339">$D$134&amp;D136</f>
        <v>Mat 03b</v>
      </c>
      <c r="C136" t="str">
        <f t="shared" si="159"/>
        <v>Mat 03</v>
      </c>
      <c r="D136" s="137" t="s">
        <v>730</v>
      </c>
      <c r="E136" s="871" t="s">
        <v>645</v>
      </c>
      <c r="F136" s="607">
        <v>1</v>
      </c>
      <c r="G136" s="607">
        <v>1</v>
      </c>
      <c r="H136" s="607">
        <v>1</v>
      </c>
      <c r="I136" s="607">
        <v>1</v>
      </c>
      <c r="J136" s="607">
        <v>1</v>
      </c>
      <c r="K136" s="607">
        <v>1</v>
      </c>
      <c r="L136" s="607">
        <v>1</v>
      </c>
      <c r="M136" s="607">
        <v>1</v>
      </c>
      <c r="N136" s="607">
        <v>1</v>
      </c>
      <c r="O136" s="607">
        <v>1</v>
      </c>
      <c r="P136" s="607">
        <v>1</v>
      </c>
      <c r="Q136" s="607">
        <v>1</v>
      </c>
      <c r="R136" s="607">
        <v>1</v>
      </c>
      <c r="S136" s="518"/>
      <c r="T136" s="139">
        <f t="shared" si="298"/>
        <v>1</v>
      </c>
      <c r="U136" s="137"/>
      <c r="V136" s="35"/>
      <c r="W136" s="35"/>
      <c r="X136" s="35"/>
      <c r="Y136" s="138"/>
      <c r="Z136" s="138">
        <f>VLOOKUP(B136,'Manuell filtrering og justering'!$A$7:$H$253,'Manuell filtrering og justering'!$H$1,FALSE)</f>
        <v>1</v>
      </c>
      <c r="AA136" s="139">
        <f t="shared" si="300"/>
        <v>0</v>
      </c>
      <c r="AB136" s="140">
        <f>IF($AC$5='Manuell filtrering og justering'!$J$2,Z136,(T136-AA136))</f>
        <v>1</v>
      </c>
      <c r="AD136" s="141">
        <f t="shared" si="301"/>
        <v>8.0952380952380963E-3</v>
      </c>
      <c r="AE136" s="141">
        <f t="shared" si="312"/>
        <v>0</v>
      </c>
      <c r="AF136" s="141">
        <f t="shared" si="313"/>
        <v>0</v>
      </c>
      <c r="AG136" s="141">
        <f t="shared" si="314"/>
        <v>0</v>
      </c>
      <c r="AI136" s="142">
        <f>IF(VLOOKUP(E136,'Pre-Assessment Estimator'!$E$11:$Z$227,'Pre-Assessment Estimator'!$G$2,FALSE)&gt;AB136,AB136,VLOOKUP(E136,'Pre-Assessment Estimator'!$E$11:$Z$227,'Pre-Assessment Estimator'!$G$2,FALSE))</f>
        <v>0</v>
      </c>
      <c r="AJ136" s="142">
        <f>IF(VLOOKUP(E136,'Pre-Assessment Estimator'!$E$11:$Z$227,'Pre-Assessment Estimator'!$N$2,FALSE)&gt;AB136,AB136,VLOOKUP(E136,'Pre-Assessment Estimator'!$E$11:$Z$227,'Pre-Assessment Estimator'!$N$2,FALSE))</f>
        <v>0</v>
      </c>
      <c r="AK136" s="142">
        <f>IF(VLOOKUP(E136,'Pre-Assessment Estimator'!$E$11:$Z$227,'Pre-Assessment Estimator'!$U$2,FALSE)&gt;AB136,AB136,VLOOKUP(E136,'Pre-Assessment Estimator'!$E$11:$Z$227,'Pre-Assessment Estimator'!$U$2,FALSE))</f>
        <v>0</v>
      </c>
      <c r="AM136" s="243"/>
      <c r="AN136" s="244"/>
      <c r="AO136" s="244"/>
      <c r="AP136" s="244"/>
      <c r="AQ136" s="245"/>
      <c r="AR136" s="114"/>
      <c r="AS136" s="243"/>
      <c r="AT136" s="244"/>
      <c r="AU136" s="244"/>
      <c r="AV136" s="244"/>
      <c r="AW136" s="245"/>
      <c r="AY136" s="137"/>
      <c r="AZ136" s="35"/>
      <c r="BA136" s="35"/>
      <c r="BB136" s="35"/>
      <c r="BC136" s="154"/>
      <c r="BD136" s="151">
        <f t="shared" si="336"/>
        <v>9</v>
      </c>
      <c r="BE136" s="37" t="str">
        <f t="shared" si="308"/>
        <v>N/A</v>
      </c>
      <c r="BF136" s="154"/>
      <c r="BG136" s="151">
        <f t="shared" si="337"/>
        <v>9</v>
      </c>
      <c r="BH136" s="37" t="str">
        <f t="shared" si="310"/>
        <v>N/A</v>
      </c>
      <c r="BI136" s="154"/>
      <c r="BJ136" s="151">
        <f t="shared" si="338"/>
        <v>9</v>
      </c>
      <c r="BK136" s="37" t="str">
        <f t="shared" si="311"/>
        <v>N/A</v>
      </c>
      <c r="BL136" s="154"/>
      <c r="BO136" s="35"/>
      <c r="BP136" s="35"/>
      <c r="BQ136" s="35" t="str">
        <f t="shared" si="157"/>
        <v/>
      </c>
      <c r="BR136" s="35">
        <f t="shared" si="198"/>
        <v>9</v>
      </c>
      <c r="BS136" s="35">
        <f t="shared" si="199"/>
        <v>9</v>
      </c>
      <c r="BT136" s="35">
        <f t="shared" si="200"/>
        <v>9</v>
      </c>
      <c r="BW136" s="35"/>
      <c r="BX136" s="35"/>
      <c r="BY136" s="35"/>
      <c r="BZ136" s="35"/>
      <c r="CB136" s="35"/>
    </row>
    <row r="137" spans="1:85">
      <c r="A137">
        <v>129</v>
      </c>
      <c r="B137" t="str">
        <f t="shared" si="339"/>
        <v>Mat 03c</v>
      </c>
      <c r="C137" t="str">
        <f t="shared" si="159"/>
        <v>Mat 03</v>
      </c>
      <c r="D137" s="137" t="s">
        <v>731</v>
      </c>
      <c r="E137" s="871" t="s">
        <v>646</v>
      </c>
      <c r="F137" s="607">
        <v>2</v>
      </c>
      <c r="G137" s="607">
        <v>2</v>
      </c>
      <c r="H137" s="607">
        <v>2</v>
      </c>
      <c r="I137" s="607">
        <v>2</v>
      </c>
      <c r="J137" s="607">
        <v>2</v>
      </c>
      <c r="K137" s="607">
        <v>2</v>
      </c>
      <c r="L137" s="607">
        <v>2</v>
      </c>
      <c r="M137" s="607">
        <v>2</v>
      </c>
      <c r="N137" s="607">
        <v>2</v>
      </c>
      <c r="O137" s="607">
        <v>2</v>
      </c>
      <c r="P137" s="607">
        <v>2</v>
      </c>
      <c r="Q137" s="607">
        <v>2</v>
      </c>
      <c r="R137" s="607">
        <v>2</v>
      </c>
      <c r="S137" s="518"/>
      <c r="T137" s="139">
        <f t="shared" si="298"/>
        <v>2</v>
      </c>
      <c r="U137" s="137"/>
      <c r="V137" s="35"/>
      <c r="W137" s="35"/>
      <c r="X137" s="35"/>
      <c r="Y137" s="138"/>
      <c r="Z137" s="138">
        <f>VLOOKUP(B137,'Manuell filtrering og justering'!$A$7:$H$253,'Manuell filtrering og justering'!$H$1,FALSE)</f>
        <v>2</v>
      </c>
      <c r="AA137" s="139">
        <f t="shared" si="300"/>
        <v>0</v>
      </c>
      <c r="AB137" s="140">
        <f>IF($AC$5='Manuell filtrering og justering'!$J$2,Z137,(T137-AA137))</f>
        <v>2</v>
      </c>
      <c r="AD137" s="141">
        <f t="shared" si="301"/>
        <v>1.6190476190476193E-2</v>
      </c>
      <c r="AE137" s="141">
        <f t="shared" si="312"/>
        <v>0</v>
      </c>
      <c r="AF137" s="141">
        <f t="shared" si="313"/>
        <v>0</v>
      </c>
      <c r="AG137" s="141">
        <f t="shared" si="314"/>
        <v>0</v>
      </c>
      <c r="AI137" s="142">
        <f>IF(VLOOKUP(E137,'Pre-Assessment Estimator'!$E$11:$Z$227,'Pre-Assessment Estimator'!$G$2,FALSE)&gt;AB137,AB137,VLOOKUP(E137,'Pre-Assessment Estimator'!$E$11:$Z$227,'Pre-Assessment Estimator'!$G$2,FALSE))</f>
        <v>0</v>
      </c>
      <c r="AJ137" s="142">
        <f>IF(VLOOKUP(E137,'Pre-Assessment Estimator'!$E$11:$Z$227,'Pre-Assessment Estimator'!$N$2,FALSE)&gt;AB137,AB137,VLOOKUP(E137,'Pre-Assessment Estimator'!$E$11:$Z$227,'Pre-Assessment Estimator'!$N$2,FALSE))</f>
        <v>0</v>
      </c>
      <c r="AK137" s="142">
        <f>IF(VLOOKUP(E137,'Pre-Assessment Estimator'!$E$11:$Z$227,'Pre-Assessment Estimator'!$U$2,FALSE)&gt;AB137,AB137,VLOOKUP(E137,'Pre-Assessment Estimator'!$E$11:$Z$227,'Pre-Assessment Estimator'!$U$2,FALSE))</f>
        <v>0</v>
      </c>
      <c r="AM137" s="243"/>
      <c r="AN137" s="244"/>
      <c r="AO137" s="244"/>
      <c r="AP137" s="244"/>
      <c r="AQ137" s="245"/>
      <c r="AR137" s="114"/>
      <c r="AS137" s="243"/>
      <c r="AT137" s="244"/>
      <c r="AU137" s="244"/>
      <c r="AV137" s="244"/>
      <c r="AW137" s="245"/>
      <c r="AY137" s="137"/>
      <c r="AZ137" s="35"/>
      <c r="BA137" s="35"/>
      <c r="BB137" s="35"/>
      <c r="BC137" s="154"/>
      <c r="BD137" s="151">
        <f t="shared" si="336"/>
        <v>9</v>
      </c>
      <c r="BE137" s="37" t="str">
        <f t="shared" si="308"/>
        <v>N/A</v>
      </c>
      <c r="BF137" s="154"/>
      <c r="BG137" s="151">
        <f t="shared" si="337"/>
        <v>9</v>
      </c>
      <c r="BH137" s="37" t="str">
        <f t="shared" si="310"/>
        <v>N/A</v>
      </c>
      <c r="BI137" s="154"/>
      <c r="BJ137" s="151">
        <f t="shared" si="338"/>
        <v>9</v>
      </c>
      <c r="BK137" s="37" t="str">
        <f t="shared" si="311"/>
        <v>N/A</v>
      </c>
      <c r="BL137" s="154"/>
      <c r="BO137" s="35"/>
      <c r="BP137" s="35"/>
      <c r="BQ137" s="35" t="str">
        <f t="shared" si="157"/>
        <v/>
      </c>
      <c r="BR137" s="35">
        <f t="shared" si="198"/>
        <v>9</v>
      </c>
      <c r="BS137" s="35">
        <f t="shared" si="199"/>
        <v>9</v>
      </c>
      <c r="BT137" s="35">
        <f t="shared" si="200"/>
        <v>9</v>
      </c>
      <c r="BW137" s="35"/>
      <c r="BX137" s="35"/>
      <c r="BY137" s="35"/>
      <c r="BZ137" s="35"/>
      <c r="CB137" s="35"/>
    </row>
    <row r="138" spans="1:85">
      <c r="A138">
        <v>130</v>
      </c>
      <c r="B138" s="112" t="str">
        <f>D138</f>
        <v>Mat 05</v>
      </c>
      <c r="C138" s="112" t="str">
        <f>B138</f>
        <v>Mat 05</v>
      </c>
      <c r="D138" s="663" t="s">
        <v>424</v>
      </c>
      <c r="E138" s="661" t="s">
        <v>910</v>
      </c>
      <c r="F138" s="748">
        <f>SUM(F139:F143)</f>
        <v>4</v>
      </c>
      <c r="G138" s="748">
        <f t="shared" ref="G138:R138" si="340">SUM(G139:G143)</f>
        <v>4</v>
      </c>
      <c r="H138" s="748">
        <f t="shared" si="340"/>
        <v>4</v>
      </c>
      <c r="I138" s="748">
        <f t="shared" si="340"/>
        <v>4</v>
      </c>
      <c r="J138" s="748">
        <f t="shared" si="340"/>
        <v>4</v>
      </c>
      <c r="K138" s="748">
        <f t="shared" si="340"/>
        <v>4</v>
      </c>
      <c r="L138" s="748">
        <f t="shared" si="340"/>
        <v>4</v>
      </c>
      <c r="M138" s="748">
        <f t="shared" si="340"/>
        <v>4</v>
      </c>
      <c r="N138" s="748">
        <f t="shared" si="340"/>
        <v>4</v>
      </c>
      <c r="O138" s="748">
        <f t="shared" si="340"/>
        <v>4</v>
      </c>
      <c r="P138" s="748">
        <f t="shared" si="340"/>
        <v>4</v>
      </c>
      <c r="Q138" s="748">
        <f t="shared" ref="Q138" si="341">SUM(Q139:Q143)</f>
        <v>4</v>
      </c>
      <c r="R138" s="748">
        <f t="shared" si="340"/>
        <v>4</v>
      </c>
      <c r="S138" s="518"/>
      <c r="T138" s="768">
        <f t="shared" si="298"/>
        <v>4</v>
      </c>
      <c r="U138" s="182"/>
      <c r="V138" s="53"/>
      <c r="W138" s="53"/>
      <c r="X138" s="53">
        <f>'Manuell filtrering og justering'!E62</f>
        <v>0</v>
      </c>
      <c r="Y138" s="53"/>
      <c r="Z138" s="763">
        <f>SUM(Z139:Z143)</f>
        <v>4</v>
      </c>
      <c r="AA138" s="768">
        <f t="shared" si="300"/>
        <v>0</v>
      </c>
      <c r="AB138" s="820">
        <f>SUM(AB139:AB143)</f>
        <v>4</v>
      </c>
      <c r="AD138" s="141">
        <f t="shared" si="301"/>
        <v>3.2380952380952385E-2</v>
      </c>
      <c r="AE138" s="736">
        <f>SUM(AE139:AE143)</f>
        <v>0</v>
      </c>
      <c r="AF138" s="736">
        <f>SUM(AF139:AF143)</f>
        <v>0</v>
      </c>
      <c r="AG138" s="736">
        <f>SUM(AG139:AG143)</f>
        <v>0</v>
      </c>
      <c r="AI138" s="763">
        <f>SUM(AI139:AI143)</f>
        <v>0</v>
      </c>
      <c r="AJ138" s="763">
        <f>SUM(AJ139:AJ143)</f>
        <v>0</v>
      </c>
      <c r="AK138" s="763">
        <f>SUM(AK139:AK143)</f>
        <v>0</v>
      </c>
      <c r="AL138" t="s">
        <v>223</v>
      </c>
      <c r="AM138" s="243"/>
      <c r="AN138" s="244"/>
      <c r="AO138" s="244"/>
      <c r="AP138" s="244"/>
      <c r="AQ138" s="245"/>
      <c r="AR138" s="114"/>
      <c r="AS138" s="243"/>
      <c r="AT138" s="244"/>
      <c r="AU138" s="244"/>
      <c r="AV138" s="244"/>
      <c r="AW138" s="245"/>
      <c r="AY138" s="137"/>
      <c r="AZ138" s="35"/>
      <c r="BA138" s="35"/>
      <c r="BB138" s="35"/>
      <c r="BC138" s="154"/>
      <c r="BD138" s="151">
        <f t="shared" si="336"/>
        <v>9</v>
      </c>
      <c r="BE138" s="37" t="str">
        <f t="shared" si="308"/>
        <v>N/A</v>
      </c>
      <c r="BF138" s="154"/>
      <c r="BG138" s="151">
        <f t="shared" si="337"/>
        <v>9</v>
      </c>
      <c r="BH138" s="37" t="str">
        <f t="shared" si="310"/>
        <v>N/A</v>
      </c>
      <c r="BI138" s="154"/>
      <c r="BJ138" s="151">
        <f t="shared" si="338"/>
        <v>9</v>
      </c>
      <c r="BK138" s="37" t="str">
        <f t="shared" si="311"/>
        <v>N/A</v>
      </c>
      <c r="BL138" s="154"/>
      <c r="BO138" s="35"/>
      <c r="BP138" s="35"/>
      <c r="BQ138" s="35" t="str">
        <f t="shared" si="157"/>
        <v/>
      </c>
      <c r="BR138" s="35">
        <f t="shared" si="198"/>
        <v>9</v>
      </c>
      <c r="BS138" s="35">
        <f t="shared" si="199"/>
        <v>9</v>
      </c>
      <c r="BT138" s="35">
        <f t="shared" si="200"/>
        <v>9</v>
      </c>
      <c r="BW138" s="35" t="str">
        <f>D138</f>
        <v>Mat 05</v>
      </c>
      <c r="BX138" s="35" t="str">
        <f>IFERROR(VLOOKUP($E138,'Pre-Assessment Estimator'!$E$11:$AB$227,'Pre-Assessment Estimator'!AB$2,FALSE),"")</f>
        <v>No</v>
      </c>
      <c r="BY138" s="53" t="str">
        <f>IFERROR(VLOOKUP($E138,'Pre-Assessment Estimator'!$E$11:$AI$227,'Pre-Assessment Estimator'!AI$2,FALSE),"")</f>
        <v>Ja</v>
      </c>
      <c r="BZ138" s="35">
        <f>IFERROR(VLOOKUP($BX138,$E$293:$H$326,F$291,FALSE),"")</f>
        <v>1</v>
      </c>
      <c r="CA138" s="529" t="s">
        <v>851</v>
      </c>
      <c r="CB138" s="35"/>
      <c r="CC138" t="str">
        <f>IFERROR(VLOOKUP($BX138,$E$293:$H$326,I$291,FALSE),"")</f>
        <v/>
      </c>
      <c r="CD138" t="s">
        <v>898</v>
      </c>
      <c r="CE138" s="35">
        <f>VLOOKUP(CA138,$CA$4:$CB$5,2,FALSE)</f>
        <v>1</v>
      </c>
      <c r="CG138" s="54">
        <f>IF($BX$5=ais_nei,CE138,IF(AND(CA138=$CA$4,BX138=$CC$4),0,BZ138))</f>
        <v>1</v>
      </c>
    </row>
    <row r="139" spans="1:85">
      <c r="A139">
        <v>131</v>
      </c>
      <c r="C139" t="str">
        <f t="shared" si="159"/>
        <v>Mat 05</v>
      </c>
      <c r="D139" s="137" t="s">
        <v>729</v>
      </c>
      <c r="E139" s="754" t="s">
        <v>783</v>
      </c>
      <c r="F139" s="607"/>
      <c r="G139" s="607"/>
      <c r="H139" s="607"/>
      <c r="I139" s="607"/>
      <c r="J139" s="607"/>
      <c r="K139" s="607"/>
      <c r="L139" s="607"/>
      <c r="M139" s="607"/>
      <c r="N139" s="607"/>
      <c r="O139" s="607"/>
      <c r="P139" s="607"/>
      <c r="Q139" s="607"/>
      <c r="R139" s="607"/>
      <c r="S139" s="518"/>
      <c r="T139" s="139">
        <f t="shared" si="298"/>
        <v>0</v>
      </c>
      <c r="U139" s="137"/>
      <c r="V139" s="35"/>
      <c r="W139" s="35"/>
      <c r="X139" s="35"/>
      <c r="Y139" s="138"/>
      <c r="Z139" s="138"/>
      <c r="AA139" s="139">
        <f t="shared" si="300"/>
        <v>0</v>
      </c>
      <c r="AB139" s="140">
        <f>IF($AC$5='Manuell filtrering og justering'!$J$2,Z139,(T139-AA139))</f>
        <v>0</v>
      </c>
      <c r="AD139" s="141">
        <f t="shared" si="301"/>
        <v>0</v>
      </c>
      <c r="AE139" s="141">
        <f t="shared" si="312"/>
        <v>0</v>
      </c>
      <c r="AF139" s="141">
        <f t="shared" si="313"/>
        <v>0</v>
      </c>
      <c r="AG139" s="141">
        <f t="shared" si="314"/>
        <v>0</v>
      </c>
      <c r="AI139" s="142">
        <f>IF(VLOOKUP(E139,'Pre-Assessment Estimator'!$E$11:$Z$227,'Pre-Assessment Estimator'!$G$2,FALSE)&gt;AB139,AB139,VLOOKUP(E139,'Pre-Assessment Estimator'!$E$11:$Z$227,'Pre-Assessment Estimator'!$G$2,FALSE))</f>
        <v>0</v>
      </c>
      <c r="AJ139" s="142">
        <f>IF(VLOOKUP(E139,'Pre-Assessment Estimator'!$E$11:$Z$227,'Pre-Assessment Estimator'!$N$2,FALSE)&gt;AB139,AB139,VLOOKUP(E139,'Pre-Assessment Estimator'!$E$11:$Z$227,'Pre-Assessment Estimator'!$N$2,FALSE))</f>
        <v>0</v>
      </c>
      <c r="AK139" s="142">
        <f>IF(VLOOKUP(E139,'Pre-Assessment Estimator'!$E$11:$Z$227,'Pre-Assessment Estimator'!$U$2,FALSE)&gt;AB139,AB139,VLOOKUP(E139,'Pre-Assessment Estimator'!$E$11:$Z$227,'Pre-Assessment Estimator'!$U$2,FALSE))</f>
        <v>0</v>
      </c>
      <c r="AM139" s="243"/>
      <c r="AN139" s="244"/>
      <c r="AO139" s="244"/>
      <c r="AP139" s="244"/>
      <c r="AQ139" s="245"/>
      <c r="AR139" s="114"/>
      <c r="AS139" s="243"/>
      <c r="AT139" s="244"/>
      <c r="AU139" s="244"/>
      <c r="AV139" s="244"/>
      <c r="AW139" s="245"/>
      <c r="AY139" s="137"/>
      <c r="AZ139" s="35"/>
      <c r="BA139" s="35"/>
      <c r="BB139" s="35"/>
      <c r="BC139" s="154"/>
      <c r="BD139" s="151">
        <f t="shared" si="336"/>
        <v>9</v>
      </c>
      <c r="BE139" s="37" t="str">
        <f t="shared" si="308"/>
        <v>N/A</v>
      </c>
      <c r="BF139" s="154"/>
      <c r="BG139" s="151">
        <f t="shared" si="337"/>
        <v>9</v>
      </c>
      <c r="BH139" s="37" t="str">
        <f t="shared" si="310"/>
        <v>N/A</v>
      </c>
      <c r="BI139" s="154"/>
      <c r="BJ139" s="151">
        <f t="shared" si="338"/>
        <v>9</v>
      </c>
      <c r="BK139" s="37" t="str">
        <f t="shared" si="311"/>
        <v>N/A</v>
      </c>
      <c r="BL139" s="154"/>
      <c r="BO139" s="35"/>
      <c r="BP139" s="35"/>
      <c r="BQ139" s="35" t="str">
        <f t="shared" ref="BQ139:BQ202" si="342">IF(BO139&lt;&gt;"",BO139,IF(BP139&lt;&gt;"",BP139,""))</f>
        <v/>
      </c>
      <c r="BR139" s="35">
        <f t="shared" si="198"/>
        <v>9</v>
      </c>
      <c r="BS139" s="35">
        <f t="shared" si="199"/>
        <v>9</v>
      </c>
      <c r="BT139" s="35">
        <f t="shared" si="200"/>
        <v>9</v>
      </c>
      <c r="BW139" s="35"/>
      <c r="BX139" s="35"/>
      <c r="BY139" s="53"/>
      <c r="BZ139" s="35"/>
      <c r="CA139" s="529"/>
      <c r="CB139" s="35"/>
      <c r="CG139" s="54"/>
    </row>
    <row r="140" spans="1:85">
      <c r="A140">
        <v>132</v>
      </c>
      <c r="B140" t="str">
        <f t="shared" ref="B140:B143" si="343">$D$138&amp;D140</f>
        <v>Mat 05b</v>
      </c>
      <c r="C140" t="str">
        <f t="shared" ref="C140:C203" si="344">C139</f>
        <v>Mat 05</v>
      </c>
      <c r="D140" s="137" t="s">
        <v>730</v>
      </c>
      <c r="E140" s="871" t="s">
        <v>648</v>
      </c>
      <c r="F140" s="607">
        <v>1</v>
      </c>
      <c r="G140" s="607">
        <v>1</v>
      </c>
      <c r="H140" s="607">
        <v>1</v>
      </c>
      <c r="I140" s="607">
        <v>1</v>
      </c>
      <c r="J140" s="607">
        <v>1</v>
      </c>
      <c r="K140" s="607">
        <v>1</v>
      </c>
      <c r="L140" s="607">
        <v>1</v>
      </c>
      <c r="M140" s="607">
        <v>1</v>
      </c>
      <c r="N140" s="607">
        <v>1</v>
      </c>
      <c r="O140" s="607">
        <v>1</v>
      </c>
      <c r="P140" s="607">
        <v>1</v>
      </c>
      <c r="Q140" s="607">
        <v>1</v>
      </c>
      <c r="R140" s="607">
        <v>1</v>
      </c>
      <c r="S140" s="518"/>
      <c r="T140" s="139">
        <f t="shared" si="298"/>
        <v>1</v>
      </c>
      <c r="U140" s="137"/>
      <c r="V140" s="35"/>
      <c r="W140" s="35"/>
      <c r="X140" s="35"/>
      <c r="Y140" s="138"/>
      <c r="Z140" s="138">
        <f>VLOOKUP(B140,'Manuell filtrering og justering'!$A$7:$H$253,'Manuell filtrering og justering'!$H$1,FALSE)</f>
        <v>1</v>
      </c>
      <c r="AA140" s="139">
        <f t="shared" si="300"/>
        <v>0</v>
      </c>
      <c r="AB140" s="140">
        <f>IF($AC$5='Manuell filtrering og justering'!$J$2,Z140,(T140-AA140))</f>
        <v>1</v>
      </c>
      <c r="AD140" s="141">
        <f t="shared" si="301"/>
        <v>8.0952380952380963E-3</v>
      </c>
      <c r="AE140" s="141">
        <f t="shared" si="312"/>
        <v>0</v>
      </c>
      <c r="AF140" s="141">
        <f t="shared" si="313"/>
        <v>0</v>
      </c>
      <c r="AG140" s="141">
        <f t="shared" si="314"/>
        <v>0</v>
      </c>
      <c r="AI140" s="821">
        <f>IF(AI241=AD_no,0,IF(VLOOKUP(E140,'Pre-Assessment Estimator'!$E$11:$Z$227,'Pre-Assessment Estimator'!$G$2,FALSE)&gt;AB140,AB140,VLOOKUP(E140,'Pre-Assessment Estimator'!$E$11:$Z$227,'Pre-Assessment Estimator'!$G$2,FALSE)))</f>
        <v>0</v>
      </c>
      <c r="AJ140" s="821">
        <f>IF(AJ241=AD_no,0,IF(VLOOKUP(E140,'Pre-Assessment Estimator'!$E$11:$Z$227,'Pre-Assessment Estimator'!$N$2,FALSE)&gt;AB140,AB140,VLOOKUP(E140,'Pre-Assessment Estimator'!$E$11:$Z$227,'Pre-Assessment Estimator'!$N$2,FALSE)))</f>
        <v>0</v>
      </c>
      <c r="AK140" s="821">
        <f>IF(AK241=AD_no,0,IF(VLOOKUP(E140,'Pre-Assessment Estimator'!$E$11:$Z$227,'Pre-Assessment Estimator'!$U$2,FALSE)&gt;AB140,AB140,VLOOKUP(E140,'Pre-Assessment Estimator'!$E$11:$Z$227,'Pre-Assessment Estimator'!$U$2,FALSE)))</f>
        <v>0</v>
      </c>
      <c r="AM140" s="243"/>
      <c r="AN140" s="244"/>
      <c r="AO140" s="244"/>
      <c r="AP140" s="244"/>
      <c r="AQ140" s="245"/>
      <c r="AR140" s="114"/>
      <c r="AS140" s="243"/>
      <c r="AT140" s="244"/>
      <c r="AU140" s="244"/>
      <c r="AV140" s="244"/>
      <c r="AW140" s="245"/>
      <c r="AY140" s="137"/>
      <c r="AZ140" s="35"/>
      <c r="BA140" s="35"/>
      <c r="BB140" s="35"/>
      <c r="BC140" s="154"/>
      <c r="BD140" s="151">
        <f t="shared" si="336"/>
        <v>9</v>
      </c>
      <c r="BE140" s="37" t="str">
        <f t="shared" si="308"/>
        <v>N/A</v>
      </c>
      <c r="BF140" s="154"/>
      <c r="BG140" s="151">
        <f t="shared" si="337"/>
        <v>9</v>
      </c>
      <c r="BH140" s="37" t="str">
        <f t="shared" si="310"/>
        <v>N/A</v>
      </c>
      <c r="BI140" s="154"/>
      <c r="BJ140" s="151">
        <f t="shared" si="338"/>
        <v>9</v>
      </c>
      <c r="BK140" s="37" t="str">
        <f t="shared" si="311"/>
        <v>N/A</v>
      </c>
      <c r="BL140" s="154"/>
      <c r="BO140" s="35"/>
      <c r="BP140" s="35"/>
      <c r="BQ140" s="35" t="str">
        <f t="shared" si="342"/>
        <v/>
      </c>
      <c r="BR140" s="35">
        <f t="shared" si="198"/>
        <v>9</v>
      </c>
      <c r="BS140" s="35">
        <f t="shared" si="199"/>
        <v>9</v>
      </c>
      <c r="BT140" s="35">
        <f t="shared" si="200"/>
        <v>9</v>
      </c>
      <c r="BW140" s="35"/>
      <c r="BX140" s="35"/>
      <c r="BY140" s="53"/>
      <c r="BZ140" s="35"/>
      <c r="CA140" s="529"/>
      <c r="CB140" s="35"/>
      <c r="CG140" s="54"/>
    </row>
    <row r="141" spans="1:85">
      <c r="A141">
        <v>133</v>
      </c>
      <c r="B141" t="str">
        <f t="shared" si="343"/>
        <v>Mat 05c</v>
      </c>
      <c r="C141" t="str">
        <f t="shared" si="344"/>
        <v>Mat 05</v>
      </c>
      <c r="D141" s="137" t="s">
        <v>731</v>
      </c>
      <c r="E141" s="871" t="s">
        <v>649</v>
      </c>
      <c r="F141" s="607">
        <v>1</v>
      </c>
      <c r="G141" s="607">
        <v>1</v>
      </c>
      <c r="H141" s="607">
        <v>1</v>
      </c>
      <c r="I141" s="607">
        <v>1</v>
      </c>
      <c r="J141" s="607">
        <v>1</v>
      </c>
      <c r="K141" s="607">
        <v>1</v>
      </c>
      <c r="L141" s="607">
        <v>1</v>
      </c>
      <c r="M141" s="607">
        <v>1</v>
      </c>
      <c r="N141" s="607">
        <v>1</v>
      </c>
      <c r="O141" s="607">
        <v>1</v>
      </c>
      <c r="P141" s="607">
        <v>1</v>
      </c>
      <c r="Q141" s="607">
        <v>1</v>
      </c>
      <c r="R141" s="607">
        <v>1</v>
      </c>
      <c r="S141" s="518"/>
      <c r="T141" s="139">
        <f t="shared" si="298"/>
        <v>1</v>
      </c>
      <c r="U141" s="137"/>
      <c r="V141" s="35"/>
      <c r="W141" s="35"/>
      <c r="X141" s="35"/>
      <c r="Y141" s="138"/>
      <c r="Z141" s="138">
        <f>VLOOKUP(B141,'Manuell filtrering og justering'!$A$7:$H$253,'Manuell filtrering og justering'!$H$1,FALSE)</f>
        <v>1</v>
      </c>
      <c r="AA141" s="139">
        <f t="shared" si="300"/>
        <v>0</v>
      </c>
      <c r="AB141" s="140">
        <f>IF($AC$5='Manuell filtrering og justering'!$J$2,Z141,(T141-AA141))</f>
        <v>1</v>
      </c>
      <c r="AD141" s="141">
        <f t="shared" si="301"/>
        <v>8.0952380952380963E-3</v>
      </c>
      <c r="AE141" s="141">
        <f t="shared" si="312"/>
        <v>0</v>
      </c>
      <c r="AF141" s="141">
        <f t="shared" si="313"/>
        <v>0</v>
      </c>
      <c r="AG141" s="141">
        <f t="shared" si="314"/>
        <v>0</v>
      </c>
      <c r="AI141" s="821">
        <f>IF(AI241=AD_no,0,IF(VLOOKUP(E141,'Pre-Assessment Estimator'!$E$11:$Z$227,'Pre-Assessment Estimator'!$G$2,FALSE)&gt;AB141,AB141,VLOOKUP(E141,'Pre-Assessment Estimator'!$E$11:$Z$227,'Pre-Assessment Estimator'!$G$2,FALSE)))</f>
        <v>0</v>
      </c>
      <c r="AJ141" s="821">
        <f>IF(AJ241=AD_no,0,IF(VLOOKUP(E141,'Pre-Assessment Estimator'!$E$11:$Z$227,'Pre-Assessment Estimator'!$N$2,FALSE)&gt;AB141,AB141,VLOOKUP(E141,'Pre-Assessment Estimator'!$E$11:$Z$227,'Pre-Assessment Estimator'!$N$2,FALSE)))</f>
        <v>0</v>
      </c>
      <c r="AK141" s="821">
        <f>IF(AK241=AD_no,0,IF(VLOOKUP(E141,'Pre-Assessment Estimator'!$E$11:$Z$227,'Pre-Assessment Estimator'!$U$2,FALSE)&gt;AB141,AB141,VLOOKUP(E141,'Pre-Assessment Estimator'!$E$11:$Z$227,'Pre-Assessment Estimator'!$U$2,FALSE)))</f>
        <v>0</v>
      </c>
      <c r="AM141" s="243"/>
      <c r="AN141" s="244"/>
      <c r="AO141" s="244"/>
      <c r="AP141" s="244"/>
      <c r="AQ141" s="245"/>
      <c r="AR141" s="114"/>
      <c r="AS141" s="243"/>
      <c r="AT141" s="244"/>
      <c r="AU141" s="244"/>
      <c r="AV141" s="244"/>
      <c r="AW141" s="245"/>
      <c r="AY141" s="137"/>
      <c r="AZ141" s="35"/>
      <c r="BA141" s="35"/>
      <c r="BB141" s="35"/>
      <c r="BC141" s="154"/>
      <c r="BD141" s="151">
        <f t="shared" si="336"/>
        <v>9</v>
      </c>
      <c r="BE141" s="37" t="str">
        <f t="shared" si="308"/>
        <v>N/A</v>
      </c>
      <c r="BF141" s="154"/>
      <c r="BG141" s="151">
        <f t="shared" si="337"/>
        <v>9</v>
      </c>
      <c r="BH141" s="37" t="str">
        <f t="shared" si="310"/>
        <v>N/A</v>
      </c>
      <c r="BI141" s="154"/>
      <c r="BJ141" s="151">
        <f t="shared" si="338"/>
        <v>9</v>
      </c>
      <c r="BK141" s="37" t="str">
        <f t="shared" si="311"/>
        <v>N/A</v>
      </c>
      <c r="BL141" s="154"/>
      <c r="BO141" s="35"/>
      <c r="BP141" s="35"/>
      <c r="BQ141" s="35" t="str">
        <f t="shared" si="342"/>
        <v/>
      </c>
      <c r="BR141" s="35">
        <f t="shared" si="198"/>
        <v>9</v>
      </c>
      <c r="BS141" s="35">
        <f t="shared" si="199"/>
        <v>9</v>
      </c>
      <c r="BT141" s="35">
        <f t="shared" si="200"/>
        <v>9</v>
      </c>
      <c r="BW141" s="35"/>
      <c r="BX141" s="35"/>
      <c r="BY141" s="53"/>
      <c r="BZ141" s="35"/>
      <c r="CA141" s="529"/>
      <c r="CB141" s="35"/>
      <c r="CG141" s="54"/>
    </row>
    <row r="142" spans="1:85">
      <c r="A142">
        <v>134</v>
      </c>
      <c r="B142" t="str">
        <f t="shared" si="343"/>
        <v>Mat 05d</v>
      </c>
      <c r="C142" t="str">
        <f t="shared" si="344"/>
        <v>Mat 05</v>
      </c>
      <c r="D142" s="137" t="s">
        <v>732</v>
      </c>
      <c r="E142" s="871" t="s">
        <v>911</v>
      </c>
      <c r="F142" s="607">
        <v>1</v>
      </c>
      <c r="G142" s="607">
        <v>1</v>
      </c>
      <c r="H142" s="607">
        <v>1</v>
      </c>
      <c r="I142" s="607">
        <v>1</v>
      </c>
      <c r="J142" s="607">
        <v>1</v>
      </c>
      <c r="K142" s="607">
        <v>1</v>
      </c>
      <c r="L142" s="607">
        <v>1</v>
      </c>
      <c r="M142" s="607">
        <v>1</v>
      </c>
      <c r="N142" s="607">
        <v>1</v>
      </c>
      <c r="O142" s="607">
        <v>1</v>
      </c>
      <c r="P142" s="607">
        <v>1</v>
      </c>
      <c r="Q142" s="607">
        <v>1</v>
      </c>
      <c r="R142" s="607">
        <v>1</v>
      </c>
      <c r="S142" s="518"/>
      <c r="T142" s="139">
        <f t="shared" si="298"/>
        <v>1</v>
      </c>
      <c r="U142" s="137"/>
      <c r="V142" s="35"/>
      <c r="W142" s="35"/>
      <c r="X142" s="35"/>
      <c r="Y142" s="138"/>
      <c r="Z142" s="138">
        <f>VLOOKUP(B142,'Manuell filtrering og justering'!$A$7:$H$253,'Manuell filtrering og justering'!$H$1,FALSE)</f>
        <v>1</v>
      </c>
      <c r="AA142" s="139">
        <f t="shared" si="300"/>
        <v>0</v>
      </c>
      <c r="AB142" s="140">
        <f>IF($AC$5='Manuell filtrering og justering'!$J$2,Z142,(T142-AA142))</f>
        <v>1</v>
      </c>
      <c r="AD142" s="141">
        <f t="shared" si="301"/>
        <v>8.0952380952380963E-3</v>
      </c>
      <c r="AE142" s="141">
        <f t="shared" si="312"/>
        <v>0</v>
      </c>
      <c r="AF142" s="141">
        <f t="shared" si="313"/>
        <v>0</v>
      </c>
      <c r="AG142" s="141">
        <f t="shared" si="314"/>
        <v>0</v>
      </c>
      <c r="AI142" s="821">
        <f>IF(OR(AI241=0,AI241=AD_no),0,IF(VLOOKUP(E142,'Pre-Assessment Estimator'!$E$11:$Z$227,'Pre-Assessment Estimator'!$G$2,FALSE)&gt;AB142,AB142,VLOOKUP(E142,'Pre-Assessment Estimator'!$E$11:$Z$227,'Pre-Assessment Estimator'!$G$2,FALSE)))</f>
        <v>0</v>
      </c>
      <c r="AJ142" s="821">
        <f>IF(OR(AJ241=0,AJ241=AD_no),0,IF(VLOOKUP(E142,'Pre-Assessment Estimator'!$E$11:$Z$227,'Pre-Assessment Estimator'!$N$2,FALSE)&gt;AB142,AB142,VLOOKUP(E142,'Pre-Assessment Estimator'!$E$11:$Z$227,'Pre-Assessment Estimator'!$N$2,FALSE)))</f>
        <v>0</v>
      </c>
      <c r="AK142" s="821">
        <f>IF(OR(AK241=0,AK241=AD_no),0,IF(VLOOKUP(E142,'Pre-Assessment Estimator'!$E$11:$Z$227,'Pre-Assessment Estimator'!$U$2,FALSE)&gt;AB142,AB142,VLOOKUP(E142,'Pre-Assessment Estimator'!$E$11:$Z$227,'Pre-Assessment Estimator'!$U$2,FALSE)))</f>
        <v>0</v>
      </c>
      <c r="AM142" s="924">
        <v>1</v>
      </c>
      <c r="AN142" s="921">
        <v>1</v>
      </c>
      <c r="AO142" s="921">
        <v>1</v>
      </c>
      <c r="AP142" s="244">
        <v>1</v>
      </c>
      <c r="AQ142" s="245">
        <v>1</v>
      </c>
      <c r="AR142" s="114"/>
      <c r="AS142" s="924">
        <v>1</v>
      </c>
      <c r="AT142" s="921">
        <v>1</v>
      </c>
      <c r="AU142" s="921">
        <v>1</v>
      </c>
      <c r="AV142" s="244">
        <v>1</v>
      </c>
      <c r="AW142" s="245">
        <v>1</v>
      </c>
      <c r="AY142" s="137"/>
      <c r="AZ142" s="35"/>
      <c r="BA142" s="35"/>
      <c r="BB142" s="152">
        <f>IF($AB142=0,0,IF($E$6=$H$9,AV142,AP142))</f>
        <v>1</v>
      </c>
      <c r="BC142" s="152">
        <f>IF($AB142=0,0,IF($E$6=$H$9,AW142,AQ142))</f>
        <v>1</v>
      </c>
      <c r="BD142" s="151">
        <f t="shared" si="336"/>
        <v>3</v>
      </c>
      <c r="BE142" s="37" t="str">
        <f t="shared" si="308"/>
        <v>Very Good</v>
      </c>
      <c r="BF142" s="154"/>
      <c r="BG142" s="151">
        <f t="shared" si="337"/>
        <v>3</v>
      </c>
      <c r="BH142" s="37" t="str">
        <f t="shared" si="310"/>
        <v>Very Good</v>
      </c>
      <c r="BI142" s="154"/>
      <c r="BJ142" s="151">
        <f t="shared" si="338"/>
        <v>3</v>
      </c>
      <c r="BK142" s="37" t="str">
        <f t="shared" si="311"/>
        <v>Very Good</v>
      </c>
      <c r="BL142" s="154"/>
      <c r="BO142" s="35"/>
      <c r="BP142" s="35"/>
      <c r="BQ142" s="35" t="str">
        <f t="shared" si="342"/>
        <v/>
      </c>
      <c r="BR142" s="35">
        <f t="shared" si="198"/>
        <v>9</v>
      </c>
      <c r="BS142" s="35">
        <f t="shared" si="199"/>
        <v>9</v>
      </c>
      <c r="BT142" s="35">
        <f t="shared" si="200"/>
        <v>9</v>
      </c>
      <c r="BW142" s="35"/>
      <c r="BX142" s="35"/>
      <c r="BY142" s="53"/>
      <c r="BZ142" s="35"/>
      <c r="CA142" s="529"/>
      <c r="CB142" s="35"/>
      <c r="CG142" s="54"/>
    </row>
    <row r="143" spans="1:85">
      <c r="A143">
        <v>135</v>
      </c>
      <c r="B143" t="str">
        <f t="shared" si="343"/>
        <v>Mat 05e</v>
      </c>
      <c r="C143" t="str">
        <f t="shared" si="344"/>
        <v>Mat 05</v>
      </c>
      <c r="D143" s="137" t="s">
        <v>733</v>
      </c>
      <c r="E143" s="871" t="s">
        <v>912</v>
      </c>
      <c r="F143" s="607">
        <v>1</v>
      </c>
      <c r="G143" s="607">
        <v>1</v>
      </c>
      <c r="H143" s="607">
        <v>1</v>
      </c>
      <c r="I143" s="607">
        <v>1</v>
      </c>
      <c r="J143" s="607">
        <v>1</v>
      </c>
      <c r="K143" s="607">
        <v>1</v>
      </c>
      <c r="L143" s="607">
        <v>1</v>
      </c>
      <c r="M143" s="607">
        <v>1</v>
      </c>
      <c r="N143" s="607">
        <v>1</v>
      </c>
      <c r="O143" s="607">
        <v>1</v>
      </c>
      <c r="P143" s="607">
        <v>1</v>
      </c>
      <c r="Q143" s="607">
        <v>1</v>
      </c>
      <c r="R143" s="607">
        <v>1</v>
      </c>
      <c r="S143" s="518"/>
      <c r="T143" s="139">
        <f t="shared" si="298"/>
        <v>1</v>
      </c>
      <c r="U143" s="137"/>
      <c r="V143" s="35"/>
      <c r="W143" s="35"/>
      <c r="X143" s="35"/>
      <c r="Y143" s="138"/>
      <c r="Z143" s="138">
        <f>VLOOKUP(B143,'Manuell filtrering og justering'!$A$7:$H$253,'Manuell filtrering og justering'!$H$1,FALSE)</f>
        <v>1</v>
      </c>
      <c r="AA143" s="139">
        <f t="shared" si="300"/>
        <v>0</v>
      </c>
      <c r="AB143" s="140">
        <f>IF($AC$5='Manuell filtrering og justering'!$J$2,Z143,(T143-AA143))</f>
        <v>1</v>
      </c>
      <c r="AD143" s="141">
        <f t="shared" si="301"/>
        <v>8.0952380952380963E-3</v>
      </c>
      <c r="AE143" s="141">
        <f t="shared" ref="AE143" si="345">IF(AB143=0,0,(AD143/AB143)*AI143)</f>
        <v>0</v>
      </c>
      <c r="AF143" s="141">
        <f t="shared" ref="AF143" si="346">IF(AB143=0,0,(AD143/AB143)*AJ143)</f>
        <v>0</v>
      </c>
      <c r="AG143" s="141">
        <f t="shared" ref="AG143" si="347">IF(AB143=0,0,(AD143/AB143)*AK143)</f>
        <v>0</v>
      </c>
      <c r="AI143" s="821">
        <f>IF(AI241=AD_no,0,IF(VLOOKUP(E143,'Pre-Assessment Estimator'!$E$11:$Z$227,'Pre-Assessment Estimator'!$G$2,FALSE)&gt;AB143,AB143,VLOOKUP(E143,'Pre-Assessment Estimator'!$E$11:$Z$227,'Pre-Assessment Estimator'!$G$2,FALSE)))</f>
        <v>0</v>
      </c>
      <c r="AJ143" s="821">
        <f>IF(AJ241=AD_no,0,IF(VLOOKUP(E143,'Pre-Assessment Estimator'!$E$11:$Z$227,'Pre-Assessment Estimator'!$N$2,FALSE)&gt;AB143,AB143,VLOOKUP(E143,'Pre-Assessment Estimator'!$E$11:$Z$227,'Pre-Assessment Estimator'!$N$2,FALSE)))</f>
        <v>0</v>
      </c>
      <c r="AK143" s="821">
        <f>IF(AK241=AD_no,0,IF(VLOOKUP(E143,'Pre-Assessment Estimator'!$E$11:$Z$227,'Pre-Assessment Estimator'!$U$2,FALSE)&gt;AB143,AB143,VLOOKUP(E143,'Pre-Assessment Estimator'!$E$11:$Z$227,'Pre-Assessment Estimator'!$U$2,FALSE)))</f>
        <v>0</v>
      </c>
      <c r="AM143" s="243"/>
      <c r="AN143" s="244"/>
      <c r="AO143" s="244"/>
      <c r="AP143" s="244"/>
      <c r="AQ143" s="245"/>
      <c r="AR143" s="114"/>
      <c r="AS143" s="243"/>
      <c r="AT143" s="244"/>
      <c r="AU143" s="244"/>
      <c r="AV143" s="244"/>
      <c r="AW143" s="245"/>
      <c r="AY143" s="137"/>
      <c r="AZ143" s="35"/>
      <c r="BA143" s="35"/>
      <c r="BB143" s="35"/>
      <c r="BC143" s="154"/>
      <c r="BD143" s="151">
        <f t="shared" ref="BD143" si="348">IF(BC143=0,9,IF(AI143&gt;=BC143,5,IF(AI143&gt;=BB143,4,IF(AI143&gt;=BA143,3,IF(AI143&gt;=AZ143,2,IF(AI143&lt;AY143,0,1))))))</f>
        <v>9</v>
      </c>
      <c r="BE143" s="37" t="str">
        <f t="shared" si="308"/>
        <v>N/A</v>
      </c>
      <c r="BF143" s="154"/>
      <c r="BG143" s="151">
        <f t="shared" ref="BG143" si="349">IF(BC143=0,9,IF(AJ143&gt;=BC143,5,IF(AJ143&gt;=BB143,4,IF(AJ143&gt;=BA143,3,IF(AJ143&gt;=AZ143,2,IF(AJ143&lt;AY143,0,1))))))</f>
        <v>9</v>
      </c>
      <c r="BH143" s="37" t="str">
        <f t="shared" si="310"/>
        <v>N/A</v>
      </c>
      <c r="BI143" s="154"/>
      <c r="BJ143" s="151">
        <f t="shared" ref="BJ143" si="350">IF(BC143=0,9,IF(AK143&gt;=BC143,5,IF(AK143&gt;=BB143,4,IF(AK143&gt;=BA143,3,IF(AK143&gt;=AZ143,2,IF(AK143&lt;AY143,0,1))))))</f>
        <v>9</v>
      </c>
      <c r="BK143" s="37" t="str">
        <f t="shared" si="311"/>
        <v>N/A</v>
      </c>
      <c r="BL143" s="154"/>
      <c r="BO143" s="35"/>
      <c r="BP143" s="35"/>
      <c r="BQ143" s="35" t="str">
        <f t="shared" si="342"/>
        <v/>
      </c>
      <c r="BR143" s="35">
        <f t="shared" si="198"/>
        <v>9</v>
      </c>
      <c r="BS143" s="35">
        <f t="shared" si="199"/>
        <v>9</v>
      </c>
      <c r="BT143" s="35">
        <f t="shared" si="200"/>
        <v>9</v>
      </c>
      <c r="BW143" s="35"/>
      <c r="BX143" s="35"/>
      <c r="BY143" s="53"/>
      <c r="BZ143" s="35"/>
      <c r="CA143" s="529"/>
      <c r="CB143" s="35"/>
      <c r="CG143" s="54"/>
    </row>
    <row r="144" spans="1:85">
      <c r="A144">
        <v>136</v>
      </c>
      <c r="B144" s="112" t="str">
        <f>D144</f>
        <v>Mat 06</v>
      </c>
      <c r="C144" s="112" t="str">
        <f>B144</f>
        <v>Mat 06</v>
      </c>
      <c r="D144" s="663" t="s">
        <v>431</v>
      </c>
      <c r="E144" s="661" t="s">
        <v>787</v>
      </c>
      <c r="F144" s="748">
        <f>SUM(F145:F147)</f>
        <v>3</v>
      </c>
      <c r="G144" s="748">
        <f t="shared" ref="G144:R144" si="351">SUM(G145:G147)</f>
        <v>3</v>
      </c>
      <c r="H144" s="748">
        <f t="shared" si="351"/>
        <v>3</v>
      </c>
      <c r="I144" s="748">
        <f t="shared" si="351"/>
        <v>3</v>
      </c>
      <c r="J144" s="748">
        <f t="shared" si="351"/>
        <v>3</v>
      </c>
      <c r="K144" s="748">
        <f t="shared" si="351"/>
        <v>3</v>
      </c>
      <c r="L144" s="748">
        <f t="shared" si="351"/>
        <v>3</v>
      </c>
      <c r="M144" s="748">
        <f t="shared" si="351"/>
        <v>3</v>
      </c>
      <c r="N144" s="748">
        <f t="shared" si="351"/>
        <v>3</v>
      </c>
      <c r="O144" s="748">
        <f t="shared" si="351"/>
        <v>3</v>
      </c>
      <c r="P144" s="748">
        <f t="shared" si="351"/>
        <v>3</v>
      </c>
      <c r="Q144" s="748">
        <f t="shared" ref="Q144" si="352">SUM(Q145:Q147)</f>
        <v>3</v>
      </c>
      <c r="R144" s="748">
        <f t="shared" si="351"/>
        <v>3</v>
      </c>
      <c r="S144" s="112"/>
      <c r="T144" s="768">
        <f t="shared" si="298"/>
        <v>3</v>
      </c>
      <c r="U144" s="182">
        <f>U145</f>
        <v>0</v>
      </c>
      <c r="V144" s="53"/>
      <c r="W144" s="53"/>
      <c r="X144" s="53">
        <f>'Manuell filtrering og justering'!E63</f>
        <v>0</v>
      </c>
      <c r="Y144" s="53"/>
      <c r="Z144" s="763">
        <f t="shared" ref="Z144" si="353">SUM(Z145:Z147)</f>
        <v>3</v>
      </c>
      <c r="AA144" s="768">
        <f t="shared" si="300"/>
        <v>0</v>
      </c>
      <c r="AB144" s="820">
        <f>SUM(AB145:AB147)</f>
        <v>3</v>
      </c>
      <c r="AD144" s="141">
        <f t="shared" si="301"/>
        <v>2.4285714285714289E-2</v>
      </c>
      <c r="AE144" s="736">
        <f>SUM(AE145:AE147)</f>
        <v>0</v>
      </c>
      <c r="AF144" s="736">
        <f t="shared" ref="AF144" si="354">SUM(AF145:AF147)</f>
        <v>0</v>
      </c>
      <c r="AG144" s="736">
        <f t="shared" ref="AG144" si="355">SUM(AG145:AG147)</f>
        <v>0</v>
      </c>
      <c r="AI144" s="763">
        <f t="shared" ref="AI144" si="356">SUM(AI145:AI147)</f>
        <v>0</v>
      </c>
      <c r="AJ144" s="763">
        <f t="shared" ref="AJ144" si="357">SUM(AJ145:AJ147)</f>
        <v>0</v>
      </c>
      <c r="AK144" s="763">
        <f t="shared" ref="AK144" si="358">SUM(AK145:AK147)</f>
        <v>0</v>
      </c>
      <c r="AM144" s="243"/>
      <c r="AN144" s="244"/>
      <c r="AO144" s="244"/>
      <c r="AP144" s="244"/>
      <c r="AQ144" s="245"/>
      <c r="AR144" s="114"/>
      <c r="AS144" s="243"/>
      <c r="AT144" s="244"/>
      <c r="AU144" s="244"/>
      <c r="AV144" s="244"/>
      <c r="AW144" s="245"/>
      <c r="AY144" s="137"/>
      <c r="AZ144" s="35"/>
      <c r="BA144" s="35"/>
      <c r="BB144" s="35"/>
      <c r="BC144" s="154"/>
      <c r="BD144" s="151">
        <f t="shared" si="336"/>
        <v>9</v>
      </c>
      <c r="BE144" s="37" t="str">
        <f t="shared" si="308"/>
        <v>N/A</v>
      </c>
      <c r="BF144" s="154"/>
      <c r="BG144" s="151">
        <f t="shared" si="337"/>
        <v>9</v>
      </c>
      <c r="BH144" s="37" t="str">
        <f t="shared" si="310"/>
        <v>N/A</v>
      </c>
      <c r="BI144" s="154"/>
      <c r="BJ144" s="151">
        <f t="shared" si="338"/>
        <v>9</v>
      </c>
      <c r="BK144" s="37" t="str">
        <f t="shared" si="311"/>
        <v>N/A</v>
      </c>
      <c r="BL144" s="154"/>
      <c r="BO144" s="35"/>
      <c r="BP144" s="35"/>
      <c r="BQ144" s="35" t="str">
        <f t="shared" si="342"/>
        <v/>
      </c>
      <c r="BR144" s="35">
        <f t="shared" si="198"/>
        <v>9</v>
      </c>
      <c r="BS144" s="35">
        <f t="shared" si="199"/>
        <v>9</v>
      </c>
      <c r="BT144" s="35">
        <f t="shared" si="200"/>
        <v>9</v>
      </c>
      <c r="BW144" s="239" t="str">
        <f>D144</f>
        <v>Mat 06</v>
      </c>
      <c r="BX144" s="239">
        <f>IFERROR(VLOOKUP($E144,'Pre-Assessment Estimator'!$E$11:$AB$227,'Pre-Assessment Estimator'!AB$2,FALSE),"")</f>
        <v>0</v>
      </c>
      <c r="BY144" s="239">
        <f>IFERROR(VLOOKUP($E144,'Pre-Assessment Estimator'!$E$11:$AI$227,'Pre-Assessment Estimator'!AI$2,FALSE),"")</f>
        <v>0</v>
      </c>
      <c r="BZ144" s="239" t="str">
        <f>IFERROR(VLOOKUP($BX144,$E$293:$H$326,F$291,FALSE),"")</f>
        <v/>
      </c>
      <c r="CA144" s="239" t="str">
        <f>IFERROR(VLOOKUP($BX144,$E$293:$H$326,G$291,FALSE),"")</f>
        <v/>
      </c>
      <c r="CB144" s="239"/>
      <c r="CC144" t="str">
        <f>IFERROR(VLOOKUP($BX144,$E$293:$H$326,I$291,FALSE),"")</f>
        <v/>
      </c>
    </row>
    <row r="145" spans="1:81">
      <c r="A145">
        <v>137</v>
      </c>
      <c r="B145" t="str">
        <f t="shared" ref="B145:B147" si="359">$D$144&amp;D145</f>
        <v>Mat 06a</v>
      </c>
      <c r="C145" t="str">
        <f t="shared" si="344"/>
        <v>Mat 06</v>
      </c>
      <c r="D145" s="137" t="s">
        <v>729</v>
      </c>
      <c r="E145" s="976" t="s">
        <v>913</v>
      </c>
      <c r="F145" s="607">
        <v>1</v>
      </c>
      <c r="G145" s="607">
        <v>1</v>
      </c>
      <c r="H145" s="607">
        <v>1</v>
      </c>
      <c r="I145" s="607">
        <v>1</v>
      </c>
      <c r="J145" s="607">
        <v>1</v>
      </c>
      <c r="K145" s="607">
        <v>1</v>
      </c>
      <c r="L145" s="607">
        <v>1</v>
      </c>
      <c r="M145" s="607">
        <v>1</v>
      </c>
      <c r="N145" s="607">
        <v>1</v>
      </c>
      <c r="O145" s="607">
        <v>1</v>
      </c>
      <c r="P145" s="607">
        <v>1</v>
      </c>
      <c r="Q145" s="607">
        <v>1</v>
      </c>
      <c r="R145" s="607">
        <v>1</v>
      </c>
      <c r="S145" s="112"/>
      <c r="T145" s="139">
        <f t="shared" si="298"/>
        <v>1</v>
      </c>
      <c r="U145" s="158">
        <f>IF('Assessment Details'!F26=AD_no,Poeng!T145,0)</f>
        <v>0</v>
      </c>
      <c r="V145" s="40"/>
      <c r="W145" s="40"/>
      <c r="X145" s="35"/>
      <c r="Y145" s="138"/>
      <c r="Z145" s="138">
        <f>VLOOKUP(B145,'Manuell filtrering og justering'!$A$7:$H$253,'Manuell filtrering og justering'!$H$1,FALSE)</f>
        <v>1</v>
      </c>
      <c r="AA145" s="139">
        <f t="shared" si="300"/>
        <v>0</v>
      </c>
      <c r="AB145" s="140">
        <f>IF($AC$5='Manuell filtrering og justering'!$J$2,Z145,(T145-AA145))</f>
        <v>1</v>
      </c>
      <c r="AD145" s="141">
        <f t="shared" si="301"/>
        <v>8.0952380952380963E-3</v>
      </c>
      <c r="AE145" s="141">
        <f t="shared" si="312"/>
        <v>0</v>
      </c>
      <c r="AF145" s="141">
        <f t="shared" si="313"/>
        <v>0</v>
      </c>
      <c r="AG145" s="141">
        <f t="shared" si="314"/>
        <v>0</v>
      </c>
      <c r="AI145" s="142">
        <f>IF(VLOOKUP(E145,'Pre-Assessment Estimator'!$E$11:$Z$227,'Pre-Assessment Estimator'!$G$2,FALSE)&gt;AB145,AB145,VLOOKUP(E145,'Pre-Assessment Estimator'!$E$11:$Z$227,'Pre-Assessment Estimator'!$G$2,FALSE))</f>
        <v>0</v>
      </c>
      <c r="AJ145" s="142">
        <f>IF(VLOOKUP(E145,'Pre-Assessment Estimator'!$E$11:$Z$227,'Pre-Assessment Estimator'!$N$2,FALSE)&gt;AB145,AB145,VLOOKUP(E145,'Pre-Assessment Estimator'!$E$11:$Z$227,'Pre-Assessment Estimator'!$N$2,FALSE))</f>
        <v>0</v>
      </c>
      <c r="AK145" s="142">
        <f>IF(VLOOKUP(E145,'Pre-Assessment Estimator'!$E$11:$Z$227,'Pre-Assessment Estimator'!$U$2,FALSE)&gt;AB145,AB145,VLOOKUP(E145,'Pre-Assessment Estimator'!$E$11:$Z$227,'Pre-Assessment Estimator'!$U$2,FALSE))</f>
        <v>0</v>
      </c>
      <c r="AM145" s="678">
        <v>1</v>
      </c>
      <c r="AN145" s="679">
        <v>1</v>
      </c>
      <c r="AO145" s="679">
        <v>1</v>
      </c>
      <c r="AP145" s="679">
        <v>1</v>
      </c>
      <c r="AQ145" s="671">
        <v>1</v>
      </c>
      <c r="AR145" s="114"/>
      <c r="AS145" s="678"/>
      <c r="AT145" s="679"/>
      <c r="AU145" s="679"/>
      <c r="AV145" s="679">
        <v>1</v>
      </c>
      <c r="AW145" s="671">
        <v>1</v>
      </c>
      <c r="AY145" s="152">
        <f>IF($AB145=0,0,IF($E$6=$H$9,AS145,AM145))</f>
        <v>1</v>
      </c>
      <c r="AZ145" s="152">
        <f>IF($AB145=0,0,IF($E$6=$H$9,AT145,AN145))</f>
        <v>1</v>
      </c>
      <c r="BA145" s="152">
        <f>IF($AB145=0,0,IF($E$6=$H$9,AU145,AO145))</f>
        <v>1</v>
      </c>
      <c r="BB145" s="152">
        <f>IF($AB145=0,0,IF($E$6=$H$9,AV145,AP145))</f>
        <v>1</v>
      </c>
      <c r="BC145" s="152">
        <f>IF($AB145=0,0,IF($E$6=$H$9,AW145,AQ145))</f>
        <v>1</v>
      </c>
      <c r="BD145" s="788">
        <f>IF('Assessment Details'!F26=AD_no,9,IF(AND(AI145=1,AI250=AD_Yes),5,IF(AI250=AD_Yes,3,0)))</f>
        <v>0</v>
      </c>
      <c r="BE145" s="37" t="str">
        <f t="shared" si="308"/>
        <v>Unclassified</v>
      </c>
      <c r="BF145" s="154"/>
      <c r="BG145" s="788">
        <f>IF('Assessment Details'!F26=AD_no,9,IF(AND(AJ145=1,AJ250=AD_Yes),5,IF(AJ250=AD_Yes,3,0)))</f>
        <v>0</v>
      </c>
      <c r="BH145" s="37" t="str">
        <f t="shared" si="310"/>
        <v>Unclassified</v>
      </c>
      <c r="BI145" s="154"/>
      <c r="BJ145" s="788">
        <f>IF('Assessment Details'!F26=AD_no,9,IF(AND(AK145=1,AK250=AD_Yes),5,IF(AK250=AD_Yes,3,0)))</f>
        <v>0</v>
      </c>
      <c r="BK145" s="37" t="str">
        <f t="shared" si="311"/>
        <v>Unclassified</v>
      </c>
      <c r="BL145" s="675"/>
      <c r="BO145" s="35"/>
      <c r="BP145" s="35">
        <v>1</v>
      </c>
      <c r="BQ145" s="35">
        <f t="shared" si="342"/>
        <v>1</v>
      </c>
      <c r="BR145" s="915">
        <f>IF(AB145=0,9,IF(BQ145="",9,(IF(AI145&gt;=BQ145,5,0))))</f>
        <v>0</v>
      </c>
      <c r="BS145" s="915">
        <f>IF(AB145=0,9,IF(BQ145="",9,(IF(AJ145&gt;=BQ145,5,0))))</f>
        <v>0</v>
      </c>
      <c r="BT145" s="915">
        <f>IF(AB145=0,9,IF(BQ145="",9,(IF(AK145&gt;=BQ145,5,0))))</f>
        <v>0</v>
      </c>
      <c r="BW145" s="554"/>
      <c r="BX145" s="554"/>
      <c r="BY145" s="554"/>
      <c r="BZ145" s="554"/>
      <c r="CA145" s="554"/>
      <c r="CB145" s="554"/>
    </row>
    <row r="146" spans="1:81">
      <c r="A146">
        <v>138</v>
      </c>
      <c r="B146" t="str">
        <f t="shared" si="359"/>
        <v>Mat 06b</v>
      </c>
      <c r="C146" t="str">
        <f t="shared" si="344"/>
        <v>Mat 06</v>
      </c>
      <c r="D146" s="137" t="s">
        <v>730</v>
      </c>
      <c r="E146" s="871" t="s">
        <v>651</v>
      </c>
      <c r="F146" s="607">
        <v>1</v>
      </c>
      <c r="G146" s="607">
        <v>1</v>
      </c>
      <c r="H146" s="607">
        <v>1</v>
      </c>
      <c r="I146" s="607">
        <v>1</v>
      </c>
      <c r="J146" s="607">
        <v>1</v>
      </c>
      <c r="K146" s="607">
        <v>1</v>
      </c>
      <c r="L146" s="607">
        <v>1</v>
      </c>
      <c r="M146" s="607">
        <v>1</v>
      </c>
      <c r="N146" s="607">
        <v>1</v>
      </c>
      <c r="O146" s="607">
        <v>1</v>
      </c>
      <c r="P146" s="607">
        <v>1</v>
      </c>
      <c r="Q146" s="607">
        <v>1</v>
      </c>
      <c r="R146" s="607">
        <v>1</v>
      </c>
      <c r="S146" s="112"/>
      <c r="T146" s="139">
        <f t="shared" si="298"/>
        <v>1</v>
      </c>
      <c r="U146" s="158"/>
      <c r="V146" s="40"/>
      <c r="W146" s="40"/>
      <c r="X146" s="35"/>
      <c r="Y146" s="138"/>
      <c r="Z146" s="138">
        <f>VLOOKUP(B146,'Manuell filtrering og justering'!$A$7:$H$253,'Manuell filtrering og justering'!$H$1,FALSE)</f>
        <v>1</v>
      </c>
      <c r="AA146" s="139">
        <f t="shared" si="300"/>
        <v>0</v>
      </c>
      <c r="AB146" s="140">
        <f>IF($AC$5='Manuell filtrering og justering'!$J$2,Z146,(T146-AA146))</f>
        <v>1</v>
      </c>
      <c r="AD146" s="141">
        <f t="shared" si="301"/>
        <v>8.0952380952380963E-3</v>
      </c>
      <c r="AE146" s="141">
        <f t="shared" si="312"/>
        <v>0</v>
      </c>
      <c r="AF146" s="141">
        <f t="shared" si="313"/>
        <v>0</v>
      </c>
      <c r="AG146" s="141">
        <f t="shared" si="314"/>
        <v>0</v>
      </c>
      <c r="AI146" s="142">
        <f>IF(VLOOKUP(E146,'Pre-Assessment Estimator'!$E$11:$Z$227,'Pre-Assessment Estimator'!$G$2,FALSE)&gt;AB146,AB146,VLOOKUP(E146,'Pre-Assessment Estimator'!$E$11:$Z$227,'Pre-Assessment Estimator'!$G$2,FALSE))</f>
        <v>0</v>
      </c>
      <c r="AJ146" s="142">
        <f>IF(VLOOKUP(E146,'Pre-Assessment Estimator'!$E$11:$Z$227,'Pre-Assessment Estimator'!$N$2,FALSE)&gt;AB146,AB146,VLOOKUP(E146,'Pre-Assessment Estimator'!$E$11:$Z$227,'Pre-Assessment Estimator'!$N$2,FALSE))</f>
        <v>0</v>
      </c>
      <c r="AK146" s="142">
        <f>IF(VLOOKUP(E146,'Pre-Assessment Estimator'!$E$11:$Z$227,'Pre-Assessment Estimator'!$U$2,FALSE)&gt;AB146,AB146,VLOOKUP(E146,'Pre-Assessment Estimator'!$E$11:$Z$227,'Pre-Assessment Estimator'!$U$2,FALSE))</f>
        <v>0</v>
      </c>
      <c r="AM146" s="678"/>
      <c r="AN146" s="679"/>
      <c r="AO146" s="679"/>
      <c r="AP146" s="679"/>
      <c r="AQ146" s="671"/>
      <c r="AR146" s="114"/>
      <c r="AS146" s="678"/>
      <c r="AT146" s="679"/>
      <c r="AU146" s="679"/>
      <c r="AV146" s="679"/>
      <c r="AW146" s="671"/>
      <c r="AY146" s="158"/>
      <c r="AZ146" s="40"/>
      <c r="BA146" s="40"/>
      <c r="BB146" s="40"/>
      <c r="BC146" s="675"/>
      <c r="BD146" s="151">
        <f t="shared" si="336"/>
        <v>9</v>
      </c>
      <c r="BE146" s="37" t="str">
        <f t="shared" si="308"/>
        <v>N/A</v>
      </c>
      <c r="BF146" s="154"/>
      <c r="BG146" s="151">
        <f t="shared" si="337"/>
        <v>9</v>
      </c>
      <c r="BH146" s="37" t="str">
        <f t="shared" si="310"/>
        <v>N/A</v>
      </c>
      <c r="BI146" s="154"/>
      <c r="BJ146" s="151">
        <f t="shared" si="338"/>
        <v>9</v>
      </c>
      <c r="BK146" s="37" t="str">
        <f t="shared" si="311"/>
        <v>N/A</v>
      </c>
      <c r="BL146" s="675"/>
      <c r="BO146" s="35"/>
      <c r="BP146" s="35"/>
      <c r="BQ146" s="35" t="str">
        <f t="shared" si="342"/>
        <v/>
      </c>
      <c r="BR146" s="35">
        <f t="shared" si="198"/>
        <v>9</v>
      </c>
      <c r="BS146" s="35">
        <f t="shared" si="199"/>
        <v>9</v>
      </c>
      <c r="BT146" s="35">
        <f t="shared" si="200"/>
        <v>9</v>
      </c>
      <c r="BW146" s="554"/>
      <c r="BX146" s="554"/>
      <c r="BY146" s="554"/>
      <c r="BZ146" s="554"/>
      <c r="CA146" s="554"/>
      <c r="CB146" s="554"/>
    </row>
    <row r="147" spans="1:81">
      <c r="A147">
        <v>139</v>
      </c>
      <c r="B147" t="str">
        <f t="shared" si="359"/>
        <v>Mat 06c</v>
      </c>
      <c r="C147" t="str">
        <f t="shared" si="344"/>
        <v>Mat 06</v>
      </c>
      <c r="D147" s="137" t="s">
        <v>731</v>
      </c>
      <c r="E147" s="871" t="s">
        <v>653</v>
      </c>
      <c r="F147" s="607">
        <v>1</v>
      </c>
      <c r="G147" s="607">
        <v>1</v>
      </c>
      <c r="H147" s="607">
        <v>1</v>
      </c>
      <c r="I147" s="607">
        <v>1</v>
      </c>
      <c r="J147" s="607">
        <v>1</v>
      </c>
      <c r="K147" s="607">
        <v>1</v>
      </c>
      <c r="L147" s="607">
        <v>1</v>
      </c>
      <c r="M147" s="607">
        <v>1</v>
      </c>
      <c r="N147" s="607">
        <v>1</v>
      </c>
      <c r="O147" s="607">
        <v>1</v>
      </c>
      <c r="P147" s="607">
        <v>1</v>
      </c>
      <c r="Q147" s="607">
        <v>1</v>
      </c>
      <c r="R147" s="607">
        <v>1</v>
      </c>
      <c r="S147" s="112"/>
      <c r="T147" s="139">
        <f t="shared" si="298"/>
        <v>1</v>
      </c>
      <c r="U147" s="158"/>
      <c r="V147" s="40"/>
      <c r="W147" s="40"/>
      <c r="X147" s="35"/>
      <c r="Y147" s="138"/>
      <c r="Z147" s="138">
        <f>VLOOKUP(B147,'Manuell filtrering og justering'!$A$7:$H$253,'Manuell filtrering og justering'!$H$1,FALSE)</f>
        <v>1</v>
      </c>
      <c r="AA147" s="139">
        <f t="shared" si="300"/>
        <v>0</v>
      </c>
      <c r="AB147" s="140">
        <f>IF($AC$5='Manuell filtrering og justering'!$J$2,Z147,(T147-AA147))</f>
        <v>1</v>
      </c>
      <c r="AD147" s="141">
        <f t="shared" si="301"/>
        <v>8.0952380952380963E-3</v>
      </c>
      <c r="AE147" s="141">
        <f t="shared" si="312"/>
        <v>0</v>
      </c>
      <c r="AF147" s="141">
        <f t="shared" si="313"/>
        <v>0</v>
      </c>
      <c r="AG147" s="141">
        <f t="shared" si="314"/>
        <v>0</v>
      </c>
      <c r="AI147" s="142">
        <f>IF(VLOOKUP(E147,'Pre-Assessment Estimator'!$E$11:$Z$227,'Pre-Assessment Estimator'!$G$2,FALSE)&gt;AB147,AB147,VLOOKUP(E147,'Pre-Assessment Estimator'!$E$11:$Z$227,'Pre-Assessment Estimator'!$G$2,FALSE))</f>
        <v>0</v>
      </c>
      <c r="AJ147" s="142">
        <f>IF(VLOOKUP(E147,'Pre-Assessment Estimator'!$E$11:$Z$227,'Pre-Assessment Estimator'!$N$2,FALSE)&gt;AB147,AB147,VLOOKUP(E147,'Pre-Assessment Estimator'!$E$11:$Z$227,'Pre-Assessment Estimator'!$N$2,FALSE))</f>
        <v>0</v>
      </c>
      <c r="AK147" s="142">
        <f>IF(VLOOKUP(E147,'Pre-Assessment Estimator'!$E$11:$Z$227,'Pre-Assessment Estimator'!$U$2,FALSE)&gt;AB147,AB147,VLOOKUP(E147,'Pre-Assessment Estimator'!$E$11:$Z$227,'Pre-Assessment Estimator'!$U$2,FALSE))</f>
        <v>0</v>
      </c>
      <c r="AM147" s="678"/>
      <c r="AN147" s="679"/>
      <c r="AO147" s="679"/>
      <c r="AP147" s="679"/>
      <c r="AQ147" s="671"/>
      <c r="AR147" s="114"/>
      <c r="AS147" s="678"/>
      <c r="AT147" s="679"/>
      <c r="AU147" s="679"/>
      <c r="AV147" s="679"/>
      <c r="AW147" s="671"/>
      <c r="AY147" s="158"/>
      <c r="AZ147" s="40"/>
      <c r="BA147" s="40"/>
      <c r="BB147" s="40"/>
      <c r="BC147" s="675"/>
      <c r="BD147" s="151">
        <f t="shared" si="336"/>
        <v>9</v>
      </c>
      <c r="BE147" s="37" t="str">
        <f t="shared" si="308"/>
        <v>N/A</v>
      </c>
      <c r="BF147" s="154"/>
      <c r="BG147" s="151">
        <f t="shared" si="337"/>
        <v>9</v>
      </c>
      <c r="BH147" s="37" t="str">
        <f t="shared" si="310"/>
        <v>N/A</v>
      </c>
      <c r="BI147" s="154"/>
      <c r="BJ147" s="151">
        <f t="shared" si="338"/>
        <v>9</v>
      </c>
      <c r="BK147" s="37" t="str">
        <f t="shared" si="311"/>
        <v>N/A</v>
      </c>
      <c r="BL147" s="675"/>
      <c r="BO147" s="35"/>
      <c r="BP147" s="35"/>
      <c r="BQ147" s="35" t="str">
        <f t="shared" si="342"/>
        <v/>
      </c>
      <c r="BR147" s="35">
        <f t="shared" si="198"/>
        <v>9</v>
      </c>
      <c r="BS147" s="35">
        <f t="shared" si="199"/>
        <v>9</v>
      </c>
      <c r="BT147" s="35">
        <f t="shared" si="200"/>
        <v>9</v>
      </c>
      <c r="BW147" s="554"/>
      <c r="BX147" s="554"/>
      <c r="BY147" s="554"/>
      <c r="BZ147" s="554"/>
      <c r="CA147" s="554"/>
      <c r="CB147" s="554"/>
    </row>
    <row r="148" spans="1:81">
      <c r="A148">
        <v>140</v>
      </c>
      <c r="B148" s="112" t="str">
        <f>D148</f>
        <v>Mat 07</v>
      </c>
      <c r="C148" s="112" t="str">
        <f>B148</f>
        <v>Mat 07</v>
      </c>
      <c r="D148" s="663" t="s">
        <v>436</v>
      </c>
      <c r="E148" s="661" t="s">
        <v>914</v>
      </c>
      <c r="F148" s="748">
        <f>SUM(F149:F151)</f>
        <v>3</v>
      </c>
      <c r="G148" s="748">
        <f t="shared" ref="G148:R148" si="360">SUM(G149:G151)</f>
        <v>3</v>
      </c>
      <c r="H148" s="748">
        <f t="shared" si="360"/>
        <v>3</v>
      </c>
      <c r="I148" s="748">
        <f t="shared" si="360"/>
        <v>3</v>
      </c>
      <c r="J148" s="748">
        <f t="shared" si="360"/>
        <v>3</v>
      </c>
      <c r="K148" s="748">
        <f t="shared" si="360"/>
        <v>3</v>
      </c>
      <c r="L148" s="748">
        <f t="shared" si="360"/>
        <v>3</v>
      </c>
      <c r="M148" s="748">
        <f t="shared" si="360"/>
        <v>3</v>
      </c>
      <c r="N148" s="748">
        <f t="shared" si="360"/>
        <v>3</v>
      </c>
      <c r="O148" s="748">
        <f t="shared" si="360"/>
        <v>3</v>
      </c>
      <c r="P148" s="748">
        <f t="shared" si="360"/>
        <v>3</v>
      </c>
      <c r="Q148" s="748">
        <f t="shared" ref="Q148" si="361">SUM(Q149:Q151)</f>
        <v>3</v>
      </c>
      <c r="R148" s="748">
        <f t="shared" si="360"/>
        <v>3</v>
      </c>
      <c r="T148" s="768">
        <f t="shared" si="298"/>
        <v>3</v>
      </c>
      <c r="U148" s="570"/>
      <c r="V148" s="769"/>
      <c r="W148" s="769"/>
      <c r="X148" s="53">
        <f>'Manuell filtrering og justering'!E64</f>
        <v>0</v>
      </c>
      <c r="Y148" s="53"/>
      <c r="Z148" s="763">
        <f t="shared" ref="Z148" si="362">SUM(Z149:Z151)</f>
        <v>3</v>
      </c>
      <c r="AA148" s="768">
        <f t="shared" si="300"/>
        <v>0</v>
      </c>
      <c r="AB148" s="820">
        <f>SUM(AB149:AB151)</f>
        <v>3</v>
      </c>
      <c r="AD148" s="141">
        <f t="shared" si="301"/>
        <v>2.4285714285714289E-2</v>
      </c>
      <c r="AE148" s="736">
        <f>SUM(AE149:AE151)</f>
        <v>0</v>
      </c>
      <c r="AF148" s="736">
        <f t="shared" ref="AF148" si="363">SUM(AF149:AF151)</f>
        <v>0</v>
      </c>
      <c r="AG148" s="736">
        <f t="shared" ref="AG148" si="364">SUM(AG149:AG151)</f>
        <v>0</v>
      </c>
      <c r="AI148" s="763">
        <f t="shared" ref="AI148" si="365">SUM(AI149:AI151)</f>
        <v>0</v>
      </c>
      <c r="AJ148" s="763">
        <f t="shared" ref="AJ148" si="366">SUM(AJ149:AJ151)</f>
        <v>0</v>
      </c>
      <c r="AK148" s="763">
        <f t="shared" ref="AK148" si="367">SUM(AK149:AK151)</f>
        <v>0</v>
      </c>
      <c r="AM148" s="678"/>
      <c r="AN148" s="679"/>
      <c r="AO148" s="679"/>
      <c r="AP148" s="679"/>
      <c r="AQ148" s="671"/>
      <c r="AR148" s="114"/>
      <c r="AS148" s="678"/>
      <c r="AT148" s="679"/>
      <c r="AU148" s="679"/>
      <c r="AV148" s="679"/>
      <c r="AW148" s="671"/>
      <c r="AY148" s="158"/>
      <c r="AZ148" s="40"/>
      <c r="BA148" s="40"/>
      <c r="BB148" s="40"/>
      <c r="BC148" s="154"/>
      <c r="BD148" s="151">
        <f t="shared" ref="BD148:BD151" si="368">IF(BC148=0,9,IF(AI148&gt;=BC148,5,IF(AI148&gt;=BB148,4,IF(AI148&gt;=BA148,3,IF(AI148&gt;=AZ148,2,IF(AI148&lt;AY148,0,1))))))</f>
        <v>9</v>
      </c>
      <c r="BE148" s="37" t="str">
        <f t="shared" si="308"/>
        <v>N/A</v>
      </c>
      <c r="BF148" s="154"/>
      <c r="BG148" s="151">
        <f t="shared" ref="BG148:BG151" si="369">IF(BC148=0,9,IF(AJ148&gt;=BC148,5,IF(AJ148&gt;=BB148,4,IF(AJ148&gt;=BA148,3,IF(AJ148&gt;=AZ148,2,IF(AJ148&lt;AY148,0,1))))))</f>
        <v>9</v>
      </c>
      <c r="BH148" s="37" t="str">
        <f t="shared" si="310"/>
        <v>N/A</v>
      </c>
      <c r="BI148" s="154"/>
      <c r="BJ148" s="151">
        <f t="shared" ref="BJ148:BJ151" si="370">IF(BC148=0,9,IF(AK148&gt;=BC148,5,IF(AK148&gt;=BB148,4,IF(AK148&gt;=BA148,3,IF(AK148&gt;=AZ148,2,IF(AK148&lt;AY148,0,1))))))</f>
        <v>9</v>
      </c>
      <c r="BK148" s="37" t="str">
        <f t="shared" si="311"/>
        <v>N/A</v>
      </c>
      <c r="BL148" s="675"/>
      <c r="BO148" s="35"/>
      <c r="BP148" s="35"/>
      <c r="BQ148" s="35" t="str">
        <f t="shared" si="342"/>
        <v/>
      </c>
      <c r="BR148" s="35">
        <f t="shared" si="198"/>
        <v>9</v>
      </c>
      <c r="BS148" s="35">
        <f t="shared" si="199"/>
        <v>9</v>
      </c>
      <c r="BT148" s="35">
        <f t="shared" si="200"/>
        <v>9</v>
      </c>
      <c r="BW148" s="554" t="str">
        <f>D148</f>
        <v>Mat 07</v>
      </c>
      <c r="BX148" s="554"/>
      <c r="BY148" s="554"/>
      <c r="BZ148" s="554"/>
      <c r="CA148" s="554"/>
      <c r="CB148" s="554"/>
    </row>
    <row r="149" spans="1:81">
      <c r="A149">
        <v>141</v>
      </c>
      <c r="B149" t="str">
        <f t="shared" ref="B149:B151" si="371">$D$148&amp;D149</f>
        <v>Mat 07a</v>
      </c>
      <c r="C149" t="str">
        <f t="shared" si="344"/>
        <v>Mat 07</v>
      </c>
      <c r="D149" s="137" t="s">
        <v>729</v>
      </c>
      <c r="E149" s="871" t="s">
        <v>915</v>
      </c>
      <c r="F149" s="607">
        <v>1</v>
      </c>
      <c r="G149" s="607">
        <v>1</v>
      </c>
      <c r="H149" s="607">
        <v>1</v>
      </c>
      <c r="I149" s="607">
        <v>1</v>
      </c>
      <c r="J149" s="607">
        <v>1</v>
      </c>
      <c r="K149" s="607">
        <v>1</v>
      </c>
      <c r="L149" s="607">
        <v>1</v>
      </c>
      <c r="M149" s="607">
        <v>1</v>
      </c>
      <c r="N149" s="607">
        <v>1</v>
      </c>
      <c r="O149" s="607">
        <v>1</v>
      </c>
      <c r="P149" s="607">
        <v>1</v>
      </c>
      <c r="Q149" s="607">
        <v>1</v>
      </c>
      <c r="R149" s="607">
        <v>1</v>
      </c>
      <c r="T149" s="139">
        <f t="shared" si="298"/>
        <v>1</v>
      </c>
      <c r="U149" s="158"/>
      <c r="V149" s="40"/>
      <c r="W149" s="40"/>
      <c r="X149" s="40"/>
      <c r="Y149" s="680"/>
      <c r="Z149" s="138">
        <f>VLOOKUP(B149,'Manuell filtrering og justering'!$A$7:$H$253,'Manuell filtrering og justering'!$H$1,FALSE)</f>
        <v>1</v>
      </c>
      <c r="AA149" s="139">
        <f t="shared" si="300"/>
        <v>0</v>
      </c>
      <c r="AB149" s="140">
        <f>IF($AC$5='Manuell filtrering og justering'!$J$2,Z149,(T149-AA149))</f>
        <v>1</v>
      </c>
      <c r="AD149" s="141">
        <f t="shared" si="301"/>
        <v>8.0952380952380963E-3</v>
      </c>
      <c r="AE149" s="141">
        <f t="shared" si="312"/>
        <v>0</v>
      </c>
      <c r="AF149" s="141">
        <f t="shared" si="313"/>
        <v>0</v>
      </c>
      <c r="AG149" s="141">
        <f t="shared" si="314"/>
        <v>0</v>
      </c>
      <c r="AI149" s="142">
        <f>IF(VLOOKUP(E149,'Pre-Assessment Estimator'!$E$11:$Z$227,'Pre-Assessment Estimator'!$G$2,FALSE)&gt;AB149,AB149,VLOOKUP(E149,'Pre-Assessment Estimator'!$E$11:$Z$227,'Pre-Assessment Estimator'!$G$2,FALSE))</f>
        <v>0</v>
      </c>
      <c r="AJ149" s="142">
        <f>IF(VLOOKUP(E149,'Pre-Assessment Estimator'!$E$11:$Z$227,'Pre-Assessment Estimator'!$N$2,FALSE)&gt;AB149,AB149,VLOOKUP(E149,'Pre-Assessment Estimator'!$E$11:$Z$227,'Pre-Assessment Estimator'!$N$2,FALSE))</f>
        <v>0</v>
      </c>
      <c r="AK149" s="142">
        <f>IF(VLOOKUP(E149,'Pre-Assessment Estimator'!$E$11:$Z$227,'Pre-Assessment Estimator'!$U$2,FALSE)&gt;AB149,AB149,VLOOKUP(E149,'Pre-Assessment Estimator'!$E$11:$Z$227,'Pre-Assessment Estimator'!$U$2,FALSE))</f>
        <v>0</v>
      </c>
      <c r="AM149" s="678"/>
      <c r="AN149" s="679"/>
      <c r="AO149" s="679"/>
      <c r="AP149" s="679"/>
      <c r="AQ149" s="671"/>
      <c r="AR149" s="114"/>
      <c r="AS149" s="678"/>
      <c r="AT149" s="679"/>
      <c r="AU149" s="679"/>
      <c r="AV149" s="679"/>
      <c r="AW149" s="671"/>
      <c r="AY149" s="158"/>
      <c r="AZ149" s="40"/>
      <c r="BA149" s="40"/>
      <c r="BB149" s="40"/>
      <c r="BC149" s="675"/>
      <c r="BD149" s="151">
        <f t="shared" si="368"/>
        <v>9</v>
      </c>
      <c r="BE149" s="37" t="str">
        <f t="shared" si="308"/>
        <v>N/A</v>
      </c>
      <c r="BF149" s="154"/>
      <c r="BG149" s="151">
        <f t="shared" si="369"/>
        <v>9</v>
      </c>
      <c r="BH149" s="37" t="str">
        <f t="shared" si="310"/>
        <v>N/A</v>
      </c>
      <c r="BI149" s="154"/>
      <c r="BJ149" s="151">
        <f t="shared" si="370"/>
        <v>9</v>
      </c>
      <c r="BK149" s="37" t="str">
        <f t="shared" si="311"/>
        <v>N/A</v>
      </c>
      <c r="BL149" s="675"/>
      <c r="BO149" s="35"/>
      <c r="BP149" s="35"/>
      <c r="BQ149" s="35"/>
      <c r="BR149" s="35">
        <f t="shared" si="198"/>
        <v>9</v>
      </c>
      <c r="BS149" s="35">
        <f t="shared" si="199"/>
        <v>9</v>
      </c>
      <c r="BT149" s="35">
        <f t="shared" si="200"/>
        <v>9</v>
      </c>
      <c r="BW149" s="554"/>
      <c r="BX149" s="554"/>
      <c r="BY149" s="554"/>
      <c r="BZ149" s="554"/>
      <c r="CA149" s="554"/>
      <c r="CB149" s="554"/>
    </row>
    <row r="150" spans="1:81">
      <c r="A150">
        <v>142</v>
      </c>
      <c r="B150" t="str">
        <f t="shared" si="371"/>
        <v>Mat 07b</v>
      </c>
      <c r="C150" t="str">
        <f t="shared" si="344"/>
        <v>Mat 07</v>
      </c>
      <c r="D150" s="137" t="s">
        <v>730</v>
      </c>
      <c r="E150" s="976" t="s">
        <v>916</v>
      </c>
      <c r="F150" s="607">
        <v>1</v>
      </c>
      <c r="G150" s="607">
        <v>1</v>
      </c>
      <c r="H150" s="607">
        <v>1</v>
      </c>
      <c r="I150" s="607">
        <v>1</v>
      </c>
      <c r="J150" s="607">
        <v>1</v>
      </c>
      <c r="K150" s="607">
        <v>1</v>
      </c>
      <c r="L150" s="607">
        <v>1</v>
      </c>
      <c r="M150" s="607">
        <v>1</v>
      </c>
      <c r="N150" s="607">
        <v>1</v>
      </c>
      <c r="O150" s="607">
        <v>1</v>
      </c>
      <c r="P150" s="607">
        <v>1</v>
      </c>
      <c r="Q150" s="607">
        <v>1</v>
      </c>
      <c r="R150" s="607">
        <v>1</v>
      </c>
      <c r="T150" s="139">
        <f t="shared" si="298"/>
        <v>1</v>
      </c>
      <c r="U150" s="158"/>
      <c r="V150" s="40"/>
      <c r="W150" s="40"/>
      <c r="X150" s="40"/>
      <c r="Y150" s="680"/>
      <c r="Z150" s="138">
        <f>VLOOKUP(B150,'Manuell filtrering og justering'!$A$7:$H$253,'Manuell filtrering og justering'!$H$1,FALSE)</f>
        <v>1</v>
      </c>
      <c r="AA150" s="139">
        <f t="shared" si="300"/>
        <v>0</v>
      </c>
      <c r="AB150" s="140">
        <f>IF($AC$5='Manuell filtrering og justering'!$J$2,Z150,(T150-AA150))</f>
        <v>1</v>
      </c>
      <c r="AD150" s="141">
        <f t="shared" si="301"/>
        <v>8.0952380952380963E-3</v>
      </c>
      <c r="AE150" s="141">
        <f t="shared" si="312"/>
        <v>0</v>
      </c>
      <c r="AF150" s="141">
        <f t="shared" si="313"/>
        <v>0</v>
      </c>
      <c r="AG150" s="141">
        <f t="shared" si="314"/>
        <v>0</v>
      </c>
      <c r="AI150" s="142">
        <f>IF(VLOOKUP(E150,'Pre-Assessment Estimator'!$E$11:$Z$227,'Pre-Assessment Estimator'!$G$2,FALSE)&gt;AB150,AB150,VLOOKUP(E150,'Pre-Assessment Estimator'!$E$11:$Z$227,'Pre-Assessment Estimator'!$G$2,FALSE))</f>
        <v>0</v>
      </c>
      <c r="AJ150" s="142">
        <f>IF(VLOOKUP(E150,'Pre-Assessment Estimator'!$E$11:$Z$227,'Pre-Assessment Estimator'!$N$2,FALSE)&gt;AB150,AB150,VLOOKUP(E150,'Pre-Assessment Estimator'!$E$11:$Z$227,'Pre-Assessment Estimator'!$N$2,FALSE))</f>
        <v>0</v>
      </c>
      <c r="AK150" s="142">
        <f>IF(VLOOKUP(E150,'Pre-Assessment Estimator'!$E$11:$Z$227,'Pre-Assessment Estimator'!$U$2,FALSE)&gt;AB150,AB150,VLOOKUP(E150,'Pre-Assessment Estimator'!$E$11:$Z$227,'Pre-Assessment Estimator'!$U$2,FALSE))</f>
        <v>0</v>
      </c>
      <c r="AM150" s="678"/>
      <c r="AN150" s="679"/>
      <c r="AO150" s="679"/>
      <c r="AP150" s="679">
        <v>1</v>
      </c>
      <c r="AQ150" s="671">
        <v>1</v>
      </c>
      <c r="AR150" s="114"/>
      <c r="AS150" s="678"/>
      <c r="AT150" s="679"/>
      <c r="AU150" s="679"/>
      <c r="AV150" s="679">
        <v>1</v>
      </c>
      <c r="AW150" s="671">
        <v>1</v>
      </c>
      <c r="AY150" s="158"/>
      <c r="AZ150" s="40"/>
      <c r="BA150" s="40"/>
      <c r="BB150" s="152">
        <f>IF($AB150=0,0,IF($E$6=$H$9,AV150,AP150))</f>
        <v>1</v>
      </c>
      <c r="BC150" s="152">
        <f>IF($AB150=0,0,IF($E$6=$H$9,AW150,AQ150))</f>
        <v>1</v>
      </c>
      <c r="BD150" s="151">
        <f t="shared" si="368"/>
        <v>3</v>
      </c>
      <c r="BE150" s="37" t="str">
        <f t="shared" si="308"/>
        <v>Very Good</v>
      </c>
      <c r="BF150" s="154"/>
      <c r="BG150" s="151">
        <f t="shared" si="369"/>
        <v>3</v>
      </c>
      <c r="BH150" s="37" t="str">
        <f t="shared" si="310"/>
        <v>Very Good</v>
      </c>
      <c r="BI150" s="154"/>
      <c r="BJ150" s="151">
        <f t="shared" si="370"/>
        <v>3</v>
      </c>
      <c r="BK150" s="37" t="str">
        <f t="shared" si="311"/>
        <v>Very Good</v>
      </c>
      <c r="BL150" s="675"/>
      <c r="BO150" s="35"/>
      <c r="BP150" s="35">
        <v>1</v>
      </c>
      <c r="BQ150" s="35">
        <f t="shared" si="342"/>
        <v>1</v>
      </c>
      <c r="BR150" s="35">
        <f t="shared" si="198"/>
        <v>0</v>
      </c>
      <c r="BS150" s="35">
        <f t="shared" si="199"/>
        <v>0</v>
      </c>
      <c r="BT150" s="35">
        <f t="shared" si="200"/>
        <v>0</v>
      </c>
      <c r="BW150" s="554"/>
      <c r="BX150" s="554"/>
      <c r="BY150" s="554"/>
      <c r="BZ150" s="554"/>
      <c r="CA150" s="554"/>
      <c r="CB150" s="554"/>
    </row>
    <row r="151" spans="1:81" ht="15.75" thickBot="1">
      <c r="A151">
        <v>143</v>
      </c>
      <c r="B151" t="str">
        <f t="shared" si="371"/>
        <v>Mat 07c</v>
      </c>
      <c r="C151" t="str">
        <f t="shared" si="344"/>
        <v>Mat 07</v>
      </c>
      <c r="D151" s="159" t="s">
        <v>731</v>
      </c>
      <c r="E151" s="977" t="s">
        <v>917</v>
      </c>
      <c r="F151" s="615">
        <v>1</v>
      </c>
      <c r="G151" s="615">
        <v>1</v>
      </c>
      <c r="H151" s="615">
        <v>1</v>
      </c>
      <c r="I151" s="615">
        <v>1</v>
      </c>
      <c r="J151" s="615">
        <v>1</v>
      </c>
      <c r="K151" s="615">
        <v>1</v>
      </c>
      <c r="L151" s="615">
        <v>1</v>
      </c>
      <c r="M151" s="615">
        <v>1</v>
      </c>
      <c r="N151" s="615">
        <v>1</v>
      </c>
      <c r="O151" s="615">
        <v>1</v>
      </c>
      <c r="P151" s="615">
        <v>1</v>
      </c>
      <c r="Q151" s="615">
        <v>1</v>
      </c>
      <c r="R151" s="615">
        <v>1</v>
      </c>
      <c r="T151" s="139">
        <f t="shared" si="298"/>
        <v>1</v>
      </c>
      <c r="U151" s="158"/>
      <c r="V151" s="40"/>
      <c r="W151" s="40"/>
      <c r="X151" s="40"/>
      <c r="Y151" s="680"/>
      <c r="Z151" s="138">
        <f>VLOOKUP(B151,'Manuell filtrering og justering'!$A$7:$H$253,'Manuell filtrering og justering'!$H$1,FALSE)</f>
        <v>1</v>
      </c>
      <c r="AA151" s="139">
        <f t="shared" si="300"/>
        <v>0</v>
      </c>
      <c r="AB151" s="140">
        <f>IF($AC$5='Manuell filtrering og justering'!$J$2,Z151,(T151-AA151))</f>
        <v>1</v>
      </c>
      <c r="AD151" s="141">
        <f t="shared" si="301"/>
        <v>8.0952380952380963E-3</v>
      </c>
      <c r="AE151" s="141">
        <f t="shared" si="312"/>
        <v>0</v>
      </c>
      <c r="AF151" s="141">
        <f t="shared" si="313"/>
        <v>0</v>
      </c>
      <c r="AG151" s="141">
        <f t="shared" si="314"/>
        <v>0</v>
      </c>
      <c r="AI151" s="142">
        <f>IF(VLOOKUP(E151,'Pre-Assessment Estimator'!$E$11:$Z$227,'Pre-Assessment Estimator'!$G$2,FALSE)&gt;AB151,AB151,VLOOKUP(E151,'Pre-Assessment Estimator'!$E$11:$Z$227,'Pre-Assessment Estimator'!$G$2,FALSE))</f>
        <v>0</v>
      </c>
      <c r="AJ151" s="142">
        <f>IF(VLOOKUP(E151,'Pre-Assessment Estimator'!$E$11:$Z$227,'Pre-Assessment Estimator'!$N$2,FALSE)&gt;AB151,AB151,VLOOKUP(E151,'Pre-Assessment Estimator'!$E$11:$Z$227,'Pre-Assessment Estimator'!$N$2,FALSE))</f>
        <v>0</v>
      </c>
      <c r="AK151" s="142">
        <f>IF(VLOOKUP(E151,'Pre-Assessment Estimator'!$E$11:$Z$227,'Pre-Assessment Estimator'!$U$2,FALSE)&gt;AB151,AB151,VLOOKUP(E151,'Pre-Assessment Estimator'!$E$11:$Z$227,'Pre-Assessment Estimator'!$U$2,FALSE))</f>
        <v>0</v>
      </c>
      <c r="AM151" s="678"/>
      <c r="AN151" s="679"/>
      <c r="AO151" s="679"/>
      <c r="AP151" s="679">
        <v>1</v>
      </c>
      <c r="AQ151" s="671">
        <v>1</v>
      </c>
      <c r="AR151" s="114"/>
      <c r="AS151" s="678"/>
      <c r="AT151" s="679"/>
      <c r="AU151" s="679"/>
      <c r="AV151" s="679">
        <v>1</v>
      </c>
      <c r="AW151" s="671">
        <v>1</v>
      </c>
      <c r="AY151" s="158"/>
      <c r="AZ151" s="40"/>
      <c r="BA151" s="40"/>
      <c r="BB151" s="152">
        <f>IF($AB151=0,0,IF($E$6=$H$9,AV151,AP151))</f>
        <v>1</v>
      </c>
      <c r="BC151" s="152">
        <f>IF($AB151=0,0,IF($E$6=$H$9,AW151,AQ151))</f>
        <v>1</v>
      </c>
      <c r="BD151" s="151">
        <f t="shared" si="368"/>
        <v>3</v>
      </c>
      <c r="BE151" s="37" t="str">
        <f t="shared" si="308"/>
        <v>Very Good</v>
      </c>
      <c r="BF151" s="154"/>
      <c r="BG151" s="151">
        <f t="shared" si="369"/>
        <v>3</v>
      </c>
      <c r="BH151" s="37" t="str">
        <f t="shared" si="310"/>
        <v>Very Good</v>
      </c>
      <c r="BI151" s="154"/>
      <c r="BJ151" s="151">
        <f t="shared" si="370"/>
        <v>3</v>
      </c>
      <c r="BK151" s="37" t="str">
        <f t="shared" si="311"/>
        <v>Very Good</v>
      </c>
      <c r="BL151" s="675"/>
      <c r="BO151" s="35"/>
      <c r="BP151" s="35">
        <v>1</v>
      </c>
      <c r="BQ151" s="35">
        <f t="shared" si="342"/>
        <v>1</v>
      </c>
      <c r="BR151" s="35">
        <f t="shared" si="198"/>
        <v>0</v>
      </c>
      <c r="BS151" s="35">
        <f t="shared" si="199"/>
        <v>0</v>
      </c>
      <c r="BT151" s="35">
        <f t="shared" si="200"/>
        <v>0</v>
      </c>
      <c r="BW151" s="554"/>
      <c r="BX151" s="554"/>
      <c r="BY151" s="554"/>
      <c r="BZ151" s="554"/>
      <c r="CA151" s="554"/>
      <c r="CB151" s="554"/>
    </row>
    <row r="152" spans="1:81" ht="15.75" thickBot="1">
      <c r="A152">
        <v>144</v>
      </c>
      <c r="B152" t="s">
        <v>440</v>
      </c>
      <c r="D152" s="556"/>
      <c r="E152" s="555" t="s">
        <v>725</v>
      </c>
      <c r="F152" s="612">
        <f>F126+F130+F134+F138+F144+F148</f>
        <v>21</v>
      </c>
      <c r="G152" s="612">
        <f t="shared" ref="G152:R152" si="372">G126+G130+G134+G138+G144+G148</f>
        <v>21</v>
      </c>
      <c r="H152" s="612">
        <f t="shared" si="372"/>
        <v>21</v>
      </c>
      <c r="I152" s="612">
        <f t="shared" si="372"/>
        <v>21</v>
      </c>
      <c r="J152" s="612">
        <f t="shared" si="372"/>
        <v>21</v>
      </c>
      <c r="K152" s="612">
        <f t="shared" si="372"/>
        <v>21</v>
      </c>
      <c r="L152" s="612">
        <f t="shared" si="372"/>
        <v>21</v>
      </c>
      <c r="M152" s="612">
        <f t="shared" si="372"/>
        <v>21</v>
      </c>
      <c r="N152" s="612">
        <f t="shared" si="372"/>
        <v>21</v>
      </c>
      <c r="O152" s="612">
        <f t="shared" si="372"/>
        <v>21</v>
      </c>
      <c r="P152" s="612">
        <f t="shared" si="372"/>
        <v>21</v>
      </c>
      <c r="Q152" s="612">
        <f t="shared" ref="Q152" si="373">Q126+Q130+Q134+Q138+Q144+Q148</f>
        <v>21</v>
      </c>
      <c r="R152" s="612">
        <f t="shared" si="372"/>
        <v>21</v>
      </c>
      <c r="T152" s="186">
        <f t="shared" si="298"/>
        <v>21</v>
      </c>
      <c r="U152" s="167"/>
      <c r="V152" s="168"/>
      <c r="W152" s="168"/>
      <c r="X152" s="168"/>
      <c r="Y152" s="169"/>
      <c r="Z152" s="169"/>
      <c r="AA152" s="612">
        <f t="shared" ref="AA152:AG152" si="374">AA126+AA130+AA134+AA138+AA144+AA148</f>
        <v>0</v>
      </c>
      <c r="AB152" s="612">
        <f t="shared" si="374"/>
        <v>21</v>
      </c>
      <c r="AD152" s="171">
        <f t="shared" si="374"/>
        <v>0.17000000000000004</v>
      </c>
      <c r="AE152" s="171">
        <f t="shared" si="374"/>
        <v>0</v>
      </c>
      <c r="AF152" s="171">
        <f t="shared" si="374"/>
        <v>0</v>
      </c>
      <c r="AG152" s="171">
        <f t="shared" si="374"/>
        <v>0</v>
      </c>
      <c r="AI152" s="64">
        <f t="shared" ref="AI152:AK152" si="375">AI126+AI130+AI134+AI138+AI144+AI148</f>
        <v>0</v>
      </c>
      <c r="AJ152" s="64">
        <f t="shared" si="375"/>
        <v>0</v>
      </c>
      <c r="AK152" s="64">
        <f t="shared" si="375"/>
        <v>0</v>
      </c>
      <c r="AM152" s="114"/>
      <c r="AN152" s="114"/>
      <c r="AO152" s="114"/>
      <c r="AP152" s="114"/>
      <c r="AQ152" s="114"/>
      <c r="AR152" s="114"/>
      <c r="AS152" s="114"/>
      <c r="AT152" s="114"/>
      <c r="AU152" s="114"/>
      <c r="AV152" s="114"/>
      <c r="AW152" s="114"/>
      <c r="AZ152" s="172"/>
      <c r="BW152" s="42"/>
      <c r="BX152" s="42" t="str">
        <f>IFERROR(VLOOKUP($E152,'Pre-Assessment Estimator'!$E$11:$AB$227,'Pre-Assessment Estimator'!AB$2,FALSE),"")</f>
        <v/>
      </c>
      <c r="BY152" s="42" t="str">
        <f>IFERROR(VLOOKUP($E152,'Pre-Assessment Estimator'!$E$11:$AI$227,'Pre-Assessment Estimator'!AI$2,FALSE),"")</f>
        <v/>
      </c>
      <c r="BZ152" s="42" t="str">
        <f t="shared" ref="BZ152:CA155" si="376">IFERROR(VLOOKUP($BX152,$E$293:$H$326,F$291,FALSE),"")</f>
        <v/>
      </c>
      <c r="CA152" s="42" t="str">
        <f t="shared" si="376"/>
        <v/>
      </c>
      <c r="CB152" s="42"/>
      <c r="CC152" t="str">
        <f>IFERROR(VLOOKUP($BX152,$E$293:$H$326,I$291,FALSE),"")</f>
        <v/>
      </c>
    </row>
    <row r="153" spans="1:81" ht="15.75" thickBot="1">
      <c r="A153">
        <v>145</v>
      </c>
      <c r="AI153" s="1"/>
      <c r="AJ153" s="1"/>
      <c r="AK153" s="1"/>
      <c r="AM153" s="114"/>
      <c r="AN153" s="114"/>
      <c r="AO153" s="114"/>
      <c r="AP153" s="114"/>
      <c r="AQ153" s="114"/>
      <c r="AR153" s="114"/>
      <c r="AS153" s="114"/>
      <c r="AT153" s="114"/>
      <c r="AU153" s="114"/>
      <c r="AV153" s="114"/>
      <c r="AW153" s="114"/>
      <c r="BX153" t="str">
        <f>IFERROR(VLOOKUP($E153,'Pre-Assessment Estimator'!$E$11:$AB$227,'Pre-Assessment Estimator'!AB$2,FALSE),"")</f>
        <v/>
      </c>
      <c r="BY153" t="str">
        <f>IFERROR(VLOOKUP($E153,'Pre-Assessment Estimator'!$E$11:$AI$227,'Pre-Assessment Estimator'!AI$2,FALSE),"")</f>
        <v/>
      </c>
      <c r="BZ153" t="str">
        <f t="shared" si="376"/>
        <v/>
      </c>
      <c r="CA153" t="str">
        <f t="shared" si="376"/>
        <v/>
      </c>
      <c r="CC153" t="str">
        <f>IFERROR(VLOOKUP($BX153,$E$293:$H$326,I$291,FALSE),"")</f>
        <v/>
      </c>
    </row>
    <row r="154" spans="1:81" ht="60.75" thickBot="1">
      <c r="A154">
        <v>146</v>
      </c>
      <c r="D154" s="118"/>
      <c r="E154" s="39" t="s">
        <v>442</v>
      </c>
      <c r="F154" s="964" t="str">
        <f>$F$9</f>
        <v>Office</v>
      </c>
      <c r="G154" s="964" t="str">
        <f>$G$9</f>
        <v>Retail</v>
      </c>
      <c r="H154" s="968" t="str">
        <f>$H$9</f>
        <v>Residential</v>
      </c>
      <c r="I154" s="964" t="str">
        <f>$I$9</f>
        <v>Industrial</v>
      </c>
      <c r="J154" s="966" t="str">
        <f>$J$9</f>
        <v>Healthcare</v>
      </c>
      <c r="K154" s="966" t="str">
        <f>$K$9</f>
        <v>Prison</v>
      </c>
      <c r="L154" s="966" t="str">
        <f>$L$9</f>
        <v>Law Court</v>
      </c>
      <c r="M154" s="970" t="str">
        <f>$M$9</f>
        <v>Residential institution (long term stay)</v>
      </c>
      <c r="N154" s="733" t="str">
        <f>$N$9</f>
        <v>Residential institution (short term stay)</v>
      </c>
      <c r="O154" s="733" t="str">
        <f>$O$9</f>
        <v>Non-residential institution</v>
      </c>
      <c r="P154" s="733" t="str">
        <f>$P$9</f>
        <v>Assembly and leisure</v>
      </c>
      <c r="Q154" s="966" t="str">
        <f>$Q$9</f>
        <v>Education</v>
      </c>
      <c r="R154" s="683" t="str">
        <f>$R$9</f>
        <v>Other</v>
      </c>
      <c r="T154" s="113" t="str">
        <f>$E$6</f>
        <v>Office</v>
      </c>
      <c r="U154" s="173"/>
      <c r="V154" s="174"/>
      <c r="W154" s="174"/>
      <c r="X154" s="174"/>
      <c r="Y154" s="900" t="s">
        <v>871</v>
      </c>
      <c r="Z154" s="295" t="s">
        <v>25</v>
      </c>
      <c r="AA154" s="122" t="s">
        <v>725</v>
      </c>
      <c r="AB154" s="45" t="s">
        <v>860</v>
      </c>
      <c r="AI154" s="28"/>
      <c r="AJ154" s="46"/>
      <c r="AK154" s="46"/>
      <c r="AM154" s="114"/>
      <c r="AN154" s="114"/>
      <c r="AO154" s="114"/>
      <c r="AP154" s="114"/>
      <c r="AQ154" s="114"/>
      <c r="AR154" s="114"/>
      <c r="AS154" s="114"/>
      <c r="AT154" s="114"/>
      <c r="AU154" s="114"/>
      <c r="AV154" s="114"/>
      <c r="AW154" s="114"/>
      <c r="BO154" s="46"/>
      <c r="BP154" s="46"/>
      <c r="BQ154" s="46"/>
      <c r="BR154" s="46"/>
      <c r="BS154" s="46"/>
      <c r="BT154" s="46"/>
      <c r="BW154" s="39"/>
      <c r="BX154" s="39" t="str">
        <f>E154</f>
        <v>Waste</v>
      </c>
      <c r="BY154" s="39">
        <f>IFERROR(VLOOKUP($E154,'Pre-Assessment Estimator'!$E$11:$AI$227,'Pre-Assessment Estimator'!AI$2,FALSE),"")</f>
        <v>0</v>
      </c>
      <c r="BZ154" s="39" t="str">
        <f t="shared" si="376"/>
        <v/>
      </c>
      <c r="CA154" s="39" t="str">
        <f t="shared" si="376"/>
        <v/>
      </c>
      <c r="CB154" s="39"/>
      <c r="CC154" t="str">
        <f>IFERROR(VLOOKUP($BX154,$E$293:$H$326,I$291,FALSE),"")</f>
        <v/>
      </c>
    </row>
    <row r="155" spans="1:81">
      <c r="A155">
        <v>147</v>
      </c>
      <c r="B155" s="112" t="str">
        <f>D155</f>
        <v>Wst 01</v>
      </c>
      <c r="C155" s="112" t="str">
        <f>B155</f>
        <v>Wst 01</v>
      </c>
      <c r="D155" s="662" t="s">
        <v>444</v>
      </c>
      <c r="E155" s="660" t="s">
        <v>445</v>
      </c>
      <c r="F155" s="748">
        <f>SUM(F156:F158)</f>
        <v>5</v>
      </c>
      <c r="G155" s="748">
        <f t="shared" ref="G155:R155" si="377">SUM(G156:G158)</f>
        <v>5</v>
      </c>
      <c r="H155" s="748">
        <f t="shared" si="377"/>
        <v>5</v>
      </c>
      <c r="I155" s="748">
        <f t="shared" si="377"/>
        <v>5</v>
      </c>
      <c r="J155" s="748">
        <f t="shared" si="377"/>
        <v>5</v>
      </c>
      <c r="K155" s="748">
        <f t="shared" si="377"/>
        <v>5</v>
      </c>
      <c r="L155" s="748">
        <f t="shared" si="377"/>
        <v>5</v>
      </c>
      <c r="M155" s="748">
        <f t="shared" si="377"/>
        <v>5</v>
      </c>
      <c r="N155" s="748">
        <f t="shared" si="377"/>
        <v>5</v>
      </c>
      <c r="O155" s="748">
        <f t="shared" si="377"/>
        <v>5</v>
      </c>
      <c r="P155" s="748">
        <f t="shared" si="377"/>
        <v>5</v>
      </c>
      <c r="Q155" s="748">
        <f t="shared" ref="Q155" si="378">SUM(Q156:Q158)</f>
        <v>5</v>
      </c>
      <c r="R155" s="748">
        <f t="shared" si="377"/>
        <v>5</v>
      </c>
      <c r="T155" s="766">
        <f>HLOOKUP($E$6,$F$9:$R$231,$A155,FALSE)</f>
        <v>5</v>
      </c>
      <c r="U155" s="182"/>
      <c r="V155" s="53"/>
      <c r="W155" s="53"/>
      <c r="X155" s="53">
        <f>'Manuell filtrering og justering'!E68</f>
        <v>0</v>
      </c>
      <c r="Y155" s="53"/>
      <c r="Z155" s="748">
        <f t="shared" ref="Z155" si="379">SUM(Z156:Z158)</f>
        <v>5</v>
      </c>
      <c r="AA155" s="768">
        <f>IF(SUM(U155:Y155)&gt;T155,T155,SUM(U155:Y155))</f>
        <v>0</v>
      </c>
      <c r="AB155" s="820">
        <f>SUM(AB156:AB158)</f>
        <v>5</v>
      </c>
      <c r="AD155" s="141">
        <f t="shared" ref="AD155:AD165" si="380">(Wst_Weight/Wst_Credits)*AB155</f>
        <v>0.05</v>
      </c>
      <c r="AE155" s="736">
        <f>SUM(AE156:AE158)</f>
        <v>0</v>
      </c>
      <c r="AF155" s="736">
        <f t="shared" ref="AF155" si="381">SUM(AF156:AF158)</f>
        <v>0</v>
      </c>
      <c r="AG155" s="736">
        <f t="shared" ref="AG155" si="382">SUM(AG156:AG158)</f>
        <v>0</v>
      </c>
      <c r="AI155" s="748">
        <f t="shared" ref="AI155" si="383">SUM(AI156:AI158)</f>
        <v>0</v>
      </c>
      <c r="AJ155" s="748">
        <f t="shared" ref="AJ155" si="384">SUM(AJ156:AJ158)</f>
        <v>0</v>
      </c>
      <c r="AK155" s="748">
        <f t="shared" ref="AK155" si="385">SUM(AK156:AK158)</f>
        <v>0</v>
      </c>
      <c r="AM155" s="249"/>
      <c r="AN155" s="250"/>
      <c r="AO155" s="250"/>
      <c r="AP155" s="250"/>
      <c r="AQ155" s="251"/>
      <c r="AR155" s="114"/>
      <c r="AS155" s="249"/>
      <c r="AT155" s="250"/>
      <c r="AU155" s="250"/>
      <c r="AV155" s="250"/>
      <c r="AW155" s="251"/>
      <c r="AY155" s="144"/>
      <c r="AZ155" s="145"/>
      <c r="BA155" s="145"/>
      <c r="BB155" s="145"/>
      <c r="BC155" s="188"/>
      <c r="BD155" s="144">
        <f t="shared" si="60"/>
        <v>9</v>
      </c>
      <c r="BE155" s="37" t="str">
        <f t="shared" ref="BE155:BE165" si="386">VLOOKUP(BD155,$BO$284:$BT$290,6,FALSE)</f>
        <v>N/A</v>
      </c>
      <c r="BF155" s="148"/>
      <c r="BG155" s="144">
        <f>IF(BC155=0,9,IF(AJ155&gt;=BC155,5,IF(AJ155&gt;=BB155,4,IF(AJ155&gt;=BA155,3,IF(AJ155&gt;=AZ155,2,IF(AJ155&lt;AY155,0,1))))))</f>
        <v>9</v>
      </c>
      <c r="BH155" s="37" t="str">
        <f t="shared" ref="BH155:BH165" si="387">VLOOKUP(BG155,$BO$284:$BT$290,6,FALSE)</f>
        <v>N/A</v>
      </c>
      <c r="BI155" s="148"/>
      <c r="BJ155" s="144">
        <f t="shared" si="28"/>
        <v>9</v>
      </c>
      <c r="BK155" s="37" t="str">
        <f t="shared" ref="BK155:BK165" si="388">VLOOKUP(BJ155,$BO$284:$BT$290,6,FALSE)</f>
        <v>N/A</v>
      </c>
      <c r="BL155" s="148"/>
      <c r="BO155" s="35"/>
      <c r="BP155" s="35"/>
      <c r="BQ155" s="35" t="str">
        <f t="shared" si="342"/>
        <v/>
      </c>
      <c r="BR155" s="35">
        <f t="shared" si="198"/>
        <v>9</v>
      </c>
      <c r="BS155" s="35">
        <f t="shared" si="199"/>
        <v>9</v>
      </c>
      <c r="BT155" s="35">
        <f t="shared" si="200"/>
        <v>9</v>
      </c>
      <c r="BW155" s="37" t="str">
        <f>D155</f>
        <v>Wst 01</v>
      </c>
      <c r="BX155" s="37" t="str">
        <f>IFERROR(VLOOKUP($E155,'Pre-Assessment Estimator'!$E$11:$AB$227,'Pre-Assessment Estimator'!AB$2,FALSE),"")</f>
        <v>N/A</v>
      </c>
      <c r="BY155" s="37">
        <f>IFERROR(VLOOKUP($E155,'Pre-Assessment Estimator'!$E$11:$AI$227,'Pre-Assessment Estimator'!AI$2,FALSE),"")</f>
        <v>0</v>
      </c>
      <c r="BZ155" s="37">
        <f t="shared" si="376"/>
        <v>1</v>
      </c>
      <c r="CA155" s="37">
        <f t="shared" si="376"/>
        <v>0</v>
      </c>
      <c r="CB155" s="37"/>
      <c r="CC155" t="s">
        <v>895</v>
      </c>
    </row>
    <row r="156" spans="1:81">
      <c r="A156">
        <v>148</v>
      </c>
      <c r="B156" t="str">
        <f t="shared" ref="B156:B158" si="389">$D$155&amp;D156</f>
        <v>Wst 01a</v>
      </c>
      <c r="C156" t="str">
        <f t="shared" si="344"/>
        <v>Wst 01</v>
      </c>
      <c r="D156" s="135" t="s">
        <v>729</v>
      </c>
      <c r="E156" s="871" t="s">
        <v>660</v>
      </c>
      <c r="F156" s="753">
        <v>1</v>
      </c>
      <c r="G156" s="753">
        <v>1</v>
      </c>
      <c r="H156" s="753">
        <v>1</v>
      </c>
      <c r="I156" s="753">
        <v>1</v>
      </c>
      <c r="J156" s="753">
        <v>1</v>
      </c>
      <c r="K156" s="753">
        <v>1</v>
      </c>
      <c r="L156" s="753">
        <v>1</v>
      </c>
      <c r="M156" s="753">
        <v>1</v>
      </c>
      <c r="N156" s="753">
        <v>1</v>
      </c>
      <c r="O156" s="753">
        <v>1</v>
      </c>
      <c r="P156" s="753">
        <v>1</v>
      </c>
      <c r="Q156" s="753">
        <v>1</v>
      </c>
      <c r="R156" s="753">
        <v>1</v>
      </c>
      <c r="T156" s="139">
        <f>HLOOKUP($E$6,$F$9:$R$231,$A156,FALSE)</f>
        <v>1</v>
      </c>
      <c r="U156" s="137"/>
      <c r="V156" s="35"/>
      <c r="W156" s="35"/>
      <c r="X156" s="35"/>
      <c r="Y156" s="138"/>
      <c r="Z156" s="138">
        <f>VLOOKUP(B156,'Manuell filtrering og justering'!$A$7:$H$253,'Manuell filtrering og justering'!$H$1,FALSE)</f>
        <v>1</v>
      </c>
      <c r="AA156" s="139">
        <f>IF(SUM(U156:Y156)&gt;T156,T156,SUM(U156:Y156))</f>
        <v>0</v>
      </c>
      <c r="AB156" s="140">
        <f>IF($AC$5='Manuell filtrering og justering'!$J$2,Z156,(T156-AA156))</f>
        <v>1</v>
      </c>
      <c r="AD156" s="141">
        <f t="shared" si="380"/>
        <v>0.01</v>
      </c>
      <c r="AE156" s="141">
        <f t="shared" ref="AE156:AE165" si="390">IF(AB156=0,0,(AD156/AB156)*AI156)</f>
        <v>0</v>
      </c>
      <c r="AF156" s="141">
        <f t="shared" ref="AF156:AF165" si="391">IF(AB156=0,0,(AD156/AB156)*AJ156)</f>
        <v>0</v>
      </c>
      <c r="AG156" s="141">
        <f t="shared" ref="AG156:AG165" si="392">IF(AB156=0,0,(AD156/AB156)*AK156)</f>
        <v>0</v>
      </c>
      <c r="AI156" s="142">
        <f>IF(VLOOKUP(E156,'Pre-Assessment Estimator'!$E$11:$Z$227,'Pre-Assessment Estimator'!$G$2,FALSE)&gt;AB156,AB156,VLOOKUP(E156,'Pre-Assessment Estimator'!$E$11:$Z$227,'Pre-Assessment Estimator'!$G$2,FALSE))</f>
        <v>0</v>
      </c>
      <c r="AJ156" s="142">
        <f>IF(VLOOKUP(E156,'Pre-Assessment Estimator'!$E$11:$Z$227,'Pre-Assessment Estimator'!$N$2,FALSE)&gt;AB156,AB156,VLOOKUP(E156,'Pre-Assessment Estimator'!$E$11:$Z$227,'Pre-Assessment Estimator'!$N$2,FALSE))</f>
        <v>0</v>
      </c>
      <c r="AK156" s="142">
        <f>IF(VLOOKUP(E156,'Pre-Assessment Estimator'!$E$11:$Z$227,'Pre-Assessment Estimator'!$U$2,FALSE)&gt;AB156,AB156,VLOOKUP(E156,'Pre-Assessment Estimator'!$E$11:$Z$227,'Pre-Assessment Estimator'!$U$2,FALSE))</f>
        <v>0</v>
      </c>
      <c r="AM156" s="664"/>
      <c r="AN156" s="665"/>
      <c r="AO156" s="665">
        <v>1</v>
      </c>
      <c r="AP156" s="665">
        <v>1</v>
      </c>
      <c r="AQ156" s="666">
        <v>1</v>
      </c>
      <c r="AR156" s="114"/>
      <c r="AS156" s="664"/>
      <c r="AT156" s="665"/>
      <c r="AU156" s="665">
        <v>1</v>
      </c>
      <c r="AV156" s="665">
        <v>1</v>
      </c>
      <c r="AW156" s="666">
        <v>1</v>
      </c>
      <c r="AY156" s="657"/>
      <c r="AZ156" s="658"/>
      <c r="BA156" s="152">
        <f>IF($AB156=0,0,IF($E$6=$H$9,AU156,AO156))</f>
        <v>1</v>
      </c>
      <c r="BB156" s="152">
        <f>IF($AB156=0,0,IF($E$6=$H$9,AV156,AP156))</f>
        <v>1</v>
      </c>
      <c r="BC156" s="152">
        <f>IF($AB156=0,0,IF($E$6=$H$9,AW156,AQ156))</f>
        <v>1</v>
      </c>
      <c r="BD156" s="151">
        <f t="shared" ref="BD156:BD157" si="393">IF(BC156=0,9,IF(AI156&gt;=BC156,5,IF(AI156&gt;=BB156,4,IF(AI156&gt;=BA156,3,IF(AI156&gt;=AZ156,2,IF(AI156&lt;AY156,0,1))))))</f>
        <v>2</v>
      </c>
      <c r="BE156" s="37" t="str">
        <f t="shared" si="386"/>
        <v>Good</v>
      </c>
      <c r="BF156" s="154"/>
      <c r="BG156" s="151">
        <f t="shared" ref="BG156:BG157" si="394">IF(BC156=0,9,IF(AJ156&gt;=BC156,5,IF(AJ156&gt;=BB156,4,IF(AJ156&gt;=BA156,3,IF(AJ156&gt;=AZ156,2,IF(AJ156&lt;AY156,0,1))))))</f>
        <v>2</v>
      </c>
      <c r="BH156" s="37" t="str">
        <f t="shared" si="387"/>
        <v>Good</v>
      </c>
      <c r="BI156" s="154"/>
      <c r="BJ156" s="151">
        <f t="shared" ref="BJ156:BJ157" si="395">IF(BC156=0,9,IF(AK156&gt;=BC156,5,IF(AK156&gt;=BB156,4,IF(AK156&gt;=BA156,3,IF(AK156&gt;=AZ156,2,IF(AK156&lt;AY156,0,1))))))</f>
        <v>2</v>
      </c>
      <c r="BK156" s="37" t="str">
        <f t="shared" si="388"/>
        <v>Good</v>
      </c>
      <c r="BL156" s="659"/>
      <c r="BO156" s="35"/>
      <c r="BP156" s="915">
        <f>1*0</f>
        <v>0</v>
      </c>
      <c r="BQ156" s="35">
        <f t="shared" si="342"/>
        <v>0</v>
      </c>
      <c r="BR156" s="35">
        <f t="shared" si="198"/>
        <v>5</v>
      </c>
      <c r="BS156" s="35">
        <f t="shared" si="199"/>
        <v>5</v>
      </c>
      <c r="BT156" s="35">
        <f t="shared" si="200"/>
        <v>5</v>
      </c>
      <c r="BW156" s="37"/>
      <c r="BX156" s="37"/>
      <c r="BY156" s="37"/>
      <c r="BZ156" s="37"/>
      <c r="CA156" s="37"/>
      <c r="CB156" s="37"/>
    </row>
    <row r="157" spans="1:81">
      <c r="A157">
        <v>149</v>
      </c>
      <c r="B157" t="str">
        <f t="shared" si="389"/>
        <v>Wst 01b</v>
      </c>
      <c r="C157" t="str">
        <f t="shared" si="344"/>
        <v>Wst 01</v>
      </c>
      <c r="D157" s="135" t="s">
        <v>730</v>
      </c>
      <c r="E157" s="871" t="s">
        <v>661</v>
      </c>
      <c r="F157" s="753">
        <v>2</v>
      </c>
      <c r="G157" s="753">
        <v>2</v>
      </c>
      <c r="H157" s="753">
        <v>2</v>
      </c>
      <c r="I157" s="753">
        <v>2</v>
      </c>
      <c r="J157" s="753">
        <v>2</v>
      </c>
      <c r="K157" s="753">
        <v>2</v>
      </c>
      <c r="L157" s="753">
        <v>2</v>
      </c>
      <c r="M157" s="753">
        <v>2</v>
      </c>
      <c r="N157" s="753">
        <v>2</v>
      </c>
      <c r="O157" s="753">
        <v>2</v>
      </c>
      <c r="P157" s="753">
        <v>2</v>
      </c>
      <c r="Q157" s="753">
        <v>2</v>
      </c>
      <c r="R157" s="753">
        <v>2</v>
      </c>
      <c r="T157" s="139">
        <f>HLOOKUP($E$6,$F$9:$R$231,$A157,FALSE)</f>
        <v>2</v>
      </c>
      <c r="U157" s="137"/>
      <c r="V157" s="35"/>
      <c r="W157" s="35"/>
      <c r="X157" s="35"/>
      <c r="Y157" s="138"/>
      <c r="Z157" s="138">
        <f>VLOOKUP(B157,'Manuell filtrering og justering'!$A$7:$H$253,'Manuell filtrering og justering'!$H$1,FALSE)</f>
        <v>2</v>
      </c>
      <c r="AA157" s="139">
        <f>IF(SUM(U157:Y157)&gt;T157,T157,SUM(U157:Y157))</f>
        <v>0</v>
      </c>
      <c r="AB157" s="140">
        <f>IF($AC$5='Manuell filtrering og justering'!$J$2,Z157,(T157-AA157))</f>
        <v>2</v>
      </c>
      <c r="AD157" s="141">
        <f t="shared" si="380"/>
        <v>0.02</v>
      </c>
      <c r="AE157" s="141">
        <f t="shared" si="390"/>
        <v>0</v>
      </c>
      <c r="AF157" s="141">
        <f t="shared" si="391"/>
        <v>0</v>
      </c>
      <c r="AG157" s="141">
        <f t="shared" si="392"/>
        <v>0</v>
      </c>
      <c r="AI157" s="142">
        <f>IF(VLOOKUP(E157,'Pre-Assessment Estimator'!$E$11:$Z$227,'Pre-Assessment Estimator'!$G$2,FALSE)&gt;AB157,AB157,VLOOKUP(E157,'Pre-Assessment Estimator'!$E$11:$Z$227,'Pre-Assessment Estimator'!$G$2,FALSE))</f>
        <v>0</v>
      </c>
      <c r="AJ157" s="142">
        <f>IF(VLOOKUP(E157,'Pre-Assessment Estimator'!$E$11:$Z$227,'Pre-Assessment Estimator'!$N$2,FALSE)&gt;AB157,AB157,VLOOKUP(E157,'Pre-Assessment Estimator'!$E$11:$Z$227,'Pre-Assessment Estimator'!$N$2,FALSE))</f>
        <v>0</v>
      </c>
      <c r="AK157" s="142">
        <f>IF(VLOOKUP(E157,'Pre-Assessment Estimator'!$E$11:$Z$227,'Pre-Assessment Estimator'!$U$2,FALSE)&gt;AB157,AB157,VLOOKUP(E157,'Pre-Assessment Estimator'!$E$11:$Z$227,'Pre-Assessment Estimator'!$U$2,FALSE))</f>
        <v>0</v>
      </c>
      <c r="AM157" s="664"/>
      <c r="AN157" s="665"/>
      <c r="AO157" s="665"/>
      <c r="AP157" s="665"/>
      <c r="AQ157" s="666">
        <v>1</v>
      </c>
      <c r="AR157" s="114"/>
      <c r="AS157" s="664"/>
      <c r="AT157" s="665"/>
      <c r="AU157" s="665"/>
      <c r="AV157" s="665"/>
      <c r="AW157" s="666">
        <v>1</v>
      </c>
      <c r="AY157" s="657"/>
      <c r="AZ157" s="658"/>
      <c r="BA157" s="658"/>
      <c r="BB157" s="658"/>
      <c r="BC157" s="152">
        <f>IF($AB157=0,0,IF($E$6=$H$9,AW157,AQ157))</f>
        <v>1</v>
      </c>
      <c r="BD157" s="151">
        <f t="shared" si="393"/>
        <v>4</v>
      </c>
      <c r="BE157" s="37" t="str">
        <f t="shared" si="386"/>
        <v>Excellent</v>
      </c>
      <c r="BF157" s="154"/>
      <c r="BG157" s="151">
        <f t="shared" si="394"/>
        <v>4</v>
      </c>
      <c r="BH157" s="37" t="str">
        <f t="shared" si="387"/>
        <v>Excellent</v>
      </c>
      <c r="BI157" s="154"/>
      <c r="BJ157" s="151">
        <f t="shared" si="395"/>
        <v>4</v>
      </c>
      <c r="BK157" s="37" t="str">
        <f t="shared" si="388"/>
        <v>Excellent</v>
      </c>
      <c r="BL157" s="659"/>
      <c r="BO157" s="35"/>
      <c r="BP157" s="35"/>
      <c r="BQ157" s="35" t="str">
        <f t="shared" si="342"/>
        <v/>
      </c>
      <c r="BR157" s="35">
        <f t="shared" si="198"/>
        <v>9</v>
      </c>
      <c r="BS157" s="35">
        <f t="shared" si="199"/>
        <v>9</v>
      </c>
      <c r="BT157" s="35">
        <f t="shared" si="200"/>
        <v>9</v>
      </c>
      <c r="BW157" s="37"/>
      <c r="BX157" s="37"/>
      <c r="BY157" s="37"/>
      <c r="BZ157" s="37"/>
      <c r="CA157" s="37"/>
      <c r="CB157" s="37"/>
    </row>
    <row r="158" spans="1:81">
      <c r="A158">
        <v>150</v>
      </c>
      <c r="B158" t="str">
        <f t="shared" si="389"/>
        <v>Wst 01c</v>
      </c>
      <c r="C158" t="str">
        <f t="shared" si="344"/>
        <v>Wst 01</v>
      </c>
      <c r="D158" s="135" t="s">
        <v>731</v>
      </c>
      <c r="E158" s="871" t="s">
        <v>662</v>
      </c>
      <c r="F158" s="753">
        <v>2</v>
      </c>
      <c r="G158" s="753">
        <v>2</v>
      </c>
      <c r="H158" s="753">
        <v>2</v>
      </c>
      <c r="I158" s="753">
        <v>2</v>
      </c>
      <c r="J158" s="753">
        <v>2</v>
      </c>
      <c r="K158" s="753">
        <v>2</v>
      </c>
      <c r="L158" s="753">
        <v>2</v>
      </c>
      <c r="M158" s="753">
        <v>2</v>
      </c>
      <c r="N158" s="753">
        <v>2</v>
      </c>
      <c r="O158" s="753">
        <v>2</v>
      </c>
      <c r="P158" s="753">
        <v>2</v>
      </c>
      <c r="Q158" s="753">
        <v>2</v>
      </c>
      <c r="R158" s="753">
        <v>2</v>
      </c>
      <c r="T158" s="139">
        <f>HLOOKUP($E$6,$F$9:$R$231,$A158,FALSE)</f>
        <v>2</v>
      </c>
      <c r="U158" s="137"/>
      <c r="V158" s="35"/>
      <c r="W158" s="35"/>
      <c r="X158" s="35"/>
      <c r="Y158" s="138"/>
      <c r="Z158" s="138">
        <f>VLOOKUP(B158,'Manuell filtrering og justering'!$A$7:$H$253,'Manuell filtrering og justering'!$H$1,FALSE)</f>
        <v>2</v>
      </c>
      <c r="AA158" s="139">
        <f>IF(SUM(U158:Y158)&gt;T158,T158,SUM(U158:Y158))</f>
        <v>0</v>
      </c>
      <c r="AB158" s="140">
        <f>IF($AC$5='Manuell filtrering og justering'!$J$2,Z158,(T158-AA158))</f>
        <v>2</v>
      </c>
      <c r="AD158" s="141">
        <f t="shared" si="380"/>
        <v>0.02</v>
      </c>
      <c r="AE158" s="141">
        <f t="shared" si="390"/>
        <v>0</v>
      </c>
      <c r="AF158" s="141">
        <f t="shared" si="391"/>
        <v>0</v>
      </c>
      <c r="AG158" s="141">
        <f t="shared" si="392"/>
        <v>0</v>
      </c>
      <c r="AI158" s="142">
        <f>IF(VLOOKUP(E158,'Pre-Assessment Estimator'!$E$11:$Z$227,'Pre-Assessment Estimator'!$G$2,FALSE)&gt;AB158,AB158,VLOOKUP(E158,'Pre-Assessment Estimator'!$E$11:$Z$227,'Pre-Assessment Estimator'!$G$2,FALSE))</f>
        <v>0</v>
      </c>
      <c r="AJ158" s="142">
        <f>IF(VLOOKUP(E158,'Pre-Assessment Estimator'!$E$11:$Z$227,'Pre-Assessment Estimator'!$N$2,FALSE)&gt;AB158,AB158,VLOOKUP(E158,'Pre-Assessment Estimator'!$E$11:$Z$227,'Pre-Assessment Estimator'!$N$2,FALSE))</f>
        <v>0</v>
      </c>
      <c r="AK158" s="142">
        <f>IF(VLOOKUP(E158,'Pre-Assessment Estimator'!$E$11:$Z$227,'Pre-Assessment Estimator'!$U$2,FALSE)&gt;AB158,AB158,VLOOKUP(E158,'Pre-Assessment Estimator'!$E$11:$Z$227,'Pre-Assessment Estimator'!$U$2,FALSE))</f>
        <v>0</v>
      </c>
      <c r="AM158" s="664"/>
      <c r="AN158" s="665"/>
      <c r="AO158" s="665"/>
      <c r="AP158" s="665">
        <v>2</v>
      </c>
      <c r="AQ158" s="666">
        <v>2</v>
      </c>
      <c r="AR158" s="114"/>
      <c r="AS158" s="664"/>
      <c r="AT158" s="665"/>
      <c r="AU158" s="665"/>
      <c r="AV158" s="665">
        <v>2</v>
      </c>
      <c r="AW158" s="666">
        <v>2</v>
      </c>
      <c r="AY158" s="657"/>
      <c r="AZ158" s="658"/>
      <c r="BA158" s="658"/>
      <c r="BB158" s="152">
        <f>IF($AB158=0,0,IF($E$6=$H$9,AV158,AP158))</f>
        <v>2</v>
      </c>
      <c r="BC158" s="152">
        <f>IF($AB158=0,0,IF($E$6=$H$9,AW158,AQ158))</f>
        <v>2</v>
      </c>
      <c r="BD158" s="890">
        <f>IF(OR(AI158=0,AI158=1),3,IF(AND(AI158=2,BD251=5),5,3))</f>
        <v>3</v>
      </c>
      <c r="BE158" s="37" t="str">
        <f t="shared" si="386"/>
        <v>Very Good</v>
      </c>
      <c r="BF158" s="154"/>
      <c r="BG158" s="890">
        <f>IF(OR(AJ158=0,AJ158=1),3,IF(AND(AJ158=2,BG251=5),5,3))</f>
        <v>3</v>
      </c>
      <c r="BH158" s="37" t="str">
        <f t="shared" si="387"/>
        <v>Very Good</v>
      </c>
      <c r="BI158" s="154"/>
      <c r="BJ158" s="890">
        <f>IF(OR(AK158=0,AK158=1),3,IF(AND(AK158=2,BJ251=5),5,3))</f>
        <v>3</v>
      </c>
      <c r="BK158" s="37" t="str">
        <f t="shared" si="388"/>
        <v>Very Good</v>
      </c>
      <c r="BL158" s="659"/>
      <c r="BO158" s="35"/>
      <c r="BP158" s="915">
        <f>2*0</f>
        <v>0</v>
      </c>
      <c r="BQ158" s="35">
        <f t="shared" si="342"/>
        <v>0</v>
      </c>
      <c r="BR158" s="35">
        <f t="shared" si="198"/>
        <v>5</v>
      </c>
      <c r="BS158" s="35">
        <f t="shared" si="199"/>
        <v>5</v>
      </c>
      <c r="BT158" s="35">
        <f t="shared" si="200"/>
        <v>5</v>
      </c>
      <c r="BW158" s="37"/>
      <c r="BX158" s="37"/>
      <c r="BY158" s="37"/>
      <c r="BZ158" s="37"/>
      <c r="CA158" s="37"/>
      <c r="CB158" s="37"/>
    </row>
    <row r="159" spans="1:81">
      <c r="A159">
        <v>151</v>
      </c>
      <c r="D159" s="548" t="s">
        <v>759</v>
      </c>
      <c r="E159" s="549"/>
      <c r="F159" s="749"/>
      <c r="G159" s="749"/>
      <c r="H159" s="749"/>
      <c r="I159" s="749"/>
      <c r="J159" s="749"/>
      <c r="K159" s="749"/>
      <c r="L159" s="749"/>
      <c r="M159" s="749"/>
      <c r="N159" s="749"/>
      <c r="O159" s="749"/>
      <c r="P159" s="749"/>
      <c r="Q159" s="749"/>
      <c r="R159" s="749"/>
      <c r="T159" s="761"/>
      <c r="U159" s="548"/>
      <c r="V159" s="547"/>
      <c r="W159" s="547"/>
      <c r="X159" s="547"/>
      <c r="Y159" s="138"/>
      <c r="Z159" s="138"/>
      <c r="AA159" s="761"/>
      <c r="AB159" s="762"/>
      <c r="AD159" s="141">
        <f t="shared" si="380"/>
        <v>0</v>
      </c>
      <c r="AE159" s="765"/>
      <c r="AF159" s="765"/>
      <c r="AG159" s="765"/>
      <c r="AI159" s="562"/>
      <c r="AJ159" s="562"/>
      <c r="AK159" s="562"/>
      <c r="AM159" s="242"/>
      <c r="AN159" s="150"/>
      <c r="AO159" s="150"/>
      <c r="AP159" s="150"/>
      <c r="AQ159" s="155"/>
      <c r="AR159" s="114"/>
      <c r="AS159" s="242"/>
      <c r="AT159" s="150"/>
      <c r="AU159" s="150"/>
      <c r="AV159" s="150"/>
      <c r="AW159" s="155"/>
      <c r="AY159" s="151"/>
      <c r="AZ159" s="152"/>
      <c r="BA159" s="152"/>
      <c r="BB159" s="152"/>
      <c r="BC159" s="156"/>
      <c r="BD159" s="151">
        <f t="shared" si="60"/>
        <v>9</v>
      </c>
      <c r="BE159" s="37" t="str">
        <f t="shared" si="386"/>
        <v>N/A</v>
      </c>
      <c r="BF159" s="154"/>
      <c r="BG159" s="151">
        <f>IF(BC159=0,9,IF(AJ159&gt;=BC159,5,IF(AJ159&gt;=BB159,4,IF(AJ159&gt;=BA159,3,IF(AJ159&gt;=AZ159,2,IF(AJ159&lt;AY159,0,1))))))</f>
        <v>9</v>
      </c>
      <c r="BH159" s="37" t="str">
        <f t="shared" si="387"/>
        <v>N/A</v>
      </c>
      <c r="BI159" s="154"/>
      <c r="BJ159" s="151">
        <f t="shared" si="28"/>
        <v>9</v>
      </c>
      <c r="BK159" s="37" t="str">
        <f t="shared" si="388"/>
        <v>N/A</v>
      </c>
      <c r="BL159" s="154"/>
      <c r="BO159" s="35"/>
      <c r="BP159" s="35"/>
      <c r="BQ159" s="35" t="str">
        <f t="shared" si="342"/>
        <v/>
      </c>
      <c r="BR159" s="35">
        <f t="shared" ref="BR159:BR222" si="396">IF(BQ159="",9,(IF(AI159&gt;=BQ159,5,0)))</f>
        <v>9</v>
      </c>
      <c r="BS159" s="35">
        <f t="shared" ref="BS159:BS222" si="397">IF(BQ159="",9,(IF(AJ159&gt;=BQ159,5,0)))</f>
        <v>9</v>
      </c>
      <c r="BT159" s="35">
        <f t="shared" ref="BT159:BT222" si="398">IF(BQ159="",9,(IF(AK159&gt;=BQ159,5,0)))</f>
        <v>9</v>
      </c>
      <c r="BW159" s="239" t="str">
        <f>D159</f>
        <v>Wst 02</v>
      </c>
      <c r="BX159" s="239" t="str">
        <f>IFERROR(VLOOKUP($E159,'Pre-Assessment Estimator'!$E$11:$AB$227,'Pre-Assessment Estimator'!AB$2,FALSE),"")</f>
        <v/>
      </c>
      <c r="BY159" s="239" t="str">
        <f>IFERROR(VLOOKUP($E159,'Pre-Assessment Estimator'!$E$11:$AI$227,'Pre-Assessment Estimator'!AI$2,FALSE),"")</f>
        <v/>
      </c>
      <c r="BZ159" s="239" t="str">
        <f>IFERROR(VLOOKUP($BX159,$E$293:$H$326,F$291,FALSE),"")</f>
        <v/>
      </c>
      <c r="CA159" s="239" t="str">
        <f>IFERROR(VLOOKUP($BX159,$E$293:$H$326,G$291,FALSE),"")</f>
        <v/>
      </c>
      <c r="CB159" s="239"/>
      <c r="CC159" t="s">
        <v>895</v>
      </c>
    </row>
    <row r="160" spans="1:81">
      <c r="A160">
        <v>152</v>
      </c>
      <c r="B160" s="112" t="str">
        <f>D160</f>
        <v>Wst 03a</v>
      </c>
      <c r="C160" s="112" t="str">
        <f>B160</f>
        <v>Wst 03a</v>
      </c>
      <c r="D160" s="663" t="s">
        <v>451</v>
      </c>
      <c r="E160" s="661" t="s">
        <v>790</v>
      </c>
      <c r="F160" s="748">
        <f>SUM(F161)</f>
        <v>1</v>
      </c>
      <c r="G160" s="748">
        <f t="shared" ref="G160:R160" si="399">SUM(G161)</f>
        <v>1</v>
      </c>
      <c r="H160" s="748">
        <f t="shared" si="399"/>
        <v>0</v>
      </c>
      <c r="I160" s="748">
        <f t="shared" si="399"/>
        <v>1</v>
      </c>
      <c r="J160" s="748">
        <f t="shared" si="399"/>
        <v>1</v>
      </c>
      <c r="K160" s="748">
        <f t="shared" si="399"/>
        <v>1</v>
      </c>
      <c r="L160" s="748">
        <f t="shared" si="399"/>
        <v>1</v>
      </c>
      <c r="M160" s="748">
        <f t="shared" si="399"/>
        <v>1</v>
      </c>
      <c r="N160" s="748">
        <f t="shared" si="399"/>
        <v>1</v>
      </c>
      <c r="O160" s="748">
        <f t="shared" si="399"/>
        <v>1</v>
      </c>
      <c r="P160" s="748">
        <f t="shared" si="399"/>
        <v>1</v>
      </c>
      <c r="Q160" s="748">
        <f t="shared" si="399"/>
        <v>1</v>
      </c>
      <c r="R160" s="748">
        <f t="shared" si="399"/>
        <v>1</v>
      </c>
      <c r="T160" s="768">
        <f t="shared" ref="T160:T165" si="400">HLOOKUP($E$6,$F$9:$R$231,$A160,FALSE)</f>
        <v>1</v>
      </c>
      <c r="U160" s="182"/>
      <c r="V160" s="53"/>
      <c r="W160" s="53"/>
      <c r="X160" s="53">
        <f>'Manuell filtrering og justering'!E70</f>
        <v>0</v>
      </c>
      <c r="Y160" s="53"/>
      <c r="Z160" s="748">
        <f t="shared" ref="Z160" si="401">SUM(Z161)</f>
        <v>1</v>
      </c>
      <c r="AA160" s="139">
        <f t="shared" ref="AA160:AA165" si="402">IF(SUM(U160:Y160)&gt;T160,T160,SUM(U160:Y160))</f>
        <v>0</v>
      </c>
      <c r="AB160" s="820">
        <f>SUM(AB161)</f>
        <v>1</v>
      </c>
      <c r="AD160" s="141">
        <f t="shared" si="380"/>
        <v>0.01</v>
      </c>
      <c r="AE160" s="736">
        <f>SUM(AE161)</f>
        <v>0</v>
      </c>
      <c r="AF160" s="736">
        <f t="shared" ref="AF160:AG160" si="403">SUM(AF161)</f>
        <v>0</v>
      </c>
      <c r="AG160" s="736">
        <f t="shared" si="403"/>
        <v>0</v>
      </c>
      <c r="AI160" s="748">
        <f t="shared" ref="AI160" si="404">SUM(AI161)</f>
        <v>0</v>
      </c>
      <c r="AJ160" s="748">
        <f t="shared" ref="AJ160" si="405">SUM(AJ161)</f>
        <v>0</v>
      </c>
      <c r="AK160" s="748">
        <f t="shared" ref="AK160" si="406">SUM(AK161)</f>
        <v>0</v>
      </c>
      <c r="AM160" s="243"/>
      <c r="AN160" s="244"/>
      <c r="AO160" s="244"/>
      <c r="AP160" s="244"/>
      <c r="AQ160" s="245"/>
      <c r="AR160" s="114"/>
      <c r="AS160" s="243"/>
      <c r="AT160" s="244"/>
      <c r="AU160" s="244"/>
      <c r="AV160" s="244"/>
      <c r="AW160" s="245"/>
      <c r="AY160" s="137"/>
      <c r="AZ160" s="35"/>
      <c r="BA160" s="35"/>
      <c r="BB160" s="35"/>
      <c r="BC160" s="138"/>
      <c r="BD160" s="151">
        <f t="shared" si="60"/>
        <v>9</v>
      </c>
      <c r="BE160" s="37" t="str">
        <f t="shared" si="386"/>
        <v>N/A</v>
      </c>
      <c r="BF160" s="154"/>
      <c r="BG160" s="151">
        <f t="shared" ref="BG160:BG162" si="407">IF(BC160=0,9,IF(AJ160&gt;=BC160,5,IF(AJ160&gt;=BB160,4,IF(AJ160&gt;=BA160,3,IF(AJ160&gt;=AZ160,2,IF(AJ160&lt;AY160,0,1))))))</f>
        <v>9</v>
      </c>
      <c r="BH160" s="37" t="str">
        <f t="shared" si="387"/>
        <v>N/A</v>
      </c>
      <c r="BI160" s="154"/>
      <c r="BJ160" s="151">
        <f t="shared" si="28"/>
        <v>9</v>
      </c>
      <c r="BK160" s="37" t="str">
        <f t="shared" si="388"/>
        <v>N/A</v>
      </c>
      <c r="BL160" s="154"/>
      <c r="BO160" s="35"/>
      <c r="BP160" s="35"/>
      <c r="BQ160" s="35" t="str">
        <f t="shared" si="342"/>
        <v/>
      </c>
      <c r="BR160" s="35">
        <f t="shared" si="396"/>
        <v>9</v>
      </c>
      <c r="BS160" s="35">
        <f t="shared" si="397"/>
        <v>9</v>
      </c>
      <c r="BT160" s="35">
        <f t="shared" si="398"/>
        <v>9</v>
      </c>
      <c r="BW160" s="35" t="str">
        <f>D160</f>
        <v>Wst 03a</v>
      </c>
      <c r="BX160" s="35" t="str">
        <f>IFERROR(VLOOKUP($E160,'Pre-Assessment Estimator'!$E$11:$AB$227,'Pre-Assessment Estimator'!AB$2,FALSE),"")</f>
        <v>No</v>
      </c>
      <c r="BY160" s="35">
        <f>IFERROR(VLOOKUP($E160,'Pre-Assessment Estimator'!$E$11:$AI$227,'Pre-Assessment Estimator'!AI$2,FALSE),"")</f>
        <v>0</v>
      </c>
      <c r="BZ160" s="35">
        <f>IFERROR(VLOOKUP($BX160,$E$293:$H$326,F$291,FALSE),"")</f>
        <v>1</v>
      </c>
      <c r="CA160" s="35">
        <f>IFERROR(VLOOKUP($BX160,$E$293:$H$326,G$291,FALSE),"")</f>
        <v>0</v>
      </c>
      <c r="CB160" s="35"/>
      <c r="CC160" t="str">
        <f>IFERROR(VLOOKUP($BX160,$E$293:$H$326,I$291,FALSE),"")</f>
        <v/>
      </c>
    </row>
    <row r="161" spans="1:81">
      <c r="A161">
        <v>153</v>
      </c>
      <c r="B161" t="str">
        <f t="shared" ref="B161" si="408">$D$160&amp;D161</f>
        <v>Wst 03aa</v>
      </c>
      <c r="C161" t="str">
        <f t="shared" si="344"/>
        <v>Wst 03a</v>
      </c>
      <c r="D161" s="137" t="s">
        <v>729</v>
      </c>
      <c r="E161" s="857" t="s">
        <v>663</v>
      </c>
      <c r="F161" s="607">
        <v>1</v>
      </c>
      <c r="G161" s="607">
        <v>1</v>
      </c>
      <c r="H161" s="801">
        <v>0</v>
      </c>
      <c r="I161" s="607">
        <v>1</v>
      </c>
      <c r="J161" s="607">
        <v>1</v>
      </c>
      <c r="K161" s="607">
        <v>1</v>
      </c>
      <c r="L161" s="607">
        <v>1</v>
      </c>
      <c r="M161" s="607">
        <v>1</v>
      </c>
      <c r="N161" s="607">
        <v>1</v>
      </c>
      <c r="O161" s="607">
        <v>1</v>
      </c>
      <c r="P161" s="607">
        <v>1</v>
      </c>
      <c r="Q161" s="607">
        <v>1</v>
      </c>
      <c r="R161" s="607">
        <v>1</v>
      </c>
      <c r="T161" s="139">
        <f t="shared" si="400"/>
        <v>1</v>
      </c>
      <c r="U161" s="137"/>
      <c r="V161" s="35"/>
      <c r="W161" s="35"/>
      <c r="X161" s="35"/>
      <c r="Y161" s="138"/>
      <c r="Z161" s="138">
        <f>VLOOKUP(B161,'Manuell filtrering og justering'!$A$7:$H$253,'Manuell filtrering og justering'!$H$1,FALSE)</f>
        <v>1</v>
      </c>
      <c r="AA161" s="139">
        <f t="shared" si="402"/>
        <v>0</v>
      </c>
      <c r="AB161" s="140">
        <f>IF($AC$5='Manuell filtrering og justering'!$J$2,Z161,(T161-AA161))</f>
        <v>1</v>
      </c>
      <c r="AD161" s="141">
        <f t="shared" si="380"/>
        <v>0.01</v>
      </c>
      <c r="AE161" s="141">
        <f t="shared" si="390"/>
        <v>0</v>
      </c>
      <c r="AF161" s="141">
        <f t="shared" si="391"/>
        <v>0</v>
      </c>
      <c r="AG161" s="141">
        <f t="shared" si="392"/>
        <v>0</v>
      </c>
      <c r="AI161" s="142">
        <f>IF(VLOOKUP(E161,'Pre-Assessment Estimator'!$E$11:$Z$227,'Pre-Assessment Estimator'!$G$2,FALSE)&gt;AB161,AB161,VLOOKUP(E161,'Pre-Assessment Estimator'!$E$11:$Z$227,'Pre-Assessment Estimator'!$G$2,FALSE))</f>
        <v>0</v>
      </c>
      <c r="AJ161" s="142">
        <f>IF(VLOOKUP(E161,'Pre-Assessment Estimator'!$E$11:$Z$227,'Pre-Assessment Estimator'!$N$2,FALSE)&gt;AB161,AB161,VLOOKUP(E161,'Pre-Assessment Estimator'!$E$11:$Z$227,'Pre-Assessment Estimator'!$N$2,FALSE))</f>
        <v>0</v>
      </c>
      <c r="AK161" s="142">
        <f>IF(VLOOKUP(E161,'Pre-Assessment Estimator'!$E$11:$Z$227,'Pre-Assessment Estimator'!$U$2,FALSE)&gt;AB161,AB161,VLOOKUP(E161,'Pre-Assessment Estimator'!$E$11:$Z$227,'Pre-Assessment Estimator'!$U$2,FALSE))</f>
        <v>0</v>
      </c>
      <c r="AM161" s="678"/>
      <c r="AN161" s="679"/>
      <c r="AO161" s="679"/>
      <c r="AP161" s="679">
        <v>1</v>
      </c>
      <c r="AQ161" s="671">
        <v>1</v>
      </c>
      <c r="AR161" s="114"/>
      <c r="AS161" s="678"/>
      <c r="AT161" s="679"/>
      <c r="AU161" s="679"/>
      <c r="AV161" s="679"/>
      <c r="AW161" s="671"/>
      <c r="AY161" s="158"/>
      <c r="AZ161" s="40"/>
      <c r="BA161" s="40"/>
      <c r="BB161" s="152">
        <f>IF($AB161=0,0,IF($E$6=$H$9,AV161,AP161))</f>
        <v>1</v>
      </c>
      <c r="BC161" s="152">
        <f>IF($AB161=0,0,IF($E$6=$H$9,AW161,AQ161))</f>
        <v>1</v>
      </c>
      <c r="BD161" s="151">
        <f t="shared" si="60"/>
        <v>3</v>
      </c>
      <c r="BE161" s="37" t="str">
        <f t="shared" si="386"/>
        <v>Very Good</v>
      </c>
      <c r="BF161" s="154"/>
      <c r="BG161" s="151">
        <f>IF(BC161=0,9,IF(AJ161&gt;=BC161,5,IF(AJ161&gt;=BB161,4,IF(AJ161&gt;=BA161,3,IF(AJ161&gt;=AZ161,2,IF(AJ161&lt;AY161,0,1))))))</f>
        <v>3</v>
      </c>
      <c r="BH161" s="37" t="str">
        <f t="shared" si="387"/>
        <v>Very Good</v>
      </c>
      <c r="BI161" s="154"/>
      <c r="BJ161" s="151">
        <f t="shared" si="28"/>
        <v>3</v>
      </c>
      <c r="BK161" s="37" t="str">
        <f t="shared" si="388"/>
        <v>Very Good</v>
      </c>
      <c r="BL161" s="675"/>
      <c r="BO161" s="35"/>
      <c r="BP161" s="35"/>
      <c r="BQ161" s="35" t="str">
        <f t="shared" si="342"/>
        <v/>
      </c>
      <c r="BR161" s="35">
        <f t="shared" si="396"/>
        <v>9</v>
      </c>
      <c r="BS161" s="35">
        <f t="shared" si="397"/>
        <v>9</v>
      </c>
      <c r="BT161" s="35">
        <f t="shared" si="398"/>
        <v>9</v>
      </c>
      <c r="BW161" s="35"/>
      <c r="BX161" s="35"/>
      <c r="BY161" s="35"/>
      <c r="BZ161" s="35"/>
      <c r="CA161" s="35"/>
      <c r="CB161" s="35"/>
    </row>
    <row r="162" spans="1:81">
      <c r="A162">
        <v>154</v>
      </c>
      <c r="B162" s="112" t="str">
        <f>D162</f>
        <v>Wst 03b</v>
      </c>
      <c r="C162" s="112" t="str">
        <f>B162</f>
        <v>Wst 03b</v>
      </c>
      <c r="D162" s="663" t="s">
        <v>454</v>
      </c>
      <c r="E162" s="661" t="s">
        <v>791</v>
      </c>
      <c r="F162" s="748">
        <f>F163</f>
        <v>0</v>
      </c>
      <c r="G162" s="748">
        <f t="shared" ref="G162:R162" si="409">G163</f>
        <v>0</v>
      </c>
      <c r="H162" s="748">
        <f t="shared" si="409"/>
        <v>1</v>
      </c>
      <c r="I162" s="748">
        <f t="shared" si="409"/>
        <v>0</v>
      </c>
      <c r="J162" s="748">
        <f t="shared" si="409"/>
        <v>0</v>
      </c>
      <c r="K162" s="748">
        <f t="shared" si="409"/>
        <v>0</v>
      </c>
      <c r="L162" s="748">
        <f t="shared" si="409"/>
        <v>0</v>
      </c>
      <c r="M162" s="748">
        <f t="shared" si="409"/>
        <v>0</v>
      </c>
      <c r="N162" s="748">
        <f t="shared" si="409"/>
        <v>0</v>
      </c>
      <c r="O162" s="748">
        <f t="shared" si="409"/>
        <v>0</v>
      </c>
      <c r="P162" s="748">
        <f t="shared" si="409"/>
        <v>0</v>
      </c>
      <c r="Q162" s="748">
        <f t="shared" si="409"/>
        <v>0</v>
      </c>
      <c r="R162" s="748">
        <f t="shared" si="409"/>
        <v>0</v>
      </c>
      <c r="T162" s="768">
        <f t="shared" si="400"/>
        <v>0</v>
      </c>
      <c r="U162" s="182"/>
      <c r="V162" s="53"/>
      <c r="W162" s="53"/>
      <c r="X162" s="53"/>
      <c r="Y162" s="53"/>
      <c r="Z162" s="748">
        <f t="shared" ref="Z162" si="410">Z163</f>
        <v>0</v>
      </c>
      <c r="AA162" s="768">
        <f t="shared" si="402"/>
        <v>0</v>
      </c>
      <c r="AB162" s="820">
        <f>SUM(AB163)</f>
        <v>0</v>
      </c>
      <c r="AD162" s="141">
        <f t="shared" si="380"/>
        <v>0</v>
      </c>
      <c r="AE162" s="736">
        <f>SUM(AE163)</f>
        <v>0</v>
      </c>
      <c r="AF162" s="736">
        <f t="shared" ref="AF162:AG162" si="411">SUM(AF163)</f>
        <v>0</v>
      </c>
      <c r="AG162" s="736">
        <f t="shared" si="411"/>
        <v>0</v>
      </c>
      <c r="AI162" s="748">
        <f t="shared" ref="AI162" si="412">AI163</f>
        <v>0</v>
      </c>
      <c r="AJ162" s="748">
        <f t="shared" ref="AJ162" si="413">AJ163</f>
        <v>0</v>
      </c>
      <c r="AK162" s="748">
        <f t="shared" ref="AK162" si="414">AK163</f>
        <v>0</v>
      </c>
      <c r="AM162" s="678"/>
      <c r="AN162" s="679"/>
      <c r="AO162" s="679"/>
      <c r="AP162" s="679"/>
      <c r="AQ162" s="671"/>
      <c r="AR162" s="114"/>
      <c r="AS162" s="678"/>
      <c r="AT162" s="679"/>
      <c r="AU162" s="679"/>
      <c r="AV162" s="679"/>
      <c r="AW162" s="671"/>
      <c r="AY162" s="158"/>
      <c r="AZ162" s="40"/>
      <c r="BA162" s="40"/>
      <c r="BB162" s="40"/>
      <c r="BC162" s="680"/>
      <c r="BD162" s="151">
        <f t="shared" si="60"/>
        <v>9</v>
      </c>
      <c r="BE162" s="37" t="str">
        <f t="shared" si="386"/>
        <v>N/A</v>
      </c>
      <c r="BF162" s="154"/>
      <c r="BG162" s="151">
        <f t="shared" si="407"/>
        <v>9</v>
      </c>
      <c r="BH162" s="37" t="str">
        <f t="shared" si="387"/>
        <v>N/A</v>
      </c>
      <c r="BI162" s="154"/>
      <c r="BJ162" s="151">
        <f t="shared" si="28"/>
        <v>9</v>
      </c>
      <c r="BK162" s="37" t="str">
        <f t="shared" si="388"/>
        <v>N/A</v>
      </c>
      <c r="BL162" s="675"/>
      <c r="BO162" s="35"/>
      <c r="BP162" s="35"/>
      <c r="BQ162" s="35" t="str">
        <f t="shared" si="342"/>
        <v/>
      </c>
      <c r="BR162" s="35">
        <f t="shared" si="396"/>
        <v>9</v>
      </c>
      <c r="BS162" s="35">
        <f t="shared" si="397"/>
        <v>9</v>
      </c>
      <c r="BT162" s="35">
        <f t="shared" si="398"/>
        <v>9</v>
      </c>
      <c r="BW162" s="35"/>
      <c r="BX162" s="35"/>
      <c r="BY162" s="35"/>
      <c r="BZ162" s="35"/>
      <c r="CA162" s="35"/>
      <c r="CB162" s="35"/>
    </row>
    <row r="163" spans="1:81">
      <c r="A163">
        <v>155</v>
      </c>
      <c r="B163" t="str">
        <f t="shared" ref="B163" si="415">$D$162&amp;D163</f>
        <v>Wst 03ba</v>
      </c>
      <c r="C163" t="str">
        <f t="shared" si="344"/>
        <v>Wst 03b</v>
      </c>
      <c r="D163" s="137" t="s">
        <v>729</v>
      </c>
      <c r="E163" s="857" t="s">
        <v>792</v>
      </c>
      <c r="F163" s="607">
        <v>0</v>
      </c>
      <c r="G163" s="607">
        <v>0</v>
      </c>
      <c r="H163" s="801">
        <v>1</v>
      </c>
      <c r="I163" s="607">
        <v>0</v>
      </c>
      <c r="J163" s="607">
        <v>0</v>
      </c>
      <c r="K163" s="607">
        <v>0</v>
      </c>
      <c r="L163" s="607">
        <v>0</v>
      </c>
      <c r="M163" s="607">
        <v>0</v>
      </c>
      <c r="N163" s="607">
        <v>0</v>
      </c>
      <c r="O163" s="607">
        <v>0</v>
      </c>
      <c r="P163" s="607">
        <v>0</v>
      </c>
      <c r="Q163" s="607">
        <v>0</v>
      </c>
      <c r="R163" s="607">
        <v>0</v>
      </c>
      <c r="T163" s="139">
        <f t="shared" si="400"/>
        <v>0</v>
      </c>
      <c r="U163" s="137"/>
      <c r="V163" s="35"/>
      <c r="W163" s="35"/>
      <c r="X163" s="35"/>
      <c r="Y163" s="138"/>
      <c r="Z163" s="138">
        <f>VLOOKUP(B163,'Manuell filtrering og justering'!$A$7:$H$253,'Manuell filtrering og justering'!$H$1,FALSE)</f>
        <v>0</v>
      </c>
      <c r="AA163" s="139">
        <f t="shared" si="402"/>
        <v>0</v>
      </c>
      <c r="AB163" s="140">
        <f>IF($AC$5='Manuell filtrering og justering'!$J$2,Z163,(T163-AA163))</f>
        <v>0</v>
      </c>
      <c r="AD163" s="141">
        <f t="shared" si="380"/>
        <v>0</v>
      </c>
      <c r="AE163" s="141">
        <f t="shared" si="390"/>
        <v>0</v>
      </c>
      <c r="AF163" s="141">
        <f t="shared" si="391"/>
        <v>0</v>
      </c>
      <c r="AG163" s="141">
        <f t="shared" si="392"/>
        <v>0</v>
      </c>
      <c r="AI163" s="142">
        <f>IF(VLOOKUP(E163,'Pre-Assessment Estimator'!$E$11:$Z$227,'Pre-Assessment Estimator'!$G$2,FALSE)&gt;AB163,AB163,VLOOKUP(E163,'Pre-Assessment Estimator'!$E$11:$Z$227,'Pre-Assessment Estimator'!$G$2,FALSE))</f>
        <v>0</v>
      </c>
      <c r="AJ163" s="142">
        <f>IF(VLOOKUP(E163,'Pre-Assessment Estimator'!$E$11:$Z$227,'Pre-Assessment Estimator'!$N$2,FALSE)&gt;AB163,AB163,VLOOKUP(E163,'Pre-Assessment Estimator'!$E$11:$Z$227,'Pre-Assessment Estimator'!$N$2,FALSE))</f>
        <v>0</v>
      </c>
      <c r="AK163" s="142">
        <f>IF(VLOOKUP(E163,'Pre-Assessment Estimator'!$E$11:$Z$227,'Pre-Assessment Estimator'!$U$2,FALSE)&gt;AB163,AB163,VLOOKUP(E163,'Pre-Assessment Estimator'!$E$11:$Z$227,'Pre-Assessment Estimator'!$U$2,FALSE))</f>
        <v>0</v>
      </c>
      <c r="AM163" s="678"/>
      <c r="AN163" s="679"/>
      <c r="AO163" s="679"/>
      <c r="AP163" s="679"/>
      <c r="AQ163" s="671"/>
      <c r="AR163" s="114"/>
      <c r="AS163" s="678"/>
      <c r="AT163" s="679"/>
      <c r="AU163" s="679"/>
      <c r="AV163" s="679">
        <v>1</v>
      </c>
      <c r="AW163" s="671">
        <v>1</v>
      </c>
      <c r="AY163" s="158"/>
      <c r="AZ163" s="40"/>
      <c r="BA163" s="40"/>
      <c r="BB163" s="152">
        <f>IF($AB163=0,0,IF($E$6=$H$9,AV163,AP163))</f>
        <v>0</v>
      </c>
      <c r="BC163" s="152">
        <f>IF($AB163=0,0,IF($E$6=$H$9,AW163,AQ163))</f>
        <v>0</v>
      </c>
      <c r="BD163" s="151">
        <f t="shared" ref="BD163" si="416">IF(BC163=0,9,IF(AI163&gt;=BC163,5,IF(AI163&gt;=BB163,4,IF(AI163&gt;=BA163,3,IF(AI163&gt;=AZ163,2,IF(AI163&lt;AY163,0,1))))))</f>
        <v>9</v>
      </c>
      <c r="BE163" s="37" t="str">
        <f t="shared" si="386"/>
        <v>N/A</v>
      </c>
      <c r="BF163" s="154"/>
      <c r="BG163" s="151">
        <f>IF(BC163=0,9,IF(AJ163&gt;=BC163,5,IF(AJ163&gt;=BB163,4,IF(AJ163&gt;=BA163,3,IF(AJ163&gt;=AZ163,2,IF(AJ163&lt;AY163,0,1))))))</f>
        <v>9</v>
      </c>
      <c r="BH163" s="37" t="str">
        <f t="shared" si="387"/>
        <v>N/A</v>
      </c>
      <c r="BI163" s="154"/>
      <c r="BJ163" s="151">
        <f t="shared" ref="BJ163" si="417">IF(BC163=0,9,IF(AK163&gt;=BC163,5,IF(AK163&gt;=BB163,4,IF(AK163&gt;=BA163,3,IF(AK163&gt;=AZ163,2,IF(AK163&lt;AY163,0,1))))))</f>
        <v>9</v>
      </c>
      <c r="BK163" s="37" t="str">
        <f t="shared" si="388"/>
        <v>N/A</v>
      </c>
      <c r="BL163" s="675"/>
      <c r="BO163" s="35"/>
      <c r="BP163" s="35"/>
      <c r="BQ163" s="35" t="str">
        <f t="shared" si="342"/>
        <v/>
      </c>
      <c r="BR163" s="35">
        <f t="shared" si="396"/>
        <v>9</v>
      </c>
      <c r="BS163" s="35">
        <f t="shared" si="397"/>
        <v>9</v>
      </c>
      <c r="BT163" s="35">
        <f t="shared" si="398"/>
        <v>9</v>
      </c>
      <c r="BW163" s="35"/>
      <c r="BX163" s="35"/>
      <c r="BY163" s="35"/>
      <c r="BZ163" s="35"/>
      <c r="CA163" s="35"/>
      <c r="CB163" s="35"/>
    </row>
    <row r="164" spans="1:81" ht="15.75" thickBot="1">
      <c r="A164">
        <v>156</v>
      </c>
      <c r="B164" s="112" t="str">
        <f>D164</f>
        <v>Wst 04</v>
      </c>
      <c r="C164" s="112" t="str">
        <f>B164</f>
        <v>Wst 04</v>
      </c>
      <c r="D164" s="663" t="s">
        <v>456</v>
      </c>
      <c r="E164" s="661" t="s">
        <v>918</v>
      </c>
      <c r="F164" s="748">
        <f>F165</f>
        <v>1</v>
      </c>
      <c r="G164" s="748">
        <f t="shared" ref="G164:R164" si="418">G165</f>
        <v>0</v>
      </c>
      <c r="H164" s="748">
        <f t="shared" si="418"/>
        <v>1</v>
      </c>
      <c r="I164" s="748">
        <f t="shared" si="418"/>
        <v>0</v>
      </c>
      <c r="J164" s="748">
        <f t="shared" si="418"/>
        <v>0</v>
      </c>
      <c r="K164" s="748">
        <f t="shared" si="418"/>
        <v>0</v>
      </c>
      <c r="L164" s="748">
        <f t="shared" si="418"/>
        <v>0</v>
      </c>
      <c r="M164" s="748">
        <f t="shared" si="418"/>
        <v>0</v>
      </c>
      <c r="N164" s="748">
        <f t="shared" si="418"/>
        <v>0</v>
      </c>
      <c r="O164" s="748">
        <f t="shared" si="418"/>
        <v>0</v>
      </c>
      <c r="P164" s="748">
        <f t="shared" si="418"/>
        <v>0</v>
      </c>
      <c r="Q164" s="748">
        <f t="shared" si="418"/>
        <v>0</v>
      </c>
      <c r="R164" s="748">
        <f t="shared" si="418"/>
        <v>0</v>
      </c>
      <c r="T164" s="768">
        <f t="shared" si="400"/>
        <v>1</v>
      </c>
      <c r="U164" s="182">
        <f>U165</f>
        <v>0</v>
      </c>
      <c r="V164" s="53"/>
      <c r="W164" s="53"/>
      <c r="X164" s="53">
        <f>'Manuell filtrering og justering'!E71</f>
        <v>0</v>
      </c>
      <c r="Y164" s="53"/>
      <c r="Z164" s="748">
        <f t="shared" ref="Z164" si="419">Z165</f>
        <v>0</v>
      </c>
      <c r="AA164" s="768">
        <f t="shared" si="402"/>
        <v>0</v>
      </c>
      <c r="AB164" s="820">
        <f>SUM(AB165)</f>
        <v>1</v>
      </c>
      <c r="AD164" s="141">
        <f t="shared" si="380"/>
        <v>0.01</v>
      </c>
      <c r="AE164" s="736">
        <f>SUM(AE165)</f>
        <v>0</v>
      </c>
      <c r="AF164" s="736">
        <f t="shared" ref="AF164:AG164" si="420">SUM(AF165)</f>
        <v>0</v>
      </c>
      <c r="AG164" s="736">
        <f t="shared" si="420"/>
        <v>0</v>
      </c>
      <c r="AI164" s="748">
        <f t="shared" ref="AI164" si="421">AI165</f>
        <v>0</v>
      </c>
      <c r="AJ164" s="748">
        <f t="shared" ref="AJ164" si="422">AJ165</f>
        <v>0</v>
      </c>
      <c r="AK164" s="748">
        <f t="shared" ref="AK164" si="423">AK165</f>
        <v>0</v>
      </c>
      <c r="AM164" s="246"/>
      <c r="AN164" s="247"/>
      <c r="AO164" s="247"/>
      <c r="AP164" s="247"/>
      <c r="AQ164" s="248"/>
      <c r="AR164" s="114"/>
      <c r="AS164" s="246"/>
      <c r="AT164" s="247"/>
      <c r="AU164" s="247"/>
      <c r="AV164" s="247"/>
      <c r="AW164" s="248"/>
      <c r="AY164" s="159"/>
      <c r="AZ164" s="161"/>
      <c r="BA164" s="161"/>
      <c r="BB164" s="161"/>
      <c r="BC164" s="162"/>
      <c r="BD164" s="163">
        <f t="shared" si="60"/>
        <v>9</v>
      </c>
      <c r="BE164" s="37" t="str">
        <f t="shared" si="386"/>
        <v>N/A</v>
      </c>
      <c r="BF164" s="164"/>
      <c r="BG164" s="163">
        <f>IF(BC164=0,9,IF(AJ164&gt;=BC164,5,IF(AJ164&gt;=BB164,4,IF(AJ164&gt;=BA164,3,IF(AJ164&gt;=AZ164,2,IF(AJ164&lt;AY164,0,1))))))</f>
        <v>9</v>
      </c>
      <c r="BH164" s="37" t="str">
        <f t="shared" si="387"/>
        <v>N/A</v>
      </c>
      <c r="BI164" s="164"/>
      <c r="BJ164" s="163">
        <f t="shared" si="28"/>
        <v>9</v>
      </c>
      <c r="BK164" s="37" t="str">
        <f t="shared" si="388"/>
        <v>N/A</v>
      </c>
      <c r="BL164" s="164"/>
      <c r="BO164" s="35"/>
      <c r="BP164" s="35"/>
      <c r="BQ164" s="35" t="str">
        <f t="shared" si="342"/>
        <v/>
      </c>
      <c r="BR164" s="35">
        <f t="shared" si="396"/>
        <v>9</v>
      </c>
      <c r="BS164" s="35">
        <f t="shared" si="397"/>
        <v>9</v>
      </c>
      <c r="BT164" s="35">
        <f t="shared" si="398"/>
        <v>9</v>
      </c>
      <c r="BW164" s="35" t="str">
        <f>D164</f>
        <v>Wst 04</v>
      </c>
      <c r="BX164" s="35" t="str">
        <f>IFERROR(VLOOKUP($E164,'Pre-Assessment Estimator'!$E$11:$AB$227,'Pre-Assessment Estimator'!AB$2,FALSE),"")</f>
        <v>No</v>
      </c>
      <c r="BY164" s="35">
        <f>IFERROR(VLOOKUP($E164,'Pre-Assessment Estimator'!$E$11:$AI$227,'Pre-Assessment Estimator'!AI$2,FALSE),"")</f>
        <v>0</v>
      </c>
      <c r="BZ164" s="35">
        <f>IFERROR(VLOOKUP($BX164,$E$293:$H$326,F$291,FALSE),"")</f>
        <v>1</v>
      </c>
      <c r="CA164" s="35">
        <f>IFERROR(VLOOKUP($BX164,$E$293:$H$326,G$291,FALSE),"")</f>
        <v>0</v>
      </c>
      <c r="CB164" s="35"/>
      <c r="CC164" t="str">
        <f>IFERROR(VLOOKUP($BX164,$E$293:$H$326,I$291,FALSE),"")</f>
        <v/>
      </c>
    </row>
    <row r="165" spans="1:81" ht="15.75" thickBot="1">
      <c r="A165">
        <v>157</v>
      </c>
      <c r="B165" t="str">
        <f>$D$164&amp;D165</f>
        <v>Wst 04a</v>
      </c>
      <c r="C165" t="str">
        <f t="shared" si="344"/>
        <v>Wst 04</v>
      </c>
      <c r="D165" s="189" t="s">
        <v>729</v>
      </c>
      <c r="E165" s="857" t="s">
        <v>794</v>
      </c>
      <c r="F165" s="756">
        <v>1</v>
      </c>
      <c r="G165" s="873">
        <v>0</v>
      </c>
      <c r="H165" s="756">
        <v>1</v>
      </c>
      <c r="I165" s="873">
        <v>0</v>
      </c>
      <c r="J165" s="873">
        <v>0</v>
      </c>
      <c r="K165" s="873">
        <v>0</v>
      </c>
      <c r="L165" s="873">
        <v>0</v>
      </c>
      <c r="M165" s="873">
        <v>0</v>
      </c>
      <c r="N165" s="873">
        <v>0</v>
      </c>
      <c r="O165" s="873">
        <v>0</v>
      </c>
      <c r="P165" s="873">
        <v>0</v>
      </c>
      <c r="Q165" s="873">
        <v>0</v>
      </c>
      <c r="R165" s="873">
        <v>0</v>
      </c>
      <c r="T165" s="139">
        <f t="shared" si="400"/>
        <v>1</v>
      </c>
      <c r="U165" s="158">
        <f>IF(AND(ADBT0=ADBT12,'Assessment Details'!F6&lt;&gt;'Assessment Details'!V8),Poeng!T165,0)</f>
        <v>0</v>
      </c>
      <c r="V165" s="40"/>
      <c r="W165" s="40"/>
      <c r="X165" s="40"/>
      <c r="Y165" s="139">
        <f>IF($Y$4=$Y$6,T165,0)</f>
        <v>0</v>
      </c>
      <c r="Z165" s="138">
        <f>VLOOKUP(B165,'Manuell filtrering og justering'!$A$7:$H$253,'Manuell filtrering og justering'!$H$1,FALSE)</f>
        <v>0</v>
      </c>
      <c r="AA165" s="139">
        <f t="shared" si="402"/>
        <v>0</v>
      </c>
      <c r="AB165" s="140">
        <f>IF($AC$5='Manuell filtrering og justering'!$J$2,Z165,(T165-AA165))</f>
        <v>1</v>
      </c>
      <c r="AD165" s="141">
        <f t="shared" si="380"/>
        <v>0.01</v>
      </c>
      <c r="AE165" s="141">
        <f t="shared" si="390"/>
        <v>0</v>
      </c>
      <c r="AF165" s="141">
        <f t="shared" si="391"/>
        <v>0</v>
      </c>
      <c r="AG165" s="141">
        <f t="shared" si="392"/>
        <v>0</v>
      </c>
      <c r="AI165" s="142">
        <f>IF(VLOOKUP(E165,'Pre-Assessment Estimator'!$E$11:$Z$227,'Pre-Assessment Estimator'!$G$2,FALSE)&gt;AB165,AB165,VLOOKUP(E165,'Pre-Assessment Estimator'!$E$11:$Z$227,'Pre-Assessment Estimator'!$G$2,FALSE))</f>
        <v>0</v>
      </c>
      <c r="AJ165" s="142">
        <f>IF(VLOOKUP(E165,'Pre-Assessment Estimator'!$E$11:$Z$227,'Pre-Assessment Estimator'!$N$2,FALSE)&gt;AB165,AB165,VLOOKUP(E165,'Pre-Assessment Estimator'!$E$11:$Z$227,'Pre-Assessment Estimator'!$N$2,FALSE))</f>
        <v>0</v>
      </c>
      <c r="AK165" s="142">
        <f>IF(VLOOKUP(E165,'Pre-Assessment Estimator'!$E$11:$Z$227,'Pre-Assessment Estimator'!$U$2,FALSE)&gt;AB165,AB165,VLOOKUP(E165,'Pre-Assessment Estimator'!$E$11:$Z$227,'Pre-Assessment Estimator'!$U$2,FALSE))</f>
        <v>0</v>
      </c>
      <c r="AM165" s="246"/>
      <c r="AN165" s="247"/>
      <c r="AO165" s="247"/>
      <c r="AP165" s="247"/>
      <c r="AQ165" s="248"/>
      <c r="AR165" s="114"/>
      <c r="AS165" s="246"/>
      <c r="AT165" s="247"/>
      <c r="AU165" s="247"/>
      <c r="AV165" s="247"/>
      <c r="AW165" s="248"/>
      <c r="AY165" s="159"/>
      <c r="AZ165" s="161"/>
      <c r="BA165" s="161"/>
      <c r="BB165" s="161"/>
      <c r="BC165" s="162"/>
      <c r="BD165" s="163">
        <f t="shared" ref="BD165" si="424">IF(BC165=0,9,IF(AI165&gt;=BC165,5,IF(AI165&gt;=BB165,4,IF(AI165&gt;=BA165,3,IF(AI165&gt;=AZ165,2,IF(AI165&lt;AY165,0,1))))))</f>
        <v>9</v>
      </c>
      <c r="BE165" s="37" t="str">
        <f t="shared" si="386"/>
        <v>N/A</v>
      </c>
      <c r="BF165" s="164"/>
      <c r="BG165" s="163">
        <f>IF(BC165=0,9,IF(AJ165&gt;=BC165,5,IF(AJ165&gt;=BB165,4,IF(AJ165&gt;=BA165,3,IF(AJ165&gt;=AZ165,2,IF(AJ165&lt;AY165,0,1))))))</f>
        <v>9</v>
      </c>
      <c r="BH165" s="37" t="str">
        <f t="shared" si="387"/>
        <v>N/A</v>
      </c>
      <c r="BI165" s="164"/>
      <c r="BJ165" s="163">
        <f t="shared" ref="BJ165" si="425">IF(BC165=0,9,IF(AK165&gt;=BC165,5,IF(AK165&gt;=BB165,4,IF(AK165&gt;=BA165,3,IF(AK165&gt;=AZ165,2,IF(AK165&lt;AY165,0,1))))))</f>
        <v>9</v>
      </c>
      <c r="BK165" s="37" t="str">
        <f t="shared" si="388"/>
        <v>N/A</v>
      </c>
      <c r="BL165" s="164"/>
      <c r="BO165" s="35"/>
      <c r="BP165" s="35"/>
      <c r="BQ165" s="35" t="str">
        <f t="shared" si="342"/>
        <v/>
      </c>
      <c r="BR165" s="35">
        <f t="shared" si="396"/>
        <v>9</v>
      </c>
      <c r="BS165" s="35">
        <f t="shared" si="397"/>
        <v>9</v>
      </c>
      <c r="BT165" s="35">
        <f t="shared" si="398"/>
        <v>9</v>
      </c>
      <c r="BW165" s="55"/>
      <c r="BX165" s="55"/>
      <c r="BY165" s="55"/>
      <c r="BZ165" s="55"/>
      <c r="CA165" s="55"/>
      <c r="CB165" s="55"/>
    </row>
    <row r="166" spans="1:81" ht="15.75" thickBot="1">
      <c r="A166">
        <v>158</v>
      </c>
      <c r="B166" t="s">
        <v>459</v>
      </c>
      <c r="D166" s="165"/>
      <c r="E166" s="42" t="s">
        <v>725</v>
      </c>
      <c r="F166" s="611">
        <f>F155+F160+F162+F164</f>
        <v>7</v>
      </c>
      <c r="G166" s="611">
        <f t="shared" ref="G166:R166" si="426">G155+G160+G162+G164</f>
        <v>6</v>
      </c>
      <c r="H166" s="611">
        <f t="shared" si="426"/>
        <v>7</v>
      </c>
      <c r="I166" s="611">
        <f t="shared" si="426"/>
        <v>6</v>
      </c>
      <c r="J166" s="611">
        <f t="shared" si="426"/>
        <v>6</v>
      </c>
      <c r="K166" s="611">
        <f t="shared" si="426"/>
        <v>6</v>
      </c>
      <c r="L166" s="611">
        <f t="shared" si="426"/>
        <v>6</v>
      </c>
      <c r="M166" s="611">
        <f t="shared" si="426"/>
        <v>6</v>
      </c>
      <c r="N166" s="611">
        <f t="shared" si="426"/>
        <v>6</v>
      </c>
      <c r="O166" s="611">
        <f t="shared" si="426"/>
        <v>6</v>
      </c>
      <c r="P166" s="611">
        <f t="shared" si="426"/>
        <v>6</v>
      </c>
      <c r="Q166" s="611">
        <f t="shared" ref="Q166" si="427">Q155+Q160+Q162+Q164</f>
        <v>6</v>
      </c>
      <c r="R166" s="611">
        <f t="shared" si="426"/>
        <v>6</v>
      </c>
      <c r="T166" s="186">
        <f>HLOOKUP($E$6,$F$9:$R$231,$A166,FALSE)</f>
        <v>7</v>
      </c>
      <c r="U166" s="167"/>
      <c r="V166" s="168"/>
      <c r="W166" s="168"/>
      <c r="X166" s="168"/>
      <c r="Y166" s="169"/>
      <c r="Z166" s="169"/>
      <c r="AA166" s="611">
        <f t="shared" ref="AA166:AG166" si="428">AA155+AA160+AA162+AA164</f>
        <v>0</v>
      </c>
      <c r="AB166" s="611">
        <f t="shared" si="428"/>
        <v>7</v>
      </c>
      <c r="AD166" s="171">
        <f t="shared" si="428"/>
        <v>7.0000000000000007E-2</v>
      </c>
      <c r="AE166" s="171">
        <f t="shared" si="428"/>
        <v>0</v>
      </c>
      <c r="AF166" s="171">
        <f t="shared" si="428"/>
        <v>0</v>
      </c>
      <c r="AG166" s="171">
        <f t="shared" si="428"/>
        <v>0</v>
      </c>
      <c r="AI166" s="64">
        <f t="shared" ref="AI166:AK166" si="429">AI155+AI160+AI162+AI164</f>
        <v>0</v>
      </c>
      <c r="AJ166" s="64">
        <f t="shared" si="429"/>
        <v>0</v>
      </c>
      <c r="AK166" s="64">
        <f t="shared" si="429"/>
        <v>0</v>
      </c>
      <c r="AM166" s="114"/>
      <c r="AN166" s="114"/>
      <c r="AO166" s="114"/>
      <c r="AP166" s="114"/>
      <c r="AQ166" s="114"/>
      <c r="AR166" s="114"/>
      <c r="AS166" s="114"/>
      <c r="AT166" s="114"/>
      <c r="AU166" s="114"/>
      <c r="AV166" s="114"/>
      <c r="AW166" s="114"/>
      <c r="AZ166" s="172"/>
      <c r="BW166" s="42"/>
      <c r="BX166" s="42" t="str">
        <f>IFERROR(VLOOKUP($E166,'Pre-Assessment Estimator'!$E$11:$AB$227,'Pre-Assessment Estimator'!AB$2,FALSE),"")</f>
        <v/>
      </c>
      <c r="BY166" s="42" t="str">
        <f>IFERROR(VLOOKUP($E166,'Pre-Assessment Estimator'!$E$11:$AI$227,'Pre-Assessment Estimator'!AI$2,FALSE),"")</f>
        <v/>
      </c>
      <c r="BZ166" s="42" t="str">
        <f t="shared" ref="BZ166:CA169" si="430">IFERROR(VLOOKUP($BX166,$E$293:$H$326,F$291,FALSE),"")</f>
        <v/>
      </c>
      <c r="CA166" s="42" t="str">
        <f t="shared" si="430"/>
        <v/>
      </c>
      <c r="CB166" s="42"/>
      <c r="CC166" t="str">
        <f>IFERROR(VLOOKUP($BX166,$E$293:$H$326,I$291,FALSE),"")</f>
        <v/>
      </c>
    </row>
    <row r="167" spans="1:81" ht="15.75" thickBot="1">
      <c r="A167">
        <v>159</v>
      </c>
      <c r="AI167" s="1"/>
      <c r="AJ167" s="1"/>
      <c r="AK167" s="1"/>
      <c r="AM167" s="114"/>
      <c r="AN167" s="114"/>
      <c r="AO167" s="114"/>
      <c r="AP167" s="114"/>
      <c r="AQ167" s="114"/>
      <c r="AR167" s="114"/>
      <c r="AS167" s="114"/>
      <c r="AT167" s="114"/>
      <c r="AU167" s="114"/>
      <c r="AV167" s="114"/>
      <c r="AW167" s="114"/>
      <c r="BX167" t="str">
        <f>IFERROR(VLOOKUP($E167,'Pre-Assessment Estimator'!$E$11:$AB$227,'Pre-Assessment Estimator'!AB$2,FALSE),"")</f>
        <v/>
      </c>
      <c r="BY167" t="str">
        <f>IFERROR(VLOOKUP($E167,'Pre-Assessment Estimator'!$E$11:$AI$227,'Pre-Assessment Estimator'!AI$2,FALSE),"")</f>
        <v/>
      </c>
      <c r="BZ167" t="str">
        <f t="shared" si="430"/>
        <v/>
      </c>
      <c r="CA167" t="str">
        <f t="shared" si="430"/>
        <v/>
      </c>
      <c r="CC167" t="str">
        <f>IFERROR(VLOOKUP($BX167,$E$293:$H$326,I$291,FALSE),"")</f>
        <v/>
      </c>
    </row>
    <row r="168" spans="1:81" ht="60.75" thickBot="1">
      <c r="A168">
        <v>160</v>
      </c>
      <c r="D168" s="123"/>
      <c r="E168" s="124" t="s">
        <v>795</v>
      </c>
      <c r="F168" s="964" t="str">
        <f>$F$9</f>
        <v>Office</v>
      </c>
      <c r="G168" s="964" t="str">
        <f>$G$9</f>
        <v>Retail</v>
      </c>
      <c r="H168" s="968" t="str">
        <f>$H$9</f>
        <v>Residential</v>
      </c>
      <c r="I168" s="964" t="str">
        <f>$I$9</f>
        <v>Industrial</v>
      </c>
      <c r="J168" s="966" t="str">
        <f>$J$9</f>
        <v>Healthcare</v>
      </c>
      <c r="K168" s="966" t="str">
        <f>$K$9</f>
        <v>Prison</v>
      </c>
      <c r="L168" s="966" t="str">
        <f>$L$9</f>
        <v>Law Court</v>
      </c>
      <c r="M168" s="970" t="str">
        <f>$M$9</f>
        <v>Residential institution (long term stay)</v>
      </c>
      <c r="N168" s="733" t="str">
        <f>$N$9</f>
        <v>Residential institution (short term stay)</v>
      </c>
      <c r="O168" s="733" t="str">
        <f>$O$9</f>
        <v>Non-residential institution</v>
      </c>
      <c r="P168" s="733" t="str">
        <f>$P$9</f>
        <v>Assembly and leisure</v>
      </c>
      <c r="Q168" s="966" t="str">
        <f>$Q$9</f>
        <v>Education</v>
      </c>
      <c r="R168" s="683" t="str">
        <f>$R$9</f>
        <v>Other</v>
      </c>
      <c r="T168" s="113" t="str">
        <f>$E$6</f>
        <v>Office</v>
      </c>
      <c r="U168" s="173"/>
      <c r="V168" s="174"/>
      <c r="W168" s="174"/>
      <c r="X168" s="174"/>
      <c r="Y168" s="900" t="s">
        <v>871</v>
      </c>
      <c r="Z168" s="295" t="s">
        <v>25</v>
      </c>
      <c r="AA168" s="122" t="s">
        <v>725</v>
      </c>
      <c r="AB168" s="45" t="s">
        <v>860</v>
      </c>
      <c r="AI168" s="28"/>
      <c r="AJ168" s="46"/>
      <c r="AK168" s="46"/>
      <c r="AM168" s="114"/>
      <c r="AN168" s="114"/>
      <c r="AO168" s="114"/>
      <c r="AP168" s="114"/>
      <c r="AQ168" s="114"/>
      <c r="AR168" s="114"/>
      <c r="AS168" s="114"/>
      <c r="AT168" s="114"/>
      <c r="AU168" s="114"/>
      <c r="AV168" s="114"/>
      <c r="AW168" s="114"/>
      <c r="BO168" s="46"/>
      <c r="BP168" s="46"/>
      <c r="BQ168" s="46"/>
      <c r="BR168" s="46"/>
      <c r="BS168" s="46"/>
      <c r="BT168" s="46"/>
      <c r="BW168" s="39"/>
      <c r="BX168" s="39" t="str">
        <f>E168</f>
        <v>Land &amp; Ecology</v>
      </c>
      <c r="BY168" s="39" t="str">
        <f>IFERROR(VLOOKUP($E168,'Pre-Assessment Estimator'!$E$11:$AI$227,'Pre-Assessment Estimator'!AI$2,FALSE),"")</f>
        <v/>
      </c>
      <c r="BZ168" s="39" t="str">
        <f t="shared" si="430"/>
        <v/>
      </c>
      <c r="CA168" s="39" t="str">
        <f t="shared" si="430"/>
        <v/>
      </c>
      <c r="CB168" s="39"/>
      <c r="CC168" t="str">
        <f>IFERROR(VLOOKUP($BX168,$E$293:$H$326,I$291,FALSE),"")</f>
        <v/>
      </c>
    </row>
    <row r="169" spans="1:81">
      <c r="A169">
        <v>161</v>
      </c>
      <c r="B169" s="112" t="str">
        <f>D169</f>
        <v>LE 01</v>
      </c>
      <c r="C169" s="112" t="str">
        <f>B169</f>
        <v>LE 01</v>
      </c>
      <c r="D169" s="684" t="s">
        <v>463</v>
      </c>
      <c r="E169" s="685" t="s">
        <v>464</v>
      </c>
      <c r="F169" s="748">
        <f>F170</f>
        <v>2</v>
      </c>
      <c r="G169" s="748">
        <f t="shared" ref="G169:R169" si="431">G170</f>
        <v>2</v>
      </c>
      <c r="H169" s="748">
        <f t="shared" si="431"/>
        <v>2</v>
      </c>
      <c r="I169" s="748">
        <f t="shared" si="431"/>
        <v>2</v>
      </c>
      <c r="J169" s="748">
        <f t="shared" si="431"/>
        <v>2</v>
      </c>
      <c r="K169" s="748">
        <f t="shared" si="431"/>
        <v>2</v>
      </c>
      <c r="L169" s="748">
        <f t="shared" si="431"/>
        <v>2</v>
      </c>
      <c r="M169" s="748">
        <f t="shared" si="431"/>
        <v>2</v>
      </c>
      <c r="N169" s="748">
        <f t="shared" si="431"/>
        <v>2</v>
      </c>
      <c r="O169" s="748">
        <f t="shared" si="431"/>
        <v>2</v>
      </c>
      <c r="P169" s="748">
        <f t="shared" si="431"/>
        <v>2</v>
      </c>
      <c r="Q169" s="748">
        <f t="shared" si="431"/>
        <v>2</v>
      </c>
      <c r="R169" s="748">
        <f t="shared" si="431"/>
        <v>2</v>
      </c>
      <c r="T169" s="766">
        <f t="shared" ref="T169:T197" si="432">HLOOKUP($E$6,$F$9:$R$231,$A169,FALSE)</f>
        <v>2</v>
      </c>
      <c r="U169" s="182"/>
      <c r="V169" s="53"/>
      <c r="W169" s="53"/>
      <c r="X169" s="53">
        <f>'Manuell filtrering og justering'!E75</f>
        <v>0</v>
      </c>
      <c r="Y169" s="53"/>
      <c r="Z169" s="763">
        <f t="shared" ref="Z169" si="433">Z170</f>
        <v>2</v>
      </c>
      <c r="AA169" s="768">
        <f t="shared" ref="AA169:AA196" si="434">IF(SUM(U169:Y169)&gt;T169,T169,SUM(U169:Y169))</f>
        <v>0</v>
      </c>
      <c r="AB169" s="820">
        <f>SUM(AB170)</f>
        <v>2</v>
      </c>
      <c r="AD169" s="141">
        <f t="shared" ref="AD169:AD196" si="435">(LE_Weight/LE_Credits)*AB169</f>
        <v>1.5789473684210527E-2</v>
      </c>
      <c r="AE169" s="736">
        <f>SUM(AE170)</f>
        <v>0</v>
      </c>
      <c r="AF169" s="736">
        <f t="shared" ref="AF169" si="436">SUM(AF170)</f>
        <v>0</v>
      </c>
      <c r="AG169" s="736">
        <f t="shared" ref="AG169" si="437">SUM(AG170)</f>
        <v>0</v>
      </c>
      <c r="AI169" s="763">
        <f t="shared" ref="AI169" si="438">AI170</f>
        <v>0</v>
      </c>
      <c r="AJ169" s="763">
        <f t="shared" ref="AJ169" si="439">AJ170</f>
        <v>0</v>
      </c>
      <c r="AK169" s="763">
        <f t="shared" ref="AK169" si="440">AK170</f>
        <v>0</v>
      </c>
      <c r="AM169" s="249"/>
      <c r="AN169" s="250"/>
      <c r="AO169" s="250"/>
      <c r="AP169" s="250"/>
      <c r="AQ169" s="251"/>
      <c r="AR169" s="114"/>
      <c r="AS169" s="249"/>
      <c r="AT169" s="250"/>
      <c r="AU169" s="250"/>
      <c r="AV169" s="250"/>
      <c r="AW169" s="251"/>
      <c r="AY169" s="180"/>
      <c r="AZ169" s="147"/>
      <c r="BA169" s="147"/>
      <c r="BB169" s="147"/>
      <c r="BC169" s="181"/>
      <c r="BD169" s="144">
        <f t="shared" si="60"/>
        <v>9</v>
      </c>
      <c r="BE169" s="37" t="str">
        <f t="shared" ref="BE169:BE196" si="441">VLOOKUP(BD169,$BO$284:$BT$290,6,FALSE)</f>
        <v>N/A</v>
      </c>
      <c r="BF169" s="148"/>
      <c r="BG169" s="144">
        <f t="shared" ref="BG169:BG172" si="442">IF(BC169=0,9,IF(AJ169&gt;=BC169,5,IF(AJ169&gt;=BB169,4,IF(AJ169&gt;=BA169,3,IF(AJ169&gt;=AZ169,2,IF(AJ169&lt;AY169,0,1))))))</f>
        <v>9</v>
      </c>
      <c r="BH169" s="37" t="str">
        <f t="shared" ref="BH169:BH196" si="443">VLOOKUP(BG169,$BO$284:$BT$290,6,FALSE)</f>
        <v>N/A</v>
      </c>
      <c r="BI169" s="148"/>
      <c r="BJ169" s="144">
        <f t="shared" ref="BJ169:BJ225" si="444">IF(BC169=0,9,IF(AK169&gt;=BC169,5,IF(AK169&gt;=BB169,4,IF(AK169&gt;=BA169,3,IF(AK169&gt;=AZ169,2,IF(AK169&lt;AY169,0,1))))))</f>
        <v>9</v>
      </c>
      <c r="BK169" s="37" t="str">
        <f t="shared" ref="BK169:BK196" si="445">VLOOKUP(BJ169,$BO$284:$BT$290,6,FALSE)</f>
        <v>N/A</v>
      </c>
      <c r="BL169" s="148"/>
      <c r="BO169" s="35"/>
      <c r="BP169" s="35"/>
      <c r="BQ169" s="35" t="str">
        <f t="shared" si="342"/>
        <v/>
      </c>
      <c r="BR169" s="35">
        <f t="shared" si="396"/>
        <v>9</v>
      </c>
      <c r="BS169" s="35">
        <f t="shared" si="397"/>
        <v>9</v>
      </c>
      <c r="BT169" s="35">
        <f t="shared" si="398"/>
        <v>9</v>
      </c>
      <c r="BW169" s="37" t="str">
        <f>D169</f>
        <v>LE 01</v>
      </c>
      <c r="BX169" s="37" t="str">
        <f>IFERROR(VLOOKUP($E169,'Pre-Assessment Estimator'!$E$11:$AB$227,'Pre-Assessment Estimator'!AB$2,FALSE),"")</f>
        <v>N/A</v>
      </c>
      <c r="BY169" s="37">
        <f>IFERROR(VLOOKUP($E169,'Pre-Assessment Estimator'!$E$11:$AI$227,'Pre-Assessment Estimator'!AI$2,FALSE),"")</f>
        <v>0</v>
      </c>
      <c r="BZ169" s="37">
        <f t="shared" si="430"/>
        <v>1</v>
      </c>
      <c r="CA169" s="37">
        <f t="shared" si="430"/>
        <v>0</v>
      </c>
      <c r="CB169" s="37"/>
      <c r="CC169" t="str">
        <f>IFERROR(VLOOKUP($BX169,$E$293:$H$326,I$291,FALSE),"")</f>
        <v/>
      </c>
    </row>
    <row r="170" spans="1:81">
      <c r="A170">
        <v>162</v>
      </c>
      <c r="B170" t="str">
        <f t="shared" ref="B170" si="446">$D$169&amp;D170</f>
        <v>LE 01a</v>
      </c>
      <c r="C170" t="str">
        <f t="shared" si="344"/>
        <v>LE 01</v>
      </c>
      <c r="D170" s="137" t="s">
        <v>729</v>
      </c>
      <c r="E170" s="857" t="s">
        <v>796</v>
      </c>
      <c r="F170" s="607">
        <v>2</v>
      </c>
      <c r="G170" s="607">
        <v>2</v>
      </c>
      <c r="H170" s="607">
        <v>2</v>
      </c>
      <c r="I170" s="607">
        <v>2</v>
      </c>
      <c r="J170" s="607">
        <v>2</v>
      </c>
      <c r="K170" s="607">
        <v>2</v>
      </c>
      <c r="L170" s="607">
        <v>2</v>
      </c>
      <c r="M170" s="607">
        <v>2</v>
      </c>
      <c r="N170" s="607">
        <v>2</v>
      </c>
      <c r="O170" s="607">
        <v>2</v>
      </c>
      <c r="P170" s="607">
        <v>2</v>
      </c>
      <c r="Q170" s="607">
        <v>2</v>
      </c>
      <c r="R170" s="607">
        <v>2</v>
      </c>
      <c r="T170" s="139">
        <f t="shared" si="432"/>
        <v>2</v>
      </c>
      <c r="U170" s="137"/>
      <c r="V170" s="35"/>
      <c r="W170" s="35"/>
      <c r="X170" s="35"/>
      <c r="Y170" s="138"/>
      <c r="Z170" s="138">
        <f>VLOOKUP(B170,'Manuell filtrering og justering'!$A$7:$H$253,'Manuell filtrering og justering'!$H$1,FALSE)</f>
        <v>2</v>
      </c>
      <c r="AA170" s="139">
        <f t="shared" si="434"/>
        <v>0</v>
      </c>
      <c r="AB170" s="140">
        <f>IF($AC$5='Manuell filtrering og justering'!$J$2,Z170,(T170-AA170))</f>
        <v>2</v>
      </c>
      <c r="AD170" s="141">
        <f t="shared" si="435"/>
        <v>1.5789473684210527E-2</v>
      </c>
      <c r="AE170" s="141">
        <f t="shared" ref="AE170:AE196" si="447">IF(AB170=0,0,(AD170/AB170)*AI170)</f>
        <v>0</v>
      </c>
      <c r="AF170" s="141">
        <f t="shared" ref="AF170:AF196" si="448">IF(AB170=0,0,(AD170/AB170)*AJ170)</f>
        <v>0</v>
      </c>
      <c r="AG170" s="141">
        <f t="shared" ref="AG170:AG196" si="449">IF(AB170=0,0,(AD170/AB170)*AK170)</f>
        <v>0</v>
      </c>
      <c r="AI170" s="142">
        <f>IF(VLOOKUP(E170,'Pre-Assessment Estimator'!$E$11:$Z$227,'Pre-Assessment Estimator'!$G$2,FALSE)&gt;AB170,AB170,VLOOKUP(E170,'Pre-Assessment Estimator'!$E$11:$Z$227,'Pre-Assessment Estimator'!$G$2,FALSE))</f>
        <v>0</v>
      </c>
      <c r="AJ170" s="142">
        <f>IF(VLOOKUP(E170,'Pre-Assessment Estimator'!$E$11:$Z$227,'Pre-Assessment Estimator'!$N$2,FALSE)&gt;AB170,AB170,VLOOKUP(E170,'Pre-Assessment Estimator'!$E$11:$Z$227,'Pre-Assessment Estimator'!$N$2,FALSE))</f>
        <v>0</v>
      </c>
      <c r="AK170" s="142">
        <f>IF(VLOOKUP(E170,'Pre-Assessment Estimator'!$E$11:$Z$227,'Pre-Assessment Estimator'!$U$2,FALSE)&gt;AB170,AB170,VLOOKUP(E170,'Pre-Assessment Estimator'!$E$11:$Z$227,'Pre-Assessment Estimator'!$U$2,FALSE))</f>
        <v>0</v>
      </c>
      <c r="AM170" s="664"/>
      <c r="AN170" s="665"/>
      <c r="AO170" s="665"/>
      <c r="AP170" s="665"/>
      <c r="AQ170" s="666"/>
      <c r="AR170" s="114"/>
      <c r="AS170" s="664"/>
      <c r="AT170" s="665"/>
      <c r="AU170" s="665"/>
      <c r="AV170" s="665"/>
      <c r="AW170" s="666"/>
      <c r="AY170" s="135"/>
      <c r="AZ170" s="37"/>
      <c r="BA170" s="37"/>
      <c r="BB170" s="37"/>
      <c r="BC170" s="667"/>
      <c r="BD170" s="151">
        <f t="shared" ref="BD170" si="450">IF(BC170=0,9,IF(AI170&gt;=BC170,5,IF(AI170&gt;=BB170,4,IF(AI170&gt;=BA170,3,IF(AI170&gt;=AZ170,2,IF(AI170&lt;AY170,0,1))))))</f>
        <v>9</v>
      </c>
      <c r="BE170" s="37" t="str">
        <f t="shared" si="441"/>
        <v>N/A</v>
      </c>
      <c r="BF170" s="154"/>
      <c r="BG170" s="151">
        <f t="shared" ref="BG170" si="451">IF(BC170=0,9,IF(AJ170&gt;=BC170,5,IF(AJ170&gt;=BB170,4,IF(AJ170&gt;=BA170,3,IF(AJ170&gt;=AZ170,2,IF(AJ170&lt;AY170,0,1))))))</f>
        <v>9</v>
      </c>
      <c r="BH170" s="37" t="str">
        <f t="shared" si="443"/>
        <v>N/A</v>
      </c>
      <c r="BI170" s="154"/>
      <c r="BJ170" s="151">
        <f t="shared" ref="BJ170" si="452">IF(BC170=0,9,IF(AK170&gt;=BC170,5,IF(AK170&gt;=BB170,4,IF(AK170&gt;=BA170,3,IF(AK170&gt;=AZ170,2,IF(AK170&lt;AY170,0,1))))))</f>
        <v>9</v>
      </c>
      <c r="BK170" s="37" t="str">
        <f t="shared" si="445"/>
        <v>N/A</v>
      </c>
      <c r="BL170" s="659"/>
      <c r="BO170" s="35"/>
      <c r="BP170" s="35"/>
      <c r="BQ170" s="35" t="str">
        <f t="shared" si="342"/>
        <v/>
      </c>
      <c r="BR170" s="35">
        <f t="shared" si="396"/>
        <v>9</v>
      </c>
      <c r="BS170" s="35">
        <f t="shared" si="397"/>
        <v>9</v>
      </c>
      <c r="BT170" s="35">
        <f t="shared" si="398"/>
        <v>9</v>
      </c>
      <c r="BW170" s="37"/>
      <c r="BX170" s="37"/>
      <c r="BY170" s="37"/>
      <c r="BZ170" s="37"/>
      <c r="CA170" s="37"/>
      <c r="CB170" s="37"/>
    </row>
    <row r="171" spans="1:81">
      <c r="A171">
        <v>163</v>
      </c>
      <c r="B171" s="112" t="str">
        <f>D171</f>
        <v>LE 02</v>
      </c>
      <c r="C171" s="112" t="str">
        <f>B171</f>
        <v>LE 02</v>
      </c>
      <c r="D171" s="663" t="s">
        <v>467</v>
      </c>
      <c r="E171" s="661" t="s">
        <v>797</v>
      </c>
      <c r="F171" s="748">
        <f>SUM(F172:F174)</f>
        <v>2</v>
      </c>
      <c r="G171" s="748">
        <f t="shared" ref="G171:R171" si="453">SUM(G172:G174)</f>
        <v>2</v>
      </c>
      <c r="H171" s="748">
        <f t="shared" si="453"/>
        <v>2</v>
      </c>
      <c r="I171" s="748">
        <f t="shared" si="453"/>
        <v>2</v>
      </c>
      <c r="J171" s="748">
        <f t="shared" si="453"/>
        <v>2</v>
      </c>
      <c r="K171" s="748">
        <f t="shared" si="453"/>
        <v>2</v>
      </c>
      <c r="L171" s="748">
        <f t="shared" si="453"/>
        <v>2</v>
      </c>
      <c r="M171" s="748">
        <f t="shared" si="453"/>
        <v>2</v>
      </c>
      <c r="N171" s="748">
        <f t="shared" si="453"/>
        <v>2</v>
      </c>
      <c r="O171" s="748">
        <f t="shared" si="453"/>
        <v>2</v>
      </c>
      <c r="P171" s="748">
        <f t="shared" si="453"/>
        <v>2</v>
      </c>
      <c r="Q171" s="748">
        <f t="shared" ref="Q171" si="454">SUM(Q172:Q174)</f>
        <v>2</v>
      </c>
      <c r="R171" s="748">
        <f t="shared" si="453"/>
        <v>2</v>
      </c>
      <c r="T171" s="768">
        <f t="shared" si="432"/>
        <v>2</v>
      </c>
      <c r="U171" s="182"/>
      <c r="V171" s="53"/>
      <c r="W171" s="53"/>
      <c r="X171" s="53">
        <f>'Manuell filtrering og justering'!E76</f>
        <v>0</v>
      </c>
      <c r="Y171" s="53"/>
      <c r="Z171" s="763">
        <f t="shared" ref="Z171" si="455">SUM(Z172:Z174)</f>
        <v>2</v>
      </c>
      <c r="AA171" s="768">
        <f t="shared" si="434"/>
        <v>0</v>
      </c>
      <c r="AB171" s="820">
        <f>SUM(AB172:AB174)</f>
        <v>2</v>
      </c>
      <c r="AD171" s="141">
        <f t="shared" si="435"/>
        <v>1.5789473684210527E-2</v>
      </c>
      <c r="AE171" s="736">
        <f>SUM(AE172:AE174)</f>
        <v>0</v>
      </c>
      <c r="AF171" s="736">
        <f t="shared" ref="AF171" si="456">SUM(AF172:AF174)</f>
        <v>0</v>
      </c>
      <c r="AG171" s="736">
        <f t="shared" ref="AG171" si="457">SUM(AG172:AG174)</f>
        <v>0</v>
      </c>
      <c r="AI171" s="763">
        <f t="shared" ref="AI171" si="458">SUM(AI172:AI174)</f>
        <v>0</v>
      </c>
      <c r="AJ171" s="763">
        <f t="shared" ref="AJ171" si="459">SUM(AJ172:AJ174)</f>
        <v>0</v>
      </c>
      <c r="AK171" s="763">
        <f t="shared" ref="AK171" si="460">SUM(AK172:AK174)</f>
        <v>0</v>
      </c>
      <c r="AM171" s="243"/>
      <c r="AN171" s="244"/>
      <c r="AO171" s="244"/>
      <c r="AP171" s="150"/>
      <c r="AQ171" s="155"/>
      <c r="AR171" s="114"/>
      <c r="AS171" s="242"/>
      <c r="AT171" s="150"/>
      <c r="AU171" s="150"/>
      <c r="AV171" s="150"/>
      <c r="AW171" s="155"/>
      <c r="AY171" s="137"/>
      <c r="AZ171" s="35"/>
      <c r="BA171" s="35"/>
      <c r="BB171" s="35"/>
      <c r="BC171" s="138"/>
      <c r="BD171" s="151">
        <f t="shared" ref="BD171:BD225" si="461">IF(BC171=0,9,IF(AI171&gt;=BC171,5,IF(AI171&gt;=BB171,4,IF(AI171&gt;=BA171,3,IF(AI171&gt;=AZ171,2,IF(AI171&lt;AY171,0,1))))))</f>
        <v>9</v>
      </c>
      <c r="BE171" s="37" t="str">
        <f t="shared" si="441"/>
        <v>N/A</v>
      </c>
      <c r="BF171" s="154"/>
      <c r="BG171" s="151">
        <f t="shared" si="442"/>
        <v>9</v>
      </c>
      <c r="BH171" s="37" t="str">
        <f t="shared" si="443"/>
        <v>N/A</v>
      </c>
      <c r="BI171" s="154"/>
      <c r="BJ171" s="151">
        <f t="shared" si="444"/>
        <v>9</v>
      </c>
      <c r="BK171" s="37" t="str">
        <f t="shared" si="445"/>
        <v>N/A</v>
      </c>
      <c r="BL171" s="154"/>
      <c r="BO171" s="35"/>
      <c r="BP171" s="35"/>
      <c r="BQ171" s="35" t="str">
        <f t="shared" si="342"/>
        <v/>
      </c>
      <c r="BR171" s="35">
        <f t="shared" si="396"/>
        <v>9</v>
      </c>
      <c r="BS171" s="35">
        <f t="shared" si="397"/>
        <v>9</v>
      </c>
      <c r="BT171" s="35">
        <f t="shared" si="398"/>
        <v>9</v>
      </c>
      <c r="BW171" s="35" t="str">
        <f>D171</f>
        <v>LE 02</v>
      </c>
      <c r="BX171" s="35" t="str">
        <f>IFERROR(VLOOKUP($E171,'Pre-Assessment Estimator'!$E$11:$AB$227,'Pre-Assessment Estimator'!AB$2,FALSE),"")</f>
        <v>N/A</v>
      </c>
      <c r="BY171" s="35">
        <f>IFERROR(VLOOKUP($E171,'Pre-Assessment Estimator'!$E$11:$AI$227,'Pre-Assessment Estimator'!AI$2,FALSE),"")</f>
        <v>0</v>
      </c>
      <c r="BZ171" s="35">
        <f>IFERROR(VLOOKUP($BX171,$E$293:$H$326,F$291,FALSE),"")</f>
        <v>1</v>
      </c>
      <c r="CA171" s="35">
        <f>IFERROR(VLOOKUP($BX171,$E$293:$H$326,G$291,FALSE),"")</f>
        <v>0</v>
      </c>
      <c r="CB171" s="35"/>
      <c r="CC171" t="str">
        <f>IFERROR(VLOOKUP($BX171,$E$293:$H$326,I$291,FALSE),"")</f>
        <v/>
      </c>
    </row>
    <row r="172" spans="1:81">
      <c r="A172">
        <v>164</v>
      </c>
      <c r="C172" t="str">
        <f t="shared" si="344"/>
        <v>LE 02</v>
      </c>
      <c r="D172" s="137" t="s">
        <v>729</v>
      </c>
      <c r="E172" s="754" t="s">
        <v>919</v>
      </c>
      <c r="F172" s="607"/>
      <c r="G172" s="607"/>
      <c r="H172" s="607"/>
      <c r="I172" s="607"/>
      <c r="J172" s="607"/>
      <c r="K172" s="607"/>
      <c r="L172" s="607"/>
      <c r="M172" s="607"/>
      <c r="N172" s="607"/>
      <c r="O172" s="607"/>
      <c r="P172" s="607"/>
      <c r="Q172" s="607"/>
      <c r="R172" s="607"/>
      <c r="T172" s="139">
        <f t="shared" si="432"/>
        <v>0</v>
      </c>
      <c r="U172" s="137"/>
      <c r="V172" s="35"/>
      <c r="W172" s="35"/>
      <c r="X172" s="35"/>
      <c r="Y172" s="138"/>
      <c r="Z172" s="138"/>
      <c r="AA172" s="139">
        <f t="shared" si="434"/>
        <v>0</v>
      </c>
      <c r="AB172" s="140">
        <f>IF($AC$5='Manuell filtrering og justering'!$J$2,Z172,(T172-AA172))</f>
        <v>0</v>
      </c>
      <c r="AD172" s="141">
        <f t="shared" si="435"/>
        <v>0</v>
      </c>
      <c r="AE172" s="141">
        <f t="shared" si="447"/>
        <v>0</v>
      </c>
      <c r="AF172" s="141">
        <f t="shared" si="448"/>
        <v>0</v>
      </c>
      <c r="AG172" s="141">
        <f t="shared" si="449"/>
        <v>0</v>
      </c>
      <c r="AI172" s="142">
        <f>IF(VLOOKUP(E172,'Pre-Assessment Estimator'!$E$11:$Z$227,'Pre-Assessment Estimator'!$G$2,FALSE)&gt;AB172,AB172,VLOOKUP(E172,'Pre-Assessment Estimator'!$E$11:$Z$227,'Pre-Assessment Estimator'!$G$2,FALSE))</f>
        <v>0</v>
      </c>
      <c r="AJ172" s="142">
        <f>IF(VLOOKUP(E172,'Pre-Assessment Estimator'!$E$11:$Z$227,'Pre-Assessment Estimator'!$N$2,FALSE)&gt;AB172,AB172,VLOOKUP(E172,'Pre-Assessment Estimator'!$E$11:$Z$227,'Pre-Assessment Estimator'!$N$2,FALSE))</f>
        <v>0</v>
      </c>
      <c r="AK172" s="142">
        <f>IF(VLOOKUP(E172,'Pre-Assessment Estimator'!$E$11:$Z$227,'Pre-Assessment Estimator'!$U$2,FALSE)&gt;AB172,AB172,VLOOKUP(E172,'Pre-Assessment Estimator'!$E$11:$Z$227,'Pre-Assessment Estimator'!$U$2,FALSE))</f>
        <v>0</v>
      </c>
      <c r="AM172" s="243"/>
      <c r="AN172" s="244"/>
      <c r="AO172" s="244"/>
      <c r="AP172" s="150"/>
      <c r="AQ172" s="155"/>
      <c r="AR172" s="114"/>
      <c r="AS172" s="242"/>
      <c r="AT172" s="150"/>
      <c r="AU172" s="150"/>
      <c r="AV172" s="150"/>
      <c r="AW172" s="155"/>
      <c r="AY172" s="137"/>
      <c r="AZ172" s="35"/>
      <c r="BA172" s="35"/>
      <c r="BB172" s="35"/>
      <c r="BC172" s="138"/>
      <c r="BD172" s="151">
        <f t="shared" si="461"/>
        <v>9</v>
      </c>
      <c r="BE172" s="37" t="str">
        <f t="shared" si="441"/>
        <v>N/A</v>
      </c>
      <c r="BF172" s="154"/>
      <c r="BG172" s="151">
        <f t="shared" si="442"/>
        <v>9</v>
      </c>
      <c r="BH172" s="37" t="str">
        <f t="shared" si="443"/>
        <v>N/A</v>
      </c>
      <c r="BI172" s="154"/>
      <c r="BJ172" s="151">
        <f t="shared" si="444"/>
        <v>9</v>
      </c>
      <c r="BK172" s="37" t="str">
        <f t="shared" si="445"/>
        <v>N/A</v>
      </c>
      <c r="BL172" s="154"/>
      <c r="BO172" s="35"/>
      <c r="BP172" s="35"/>
      <c r="BQ172" s="35" t="str">
        <f t="shared" si="342"/>
        <v/>
      </c>
      <c r="BR172" s="35">
        <f t="shared" si="396"/>
        <v>9</v>
      </c>
      <c r="BS172" s="35">
        <f t="shared" si="397"/>
        <v>9</v>
      </c>
      <c r="BT172" s="35">
        <f t="shared" si="398"/>
        <v>9</v>
      </c>
      <c r="BW172" s="35"/>
      <c r="BX172" s="35"/>
      <c r="BY172" s="35"/>
      <c r="BZ172" s="35"/>
      <c r="CA172" s="35"/>
      <c r="CB172" s="35"/>
    </row>
    <row r="173" spans="1:81">
      <c r="A173">
        <v>165</v>
      </c>
      <c r="B173" t="str">
        <f t="shared" ref="B173:B174" si="462">$D$171&amp;D173</f>
        <v>LE 02b</v>
      </c>
      <c r="C173" t="str">
        <f t="shared" si="344"/>
        <v>LE 02</v>
      </c>
      <c r="D173" s="137" t="s">
        <v>730</v>
      </c>
      <c r="E173" s="971" t="s">
        <v>920</v>
      </c>
      <c r="F173" s="607">
        <v>1</v>
      </c>
      <c r="G173" s="607">
        <v>1</v>
      </c>
      <c r="H173" s="607">
        <v>1</v>
      </c>
      <c r="I173" s="607">
        <v>1</v>
      </c>
      <c r="J173" s="607">
        <v>1</v>
      </c>
      <c r="K173" s="607">
        <v>1</v>
      </c>
      <c r="L173" s="607">
        <v>1</v>
      </c>
      <c r="M173" s="607">
        <v>1</v>
      </c>
      <c r="N173" s="607">
        <v>1</v>
      </c>
      <c r="O173" s="607">
        <v>1</v>
      </c>
      <c r="P173" s="607">
        <v>1</v>
      </c>
      <c r="Q173" s="607">
        <v>1</v>
      </c>
      <c r="R173" s="607">
        <v>1</v>
      </c>
      <c r="T173" s="139">
        <f t="shared" si="432"/>
        <v>1</v>
      </c>
      <c r="U173" s="137"/>
      <c r="V173" s="35"/>
      <c r="W173" s="35"/>
      <c r="X173" s="35"/>
      <c r="Y173" s="138"/>
      <c r="Z173" s="138">
        <f>VLOOKUP(B173,'Manuell filtrering og justering'!$A$7:$H$253,'Manuell filtrering og justering'!$H$1,FALSE)</f>
        <v>1</v>
      </c>
      <c r="AA173" s="139">
        <f t="shared" si="434"/>
        <v>0</v>
      </c>
      <c r="AB173" s="140">
        <f>IF($AC$5='Manuell filtrering og justering'!$J$2,Z173,(T173-AA173))</f>
        <v>1</v>
      </c>
      <c r="AD173" s="141">
        <f t="shared" si="435"/>
        <v>7.8947368421052634E-3</v>
      </c>
      <c r="AE173" s="141">
        <f t="shared" si="447"/>
        <v>0</v>
      </c>
      <c r="AF173" s="141">
        <f t="shared" si="448"/>
        <v>0</v>
      </c>
      <c r="AG173" s="141">
        <f t="shared" si="449"/>
        <v>0</v>
      </c>
      <c r="AI173" s="821">
        <f>IF(AI242=AD_no,0,IF(VLOOKUP(E173,'Pre-Assessment Estimator'!$E$11:$Z$227,'Pre-Assessment Estimator'!$G$2,FALSE)&gt;AB173,AB173,VLOOKUP(E173,'Pre-Assessment Estimator'!$E$11:$Z$227,'Pre-Assessment Estimator'!$G$2,FALSE)))</f>
        <v>0</v>
      </c>
      <c r="AJ173" s="821">
        <f>IF(AJ242=AD_no,0,IF(VLOOKUP(E173,'Pre-Assessment Estimator'!$E$11:$Z$227,'Pre-Assessment Estimator'!$N$2,FALSE)&gt;AB173,AB173,VLOOKUP(E173,'Pre-Assessment Estimator'!$E$11:$Z$227,'Pre-Assessment Estimator'!$N$2,FALSE)))</f>
        <v>0</v>
      </c>
      <c r="AK173" s="821">
        <f>IF(AK242=AD_no,0,IF(VLOOKUP(E173,'Pre-Assessment Estimator'!$E$11:$Z$227,'Pre-Assessment Estimator'!$U$2,FALSE)&gt;AB173,AB173,VLOOKUP(E173,'Pre-Assessment Estimator'!$E$11:$Z$227,'Pre-Assessment Estimator'!$U$2,FALSE)))</f>
        <v>0</v>
      </c>
      <c r="AM173" s="243"/>
      <c r="AN173" s="244"/>
      <c r="AO173" s="244">
        <v>1</v>
      </c>
      <c r="AP173" s="150">
        <v>1</v>
      </c>
      <c r="AQ173" s="155">
        <v>1</v>
      </c>
      <c r="AR173" s="114"/>
      <c r="AS173" s="242"/>
      <c r="AT173" s="150"/>
      <c r="AU173" s="150">
        <v>1</v>
      </c>
      <c r="AV173" s="150">
        <v>1</v>
      </c>
      <c r="AW173" s="155">
        <v>1</v>
      </c>
      <c r="AY173" s="137"/>
      <c r="AZ173" s="35"/>
      <c r="BA173" s="152">
        <f>IF($AB173=0,0,IF($E$6=$H$9,AU173,AO173))</f>
        <v>1</v>
      </c>
      <c r="BB173" s="152">
        <f>IF($AB173=0,0,IF($E$6=$H$9,AV173,AP173))</f>
        <v>1</v>
      </c>
      <c r="BC173" s="152">
        <f>IF($AB173=0,0,IF($E$6=$H$9,AW173,AQ173))</f>
        <v>1</v>
      </c>
      <c r="BD173" s="151">
        <f t="shared" ref="BD173:BD191" si="463">IF(BC173=0,9,IF(AI173&gt;=BC173,5,IF(AI173&gt;=BB173,4,IF(AI173&gt;=BA173,3,IF(AI173&gt;=AZ173,2,IF(AI173&lt;AY173,0,1))))))</f>
        <v>2</v>
      </c>
      <c r="BE173" s="37" t="str">
        <f t="shared" si="441"/>
        <v>Good</v>
      </c>
      <c r="BF173" s="154"/>
      <c r="BG173" s="151">
        <f t="shared" ref="BG173:BG191" si="464">IF(BC173=0,9,IF(AJ173&gt;=BC173,5,IF(AJ173&gt;=BB173,4,IF(AJ173&gt;=BA173,3,IF(AJ173&gt;=AZ173,2,IF(AJ173&lt;AY173,0,1))))))</f>
        <v>2</v>
      </c>
      <c r="BH173" s="37" t="str">
        <f t="shared" si="443"/>
        <v>Good</v>
      </c>
      <c r="BI173" s="154"/>
      <c r="BJ173" s="151">
        <f t="shared" ref="BJ173:BJ191" si="465">IF(BC173=0,9,IF(AK173&gt;=BC173,5,IF(AK173&gt;=BB173,4,IF(AK173&gt;=BA173,3,IF(AK173&gt;=AZ173,2,IF(AK173&lt;AY173,0,1))))))</f>
        <v>2</v>
      </c>
      <c r="BK173" s="37" t="str">
        <f t="shared" si="445"/>
        <v>Good</v>
      </c>
      <c r="BL173" s="154"/>
      <c r="BO173" s="35"/>
      <c r="BP173" s="35">
        <v>1</v>
      </c>
      <c r="BQ173" s="35">
        <f t="shared" si="342"/>
        <v>1</v>
      </c>
      <c r="BR173" s="35">
        <f t="shared" si="396"/>
        <v>0</v>
      </c>
      <c r="BS173" s="35">
        <f t="shared" si="397"/>
        <v>0</v>
      </c>
      <c r="BT173" s="35">
        <f t="shared" si="398"/>
        <v>0</v>
      </c>
      <c r="BW173" s="35"/>
      <c r="BX173" s="35"/>
      <c r="BY173" s="35"/>
      <c r="BZ173" s="35"/>
      <c r="CA173" s="35"/>
      <c r="CB173" s="35"/>
    </row>
    <row r="174" spans="1:81">
      <c r="A174">
        <v>166</v>
      </c>
      <c r="B174" t="str">
        <f t="shared" si="462"/>
        <v>LE 02c</v>
      </c>
      <c r="C174" t="str">
        <f t="shared" si="344"/>
        <v>LE 02</v>
      </c>
      <c r="D174" s="137" t="s">
        <v>731</v>
      </c>
      <c r="E174" s="857" t="s">
        <v>669</v>
      </c>
      <c r="F174" s="607">
        <v>1</v>
      </c>
      <c r="G174" s="607">
        <v>1</v>
      </c>
      <c r="H174" s="607">
        <v>1</v>
      </c>
      <c r="I174" s="607">
        <v>1</v>
      </c>
      <c r="J174" s="607">
        <v>1</v>
      </c>
      <c r="K174" s="607">
        <v>1</v>
      </c>
      <c r="L174" s="607">
        <v>1</v>
      </c>
      <c r="M174" s="607">
        <v>1</v>
      </c>
      <c r="N174" s="607">
        <v>1</v>
      </c>
      <c r="O174" s="607">
        <v>1</v>
      </c>
      <c r="P174" s="607">
        <v>1</v>
      </c>
      <c r="Q174" s="607">
        <v>1</v>
      </c>
      <c r="R174" s="607">
        <v>1</v>
      </c>
      <c r="T174" s="139">
        <f t="shared" si="432"/>
        <v>1</v>
      </c>
      <c r="U174" s="137"/>
      <c r="V174" s="35"/>
      <c r="W174" s="35"/>
      <c r="X174" s="35"/>
      <c r="Y174" s="138"/>
      <c r="Z174" s="138">
        <f>VLOOKUP(B174,'Manuell filtrering og justering'!$A$7:$H$253,'Manuell filtrering og justering'!$H$1,FALSE)</f>
        <v>1</v>
      </c>
      <c r="AA174" s="139">
        <f t="shared" si="434"/>
        <v>0</v>
      </c>
      <c r="AB174" s="140">
        <f>IF($AC$5='Manuell filtrering og justering'!$J$2,Z174,(T174-AA174))</f>
        <v>1</v>
      </c>
      <c r="AD174" s="141">
        <f t="shared" si="435"/>
        <v>7.8947368421052634E-3</v>
      </c>
      <c r="AE174" s="141">
        <f t="shared" si="447"/>
        <v>0</v>
      </c>
      <c r="AF174" s="141">
        <f t="shared" si="448"/>
        <v>0</v>
      </c>
      <c r="AG174" s="141">
        <f t="shared" si="449"/>
        <v>0</v>
      </c>
      <c r="AI174" s="821">
        <f>IF(AI242=AD_no,0,IF(VLOOKUP(E174,'Pre-Assessment Estimator'!$E$11:$Z$227,'Pre-Assessment Estimator'!$G$2,FALSE)&gt;AB174,AB174,VLOOKUP(E174,'Pre-Assessment Estimator'!$E$11:$Z$227,'Pre-Assessment Estimator'!$G$2,FALSE)))</f>
        <v>0</v>
      </c>
      <c r="AJ174" s="821">
        <f>IF(AJ242=AD_no,0,IF(VLOOKUP(E174,'Pre-Assessment Estimator'!$E$11:$Z$227,'Pre-Assessment Estimator'!$N$2,FALSE)&gt;AB174,AB174,VLOOKUP(E174,'Pre-Assessment Estimator'!$E$11:$Z$227,'Pre-Assessment Estimator'!$N$2,FALSE)))</f>
        <v>0</v>
      </c>
      <c r="AK174" s="821">
        <f>IF(AK242=AD_no,0,IF(VLOOKUP(E174,'Pre-Assessment Estimator'!$E$11:$Z$227,'Pre-Assessment Estimator'!$U$2,FALSE)&gt;AB174,AB174,VLOOKUP(E174,'Pre-Assessment Estimator'!$E$11:$Z$227,'Pre-Assessment Estimator'!$U$2,FALSE)))</f>
        <v>0</v>
      </c>
      <c r="AM174" s="243"/>
      <c r="AN174" s="244"/>
      <c r="AO174" s="244"/>
      <c r="AP174" s="150"/>
      <c r="AQ174" s="155"/>
      <c r="AR174" s="114"/>
      <c r="AS174" s="242"/>
      <c r="AT174" s="150"/>
      <c r="AU174" s="150"/>
      <c r="AV174" s="150"/>
      <c r="AW174" s="155"/>
      <c r="AY174" s="137"/>
      <c r="AZ174" s="35"/>
      <c r="BA174" s="35"/>
      <c r="BB174" s="35"/>
      <c r="BC174" s="138"/>
      <c r="BD174" s="151">
        <f t="shared" si="463"/>
        <v>9</v>
      </c>
      <c r="BE174" s="37" t="str">
        <f t="shared" si="441"/>
        <v>N/A</v>
      </c>
      <c r="BF174" s="154"/>
      <c r="BG174" s="151">
        <f t="shared" si="464"/>
        <v>9</v>
      </c>
      <c r="BH174" s="37" t="str">
        <f t="shared" si="443"/>
        <v>N/A</v>
      </c>
      <c r="BI174" s="154"/>
      <c r="BJ174" s="151">
        <f t="shared" si="465"/>
        <v>9</v>
      </c>
      <c r="BK174" s="37" t="str">
        <f t="shared" si="445"/>
        <v>N/A</v>
      </c>
      <c r="BL174" s="154"/>
      <c r="BO174" s="35"/>
      <c r="BP174" s="35"/>
      <c r="BQ174" s="35"/>
      <c r="BR174" s="35">
        <f t="shared" si="396"/>
        <v>9</v>
      </c>
      <c r="BS174" s="35">
        <f t="shared" si="397"/>
        <v>9</v>
      </c>
      <c r="BT174" s="35">
        <f t="shared" si="398"/>
        <v>9</v>
      </c>
      <c r="BW174" s="35"/>
      <c r="BX174" s="35"/>
      <c r="BY174" s="35"/>
      <c r="BZ174" s="35"/>
      <c r="CA174" s="35"/>
      <c r="CB174" s="35"/>
    </row>
    <row r="175" spans="1:81">
      <c r="A175">
        <v>167</v>
      </c>
      <c r="B175" s="112" t="str">
        <f>D175</f>
        <v>LE 03</v>
      </c>
      <c r="C175" s="112" t="str">
        <f>B175</f>
        <v>LE 03</v>
      </c>
      <c r="D175" s="663" t="s">
        <v>472</v>
      </c>
      <c r="E175" s="661" t="s">
        <v>799</v>
      </c>
      <c r="F175" s="748">
        <f>SUM(F176:F178)</f>
        <v>3</v>
      </c>
      <c r="G175" s="748">
        <f t="shared" ref="G175:R175" si="466">SUM(G176:G178)</f>
        <v>3</v>
      </c>
      <c r="H175" s="748">
        <f t="shared" si="466"/>
        <v>3</v>
      </c>
      <c r="I175" s="748">
        <f t="shared" si="466"/>
        <v>3</v>
      </c>
      <c r="J175" s="748">
        <f t="shared" si="466"/>
        <v>3</v>
      </c>
      <c r="K175" s="748">
        <f t="shared" si="466"/>
        <v>3</v>
      </c>
      <c r="L175" s="748">
        <f t="shared" si="466"/>
        <v>3</v>
      </c>
      <c r="M175" s="748">
        <f t="shared" si="466"/>
        <v>3</v>
      </c>
      <c r="N175" s="748">
        <f t="shared" si="466"/>
        <v>3</v>
      </c>
      <c r="O175" s="748">
        <f t="shared" si="466"/>
        <v>3</v>
      </c>
      <c r="P175" s="748">
        <f t="shared" si="466"/>
        <v>3</v>
      </c>
      <c r="Q175" s="748">
        <f t="shared" ref="Q175" si="467">SUM(Q176:Q178)</f>
        <v>3</v>
      </c>
      <c r="R175" s="748">
        <f t="shared" si="466"/>
        <v>3</v>
      </c>
      <c r="T175" s="768">
        <f t="shared" si="432"/>
        <v>3</v>
      </c>
      <c r="U175" s="182"/>
      <c r="V175" s="53"/>
      <c r="W175" s="53"/>
      <c r="X175" s="53">
        <f>'Manuell filtrering og justering'!E77</f>
        <v>0</v>
      </c>
      <c r="Y175" s="53"/>
      <c r="Z175" s="763">
        <f t="shared" ref="Z175" si="468">SUM(Z176:Z178)</f>
        <v>0</v>
      </c>
      <c r="AA175" s="768">
        <f t="shared" si="434"/>
        <v>0</v>
      </c>
      <c r="AB175" s="820">
        <f>SUM(AB176:AB178)</f>
        <v>3</v>
      </c>
      <c r="AD175" s="141">
        <f t="shared" si="435"/>
        <v>2.368421052631579E-2</v>
      </c>
      <c r="AE175" s="736">
        <f>SUM(AE176:AE178)</f>
        <v>0</v>
      </c>
      <c r="AF175" s="736">
        <f t="shared" ref="AF175" si="469">SUM(AF176:AF178)</f>
        <v>0</v>
      </c>
      <c r="AG175" s="736">
        <f t="shared" ref="AG175" si="470">SUM(AG176:AG178)</f>
        <v>0</v>
      </c>
      <c r="AI175" s="763">
        <f t="shared" ref="AI175" si="471">SUM(AI176:AI178)</f>
        <v>0</v>
      </c>
      <c r="AJ175" s="763">
        <f t="shared" ref="AJ175" si="472">SUM(AJ176:AJ178)</f>
        <v>0</v>
      </c>
      <c r="AK175" s="763">
        <f t="shared" ref="AK175" si="473">SUM(AK176:AK178)</f>
        <v>0</v>
      </c>
      <c r="AM175" s="243"/>
      <c r="AN175" s="244"/>
      <c r="AO175" s="244"/>
      <c r="AP175" s="150"/>
      <c r="AQ175" s="155"/>
      <c r="AR175" s="114"/>
      <c r="AS175" s="242"/>
      <c r="AT175" s="150"/>
      <c r="AU175" s="150"/>
      <c r="AV175" s="150"/>
      <c r="AW175" s="155"/>
      <c r="AY175" s="137"/>
      <c r="AZ175" s="35"/>
      <c r="BA175" s="35"/>
      <c r="BB175" s="35"/>
      <c r="BC175" s="138"/>
      <c r="BD175" s="151">
        <f t="shared" si="463"/>
        <v>9</v>
      </c>
      <c r="BE175" s="37" t="str">
        <f t="shared" si="441"/>
        <v>N/A</v>
      </c>
      <c r="BF175" s="154"/>
      <c r="BG175" s="151">
        <f t="shared" si="464"/>
        <v>9</v>
      </c>
      <c r="BH175" s="37" t="str">
        <f t="shared" si="443"/>
        <v>N/A</v>
      </c>
      <c r="BI175" s="154"/>
      <c r="BJ175" s="151">
        <f t="shared" si="465"/>
        <v>9</v>
      </c>
      <c r="BK175" s="37" t="str">
        <f t="shared" si="445"/>
        <v>N/A</v>
      </c>
      <c r="BL175" s="154"/>
      <c r="BO175" s="35"/>
      <c r="BP175" s="35"/>
      <c r="BQ175" s="35" t="str">
        <f t="shared" si="342"/>
        <v/>
      </c>
      <c r="BR175" s="35">
        <f t="shared" si="396"/>
        <v>9</v>
      </c>
      <c r="BS175" s="35">
        <f t="shared" si="397"/>
        <v>9</v>
      </c>
      <c r="BT175" s="35">
        <f t="shared" si="398"/>
        <v>9</v>
      </c>
      <c r="BW175" s="35" t="str">
        <f>D175</f>
        <v>LE 03</v>
      </c>
      <c r="BX175" s="35"/>
      <c r="BY175" s="35"/>
      <c r="BZ175" s="35"/>
      <c r="CA175" s="35"/>
      <c r="CB175" s="35"/>
    </row>
    <row r="176" spans="1:81">
      <c r="A176">
        <v>168</v>
      </c>
      <c r="C176" t="str">
        <f t="shared" si="344"/>
        <v>LE 03</v>
      </c>
      <c r="D176" s="137" t="s">
        <v>729</v>
      </c>
      <c r="E176" s="754" t="s">
        <v>800</v>
      </c>
      <c r="F176" s="607"/>
      <c r="G176" s="607"/>
      <c r="H176" s="607"/>
      <c r="I176" s="607"/>
      <c r="J176" s="607"/>
      <c r="K176" s="607"/>
      <c r="L176" s="607"/>
      <c r="M176" s="607"/>
      <c r="N176" s="607"/>
      <c r="O176" s="607"/>
      <c r="P176" s="607"/>
      <c r="Q176" s="607"/>
      <c r="R176" s="607"/>
      <c r="T176" s="139">
        <f t="shared" si="432"/>
        <v>0</v>
      </c>
      <c r="U176" s="137"/>
      <c r="V176" s="35"/>
      <c r="W176" s="35"/>
      <c r="X176" s="35"/>
      <c r="Y176" s="138"/>
      <c r="Z176" s="138"/>
      <c r="AA176" s="139">
        <f t="shared" si="434"/>
        <v>0</v>
      </c>
      <c r="AB176" s="140">
        <f>IF($AC$5='Manuell filtrering og justering'!$J$2,Z176,(T176-AA176))</f>
        <v>0</v>
      </c>
      <c r="AD176" s="141">
        <f t="shared" si="435"/>
        <v>0</v>
      </c>
      <c r="AE176" s="141">
        <f t="shared" si="447"/>
        <v>0</v>
      </c>
      <c r="AF176" s="141">
        <f t="shared" si="448"/>
        <v>0</v>
      </c>
      <c r="AG176" s="141">
        <f t="shared" si="449"/>
        <v>0</v>
      </c>
      <c r="AI176" s="142"/>
      <c r="AJ176" s="142"/>
      <c r="AK176" s="142"/>
      <c r="AM176" s="243"/>
      <c r="AN176" s="244"/>
      <c r="AO176" s="244"/>
      <c r="AP176" s="150"/>
      <c r="AQ176" s="155"/>
      <c r="AR176" s="114"/>
      <c r="AS176" s="242"/>
      <c r="AT176" s="150"/>
      <c r="AU176" s="150"/>
      <c r="AV176" s="150"/>
      <c r="AW176" s="155"/>
      <c r="AY176" s="137"/>
      <c r="AZ176" s="35"/>
      <c r="BA176" s="35"/>
      <c r="BB176" s="35"/>
      <c r="BC176" s="138"/>
      <c r="BD176" s="151">
        <f t="shared" si="463"/>
        <v>9</v>
      </c>
      <c r="BE176" s="37" t="str">
        <f t="shared" si="441"/>
        <v>N/A</v>
      </c>
      <c r="BF176" s="154"/>
      <c r="BG176" s="151">
        <f t="shared" si="464"/>
        <v>9</v>
      </c>
      <c r="BH176" s="37" t="str">
        <f t="shared" si="443"/>
        <v>N/A</v>
      </c>
      <c r="BI176" s="154"/>
      <c r="BJ176" s="151">
        <f t="shared" si="465"/>
        <v>9</v>
      </c>
      <c r="BK176" s="37" t="str">
        <f t="shared" si="445"/>
        <v>N/A</v>
      </c>
      <c r="BL176" s="154"/>
      <c r="BO176" s="35"/>
      <c r="BP176" s="35"/>
      <c r="BQ176" s="35" t="str">
        <f t="shared" si="342"/>
        <v/>
      </c>
      <c r="BR176" s="35">
        <f t="shared" si="396"/>
        <v>9</v>
      </c>
      <c r="BS176" s="35">
        <f t="shared" si="397"/>
        <v>9</v>
      </c>
      <c r="BT176" s="35">
        <f t="shared" si="398"/>
        <v>9</v>
      </c>
      <c r="BW176" s="35"/>
      <c r="BX176" s="35"/>
      <c r="BY176" s="35"/>
      <c r="BZ176" s="35"/>
      <c r="CA176" s="35"/>
      <c r="CB176" s="35"/>
    </row>
    <row r="177" spans="1:81">
      <c r="A177">
        <v>169</v>
      </c>
      <c r="B177" t="str">
        <f t="shared" ref="B177:B178" si="474">$D$175&amp;D177</f>
        <v>LE 03b</v>
      </c>
      <c r="C177" t="str">
        <f t="shared" si="344"/>
        <v>LE 03</v>
      </c>
      <c r="D177" s="137" t="s">
        <v>730</v>
      </c>
      <c r="E177" s="971" t="s">
        <v>672</v>
      </c>
      <c r="F177" s="607">
        <v>1</v>
      </c>
      <c r="G177" s="607">
        <v>1</v>
      </c>
      <c r="H177" s="607">
        <v>1</v>
      </c>
      <c r="I177" s="607">
        <v>1</v>
      </c>
      <c r="J177" s="607">
        <v>1</v>
      </c>
      <c r="K177" s="607">
        <v>1</v>
      </c>
      <c r="L177" s="607">
        <v>1</v>
      </c>
      <c r="M177" s="607">
        <v>1</v>
      </c>
      <c r="N177" s="607">
        <v>1</v>
      </c>
      <c r="O177" s="607">
        <v>1</v>
      </c>
      <c r="P177" s="607">
        <v>1</v>
      </c>
      <c r="Q177" s="607">
        <v>1</v>
      </c>
      <c r="R177" s="607">
        <v>1</v>
      </c>
      <c r="T177" s="139">
        <f t="shared" si="432"/>
        <v>1</v>
      </c>
      <c r="U177" s="137"/>
      <c r="V177" s="35"/>
      <c r="W177" s="35"/>
      <c r="X177" s="35"/>
      <c r="Y177" s="138"/>
      <c r="Z177" s="138">
        <f>VLOOKUP(B177,'Manuell filtrering og justering'!$A$7:$H$253,'Manuell filtrering og justering'!$H$1,FALSE)</f>
        <v>0</v>
      </c>
      <c r="AA177" s="139">
        <f t="shared" si="434"/>
        <v>0</v>
      </c>
      <c r="AB177" s="140">
        <f>IF($AC$5='Manuell filtrering og justering'!$J$2,Z177,(T177-AA177))</f>
        <v>1</v>
      </c>
      <c r="AD177" s="141">
        <f t="shared" si="435"/>
        <v>7.8947368421052634E-3</v>
      </c>
      <c r="AE177" s="141">
        <f t="shared" si="447"/>
        <v>0</v>
      </c>
      <c r="AF177" s="141">
        <f t="shared" si="448"/>
        <v>0</v>
      </c>
      <c r="AG177" s="141">
        <f t="shared" si="449"/>
        <v>0</v>
      </c>
      <c r="AI177" s="821">
        <f>IF(AI243=AD_no,0,IF(VLOOKUP(E177,'Pre-Assessment Estimator'!$E$11:$Z$227,'Pre-Assessment Estimator'!$G$2,FALSE)&gt;AB177,AB177,VLOOKUP(E177,'Pre-Assessment Estimator'!$E$11:$Z$227,'Pre-Assessment Estimator'!$G$2,FALSE)))</f>
        <v>0</v>
      </c>
      <c r="AJ177" s="821">
        <f>IF(AJ243=AD_no,0,IF(VLOOKUP(E177,'Pre-Assessment Estimator'!$E$11:$Z$227,'Pre-Assessment Estimator'!$N$2,FALSE)&gt;AB177,AB177,VLOOKUP(E177,'Pre-Assessment Estimator'!$E$11:$Z$227,'Pre-Assessment Estimator'!$N$2,FALSE)))</f>
        <v>0</v>
      </c>
      <c r="AK177" s="821">
        <f>IF(AK243=AD_no,0,IF(VLOOKUP(E177,'Pre-Assessment Estimator'!$E$11:$Z$227,'Pre-Assessment Estimator'!$U$2,FALSE)&gt;AB177,AB177,VLOOKUP(E177,'Pre-Assessment Estimator'!$E$11:$Z$227,'Pre-Assessment Estimator'!$U$2,FALSE)))</f>
        <v>0</v>
      </c>
      <c r="AM177" s="243"/>
      <c r="AN177" s="244"/>
      <c r="AO177" s="244"/>
      <c r="AP177" s="150"/>
      <c r="AQ177" s="155"/>
      <c r="AR177" s="114"/>
      <c r="AS177" s="242"/>
      <c r="AT177" s="150"/>
      <c r="AU177" s="150"/>
      <c r="AV177" s="150"/>
      <c r="AW177" s="155"/>
      <c r="AY177" s="152"/>
      <c r="AZ177" s="152"/>
      <c r="BA177" s="152"/>
      <c r="BB177" s="152"/>
      <c r="BC177" s="152"/>
      <c r="BD177" s="151">
        <f t="shared" ref="BD177:BD178" si="475">IF(BC177=0,9,IF(AI177&gt;=BC177,5,IF(AI177&gt;=BB177,4,IF(AI177&gt;=BA177,3,IF(AI177&gt;=AZ177,2,IF(AI177&lt;AY177,0,1))))))</f>
        <v>9</v>
      </c>
      <c r="BE177" s="37" t="str">
        <f t="shared" si="441"/>
        <v>N/A</v>
      </c>
      <c r="BF177" s="154"/>
      <c r="BG177" s="151">
        <f t="shared" ref="BG177:BG178" si="476">IF(BC177=0,9,IF(AJ177&gt;=BC177,5,IF(AJ177&gt;=BB177,4,IF(AJ177&gt;=BA177,3,IF(AJ177&gt;=AZ177,2,IF(AJ177&lt;AY177,0,1))))))</f>
        <v>9</v>
      </c>
      <c r="BH177" s="37" t="str">
        <f t="shared" si="443"/>
        <v>N/A</v>
      </c>
      <c r="BI177" s="154"/>
      <c r="BJ177" s="151">
        <f t="shared" ref="BJ177:BJ178" si="477">IF(BC177=0,9,IF(AK177&gt;=BC177,5,IF(AK177&gt;=BB177,4,IF(AK177&gt;=BA177,3,IF(AK177&gt;=AZ177,2,IF(AK177&lt;AY177,0,1))))))</f>
        <v>9</v>
      </c>
      <c r="BK177" s="37" t="str">
        <f t="shared" si="445"/>
        <v>N/A</v>
      </c>
      <c r="BL177" s="154"/>
      <c r="BO177" s="35"/>
      <c r="BP177" s="35"/>
      <c r="BQ177" s="35" t="str">
        <f t="shared" si="342"/>
        <v/>
      </c>
      <c r="BR177" s="35">
        <f t="shared" si="396"/>
        <v>9</v>
      </c>
      <c r="BS177" s="35">
        <f t="shared" si="397"/>
        <v>9</v>
      </c>
      <c r="BT177" s="35">
        <f t="shared" si="398"/>
        <v>9</v>
      </c>
      <c r="BW177" s="35"/>
      <c r="BX177" s="35"/>
      <c r="BY177" s="35"/>
      <c r="BZ177" s="35"/>
      <c r="CA177" s="35"/>
      <c r="CB177" s="35"/>
    </row>
    <row r="178" spans="1:81">
      <c r="A178">
        <v>170</v>
      </c>
      <c r="B178" t="str">
        <f t="shared" si="474"/>
        <v>LE 03c</v>
      </c>
      <c r="C178" t="str">
        <f t="shared" si="344"/>
        <v>LE 03</v>
      </c>
      <c r="D178" s="137" t="s">
        <v>731</v>
      </c>
      <c r="E178" s="971" t="s">
        <v>673</v>
      </c>
      <c r="F178" s="607">
        <v>2</v>
      </c>
      <c r="G178" s="607">
        <v>2</v>
      </c>
      <c r="H178" s="607">
        <v>2</v>
      </c>
      <c r="I178" s="607">
        <v>2</v>
      </c>
      <c r="J178" s="607">
        <v>2</v>
      </c>
      <c r="K178" s="607">
        <v>2</v>
      </c>
      <c r="L178" s="607">
        <v>2</v>
      </c>
      <c r="M178" s="607">
        <v>2</v>
      </c>
      <c r="N178" s="607">
        <v>2</v>
      </c>
      <c r="O178" s="607">
        <v>2</v>
      </c>
      <c r="P178" s="607">
        <v>2</v>
      </c>
      <c r="Q178" s="607">
        <v>2</v>
      </c>
      <c r="R178" s="607">
        <v>2</v>
      </c>
      <c r="T178" s="139">
        <f t="shared" si="432"/>
        <v>2</v>
      </c>
      <c r="U178" s="137"/>
      <c r="V178" s="35"/>
      <c r="W178" s="35"/>
      <c r="X178" s="35"/>
      <c r="Y178" s="138"/>
      <c r="Z178" s="138">
        <f>VLOOKUP(B178,'Manuell filtrering og justering'!$A$7:$H$253,'Manuell filtrering og justering'!$H$1,FALSE)</f>
        <v>0</v>
      </c>
      <c r="AA178" s="139">
        <f t="shared" si="434"/>
        <v>0</v>
      </c>
      <c r="AB178" s="140">
        <f>IF($AC$5='Manuell filtrering og justering'!$J$2,Z178,(T178-AA178))</f>
        <v>2</v>
      </c>
      <c r="AD178" s="141">
        <f t="shared" si="435"/>
        <v>1.5789473684210527E-2</v>
      </c>
      <c r="AE178" s="141">
        <f t="shared" si="447"/>
        <v>0</v>
      </c>
      <c r="AF178" s="141">
        <f t="shared" si="448"/>
        <v>0</v>
      </c>
      <c r="AG178" s="141">
        <f t="shared" si="449"/>
        <v>0</v>
      </c>
      <c r="AI178" s="821">
        <f>IF(AI243=AD_no,0,IF(VLOOKUP(E178,'Pre-Assessment Estimator'!$E$11:$Z$227,'Pre-Assessment Estimator'!$G$2,FALSE)&gt;AB178,AB178,VLOOKUP(E178,'Pre-Assessment Estimator'!$E$11:$Z$227,'Pre-Assessment Estimator'!$G$2,FALSE)))</f>
        <v>0</v>
      </c>
      <c r="AJ178" s="821">
        <f>IF(AJ243=AD_no,0,IF(VLOOKUP(E178,'Pre-Assessment Estimator'!$E$11:$Z$227,'Pre-Assessment Estimator'!$N$2,FALSE)&gt;AB178,AB178,VLOOKUP(E178,'Pre-Assessment Estimator'!$E$11:$Z$227,'Pre-Assessment Estimator'!$N$2,FALSE)))</f>
        <v>0</v>
      </c>
      <c r="AK178" s="821">
        <f>IF(AK243=AD_no,0,IF(VLOOKUP(E178,'Pre-Assessment Estimator'!$E$11:$Z$227,'Pre-Assessment Estimator'!$U$2,FALSE)&gt;AB178,AB178,VLOOKUP(E178,'Pre-Assessment Estimator'!$E$11:$Z$227,'Pre-Assessment Estimator'!$U$2,FALSE)))</f>
        <v>0</v>
      </c>
      <c r="AM178" s="243"/>
      <c r="AN178" s="244"/>
      <c r="AO178" s="244"/>
      <c r="AP178" s="150"/>
      <c r="AQ178" s="155"/>
      <c r="AR178" s="114"/>
      <c r="AS178" s="242"/>
      <c r="AT178" s="150"/>
      <c r="AU178" s="150"/>
      <c r="AV178" s="150"/>
      <c r="AW178" s="155"/>
      <c r="AY178" s="137"/>
      <c r="AZ178" s="35"/>
      <c r="BA178" s="35"/>
      <c r="BB178" s="35"/>
      <c r="BC178" s="138"/>
      <c r="BD178" s="151">
        <f t="shared" si="475"/>
        <v>9</v>
      </c>
      <c r="BE178" s="37" t="str">
        <f t="shared" si="441"/>
        <v>N/A</v>
      </c>
      <c r="BF178" s="154"/>
      <c r="BG178" s="151">
        <f t="shared" si="476"/>
        <v>9</v>
      </c>
      <c r="BH178" s="37" t="str">
        <f t="shared" si="443"/>
        <v>N/A</v>
      </c>
      <c r="BI178" s="154"/>
      <c r="BJ178" s="151">
        <f t="shared" si="477"/>
        <v>9</v>
      </c>
      <c r="BK178" s="37" t="str">
        <f t="shared" si="445"/>
        <v>N/A</v>
      </c>
      <c r="BL178" s="154"/>
      <c r="BO178" s="35"/>
      <c r="BP178" s="35"/>
      <c r="BQ178" s="35" t="str">
        <f t="shared" si="342"/>
        <v/>
      </c>
      <c r="BR178" s="35">
        <f t="shared" si="396"/>
        <v>9</v>
      </c>
      <c r="BS178" s="35">
        <f t="shared" si="397"/>
        <v>9</v>
      </c>
      <c r="BT178" s="35">
        <f t="shared" si="398"/>
        <v>9</v>
      </c>
      <c r="BW178" s="35"/>
      <c r="BX178" s="35"/>
      <c r="BY178" s="35"/>
      <c r="BZ178" s="35"/>
      <c r="CA178" s="35"/>
      <c r="CB178" s="35"/>
    </row>
    <row r="179" spans="1:81">
      <c r="A179">
        <v>171</v>
      </c>
      <c r="B179" s="112" t="str">
        <f>D179</f>
        <v>LE 04</v>
      </c>
      <c r="C179" s="112" t="str">
        <f>B179</f>
        <v>LE 04</v>
      </c>
      <c r="D179" s="663" t="s">
        <v>476</v>
      </c>
      <c r="E179" s="661" t="s">
        <v>801</v>
      </c>
      <c r="F179" s="748">
        <f>SUM(F180:F182)</f>
        <v>4</v>
      </c>
      <c r="G179" s="748">
        <f t="shared" ref="G179:R179" si="478">SUM(G180:G182)</f>
        <v>4</v>
      </c>
      <c r="H179" s="748">
        <f t="shared" si="478"/>
        <v>4</v>
      </c>
      <c r="I179" s="748">
        <f t="shared" si="478"/>
        <v>4</v>
      </c>
      <c r="J179" s="748">
        <f t="shared" si="478"/>
        <v>4</v>
      </c>
      <c r="K179" s="748">
        <f t="shared" si="478"/>
        <v>4</v>
      </c>
      <c r="L179" s="748">
        <f t="shared" si="478"/>
        <v>4</v>
      </c>
      <c r="M179" s="748">
        <f t="shared" si="478"/>
        <v>4</v>
      </c>
      <c r="N179" s="748">
        <f t="shared" si="478"/>
        <v>4</v>
      </c>
      <c r="O179" s="748">
        <f t="shared" si="478"/>
        <v>4</v>
      </c>
      <c r="P179" s="748">
        <f t="shared" si="478"/>
        <v>4</v>
      </c>
      <c r="Q179" s="748">
        <f t="shared" ref="Q179" si="479">SUM(Q180:Q182)</f>
        <v>4</v>
      </c>
      <c r="R179" s="748">
        <f t="shared" si="478"/>
        <v>4</v>
      </c>
      <c r="T179" s="768">
        <f t="shared" si="432"/>
        <v>4</v>
      </c>
      <c r="U179" s="182"/>
      <c r="V179" s="53"/>
      <c r="W179" s="53"/>
      <c r="X179" s="53">
        <f>'Manuell filtrering og justering'!E78</f>
        <v>0</v>
      </c>
      <c r="Y179" s="53"/>
      <c r="Z179" s="763">
        <f t="shared" ref="Z179" si="480">SUM(Z180:Z182)</f>
        <v>4</v>
      </c>
      <c r="AA179" s="768">
        <f t="shared" si="434"/>
        <v>0</v>
      </c>
      <c r="AB179" s="820">
        <f>SUM(AB180:AB182)</f>
        <v>4</v>
      </c>
      <c r="AD179" s="141">
        <f t="shared" si="435"/>
        <v>3.1578947368421054E-2</v>
      </c>
      <c r="AE179" s="736">
        <f>SUM(AE180:AE182)</f>
        <v>0</v>
      </c>
      <c r="AF179" s="736">
        <f t="shared" ref="AF179" si="481">SUM(AF180:AF182)</f>
        <v>0</v>
      </c>
      <c r="AG179" s="736">
        <f t="shared" ref="AG179" si="482">SUM(AG180:AG182)</f>
        <v>0</v>
      </c>
      <c r="AI179" s="763">
        <f t="shared" ref="AI179" si="483">SUM(AI180:AI182)</f>
        <v>0</v>
      </c>
      <c r="AJ179" s="763">
        <f t="shared" ref="AJ179" si="484">SUM(AJ180:AJ182)</f>
        <v>0</v>
      </c>
      <c r="AK179" s="763">
        <f t="shared" ref="AK179" si="485">SUM(AK180:AK182)</f>
        <v>0</v>
      </c>
      <c r="AM179" s="243"/>
      <c r="AN179" s="244"/>
      <c r="AO179" s="244"/>
      <c r="AP179" s="150"/>
      <c r="AQ179" s="155"/>
      <c r="AR179" s="114"/>
      <c r="AS179" s="242"/>
      <c r="AT179" s="150"/>
      <c r="AU179" s="150"/>
      <c r="AV179" s="150"/>
      <c r="AW179" s="155"/>
      <c r="AY179" s="137"/>
      <c r="AZ179" s="35"/>
      <c r="BA179" s="35"/>
      <c r="BB179" s="35"/>
      <c r="BC179" s="138"/>
      <c r="BD179" s="151">
        <f t="shared" si="463"/>
        <v>9</v>
      </c>
      <c r="BE179" s="37" t="str">
        <f t="shared" si="441"/>
        <v>N/A</v>
      </c>
      <c r="BF179" s="154"/>
      <c r="BG179" s="151">
        <f t="shared" si="464"/>
        <v>9</v>
      </c>
      <c r="BH179" s="37" t="str">
        <f t="shared" si="443"/>
        <v>N/A</v>
      </c>
      <c r="BI179" s="154"/>
      <c r="BJ179" s="151">
        <f t="shared" si="465"/>
        <v>9</v>
      </c>
      <c r="BK179" s="37" t="str">
        <f t="shared" si="445"/>
        <v>N/A</v>
      </c>
      <c r="BL179" s="154"/>
      <c r="BO179" s="35"/>
      <c r="BP179" s="35"/>
      <c r="BQ179" s="35" t="str">
        <f t="shared" si="342"/>
        <v/>
      </c>
      <c r="BR179" s="35">
        <f t="shared" si="396"/>
        <v>9</v>
      </c>
      <c r="BS179" s="35">
        <f t="shared" si="397"/>
        <v>9</v>
      </c>
      <c r="BT179" s="35">
        <f t="shared" si="398"/>
        <v>9</v>
      </c>
      <c r="BW179" s="35" t="str">
        <f>D179</f>
        <v>LE 04</v>
      </c>
      <c r="BX179" s="35" t="str">
        <f>IFERROR(VLOOKUP($E179,'Pre-Assessment Estimator'!$E$11:$AB$227,'Pre-Assessment Estimator'!AB$2,FALSE),"")</f>
        <v>N/A</v>
      </c>
      <c r="BY179" s="35">
        <f>IFERROR(VLOOKUP($E179,'Pre-Assessment Estimator'!$E$11:$AI$227,'Pre-Assessment Estimator'!AI$2,FALSE),"")</f>
        <v>0</v>
      </c>
      <c r="BZ179" s="35">
        <f>IFERROR(VLOOKUP($BX179,$E$293:$H$326,F$291,FALSE),"")</f>
        <v>1</v>
      </c>
      <c r="CA179" s="35">
        <f>IFERROR(VLOOKUP($BX179,$E$293:$H$326,G$291,FALSE),"")</f>
        <v>0</v>
      </c>
      <c r="CB179" s="35"/>
      <c r="CC179" t="str">
        <f>IFERROR(VLOOKUP($BX179,$E$293:$H$326,I$291,FALSE),"")</f>
        <v/>
      </c>
    </row>
    <row r="180" spans="1:81">
      <c r="A180">
        <v>172</v>
      </c>
      <c r="C180" t="str">
        <f t="shared" si="344"/>
        <v>LE 04</v>
      </c>
      <c r="D180" s="137" t="s">
        <v>729</v>
      </c>
      <c r="E180" s="754" t="s">
        <v>921</v>
      </c>
      <c r="F180" s="607"/>
      <c r="G180" s="607"/>
      <c r="H180" s="607"/>
      <c r="I180" s="607"/>
      <c r="J180" s="607"/>
      <c r="K180" s="607"/>
      <c r="L180" s="607"/>
      <c r="M180" s="607"/>
      <c r="N180" s="607"/>
      <c r="O180" s="607"/>
      <c r="P180" s="607"/>
      <c r="Q180" s="607"/>
      <c r="R180" s="607"/>
      <c r="T180" s="139">
        <f t="shared" si="432"/>
        <v>0</v>
      </c>
      <c r="U180" s="137"/>
      <c r="V180" s="35"/>
      <c r="W180" s="35"/>
      <c r="X180" s="35"/>
      <c r="Y180" s="138"/>
      <c r="Z180" s="138"/>
      <c r="AA180" s="139">
        <f t="shared" si="434"/>
        <v>0</v>
      </c>
      <c r="AB180" s="140">
        <f>IF($AC$5='Manuell filtrering og justering'!$J$2,Z180,(T180-AA180))</f>
        <v>0</v>
      </c>
      <c r="AD180" s="141">
        <f t="shared" si="435"/>
        <v>0</v>
      </c>
      <c r="AE180" s="141">
        <f t="shared" si="447"/>
        <v>0</v>
      </c>
      <c r="AF180" s="141">
        <f t="shared" si="448"/>
        <v>0</v>
      </c>
      <c r="AG180" s="141">
        <f t="shared" si="449"/>
        <v>0</v>
      </c>
      <c r="AI180" s="142">
        <f>IF(VLOOKUP(E180,'Pre-Assessment Estimator'!$E$11:$Z$227,'Pre-Assessment Estimator'!$G$2,FALSE)&gt;AB180,AB180,VLOOKUP(E180,'Pre-Assessment Estimator'!$E$11:$Z$227,'Pre-Assessment Estimator'!$G$2,FALSE))</f>
        <v>0</v>
      </c>
      <c r="AJ180" s="142">
        <f>IF(VLOOKUP(E180,'Pre-Assessment Estimator'!$E$11:$Z$227,'Pre-Assessment Estimator'!$N$2,FALSE)&gt;AB180,AB180,VLOOKUP(E180,'Pre-Assessment Estimator'!$E$11:$Z$227,'Pre-Assessment Estimator'!$N$2,FALSE))</f>
        <v>0</v>
      </c>
      <c r="AK180" s="142">
        <f>IF(VLOOKUP(E180,'Pre-Assessment Estimator'!$E$11:$Z$227,'Pre-Assessment Estimator'!$U$2,FALSE)&gt;AB180,AB180,VLOOKUP(E180,'Pre-Assessment Estimator'!$E$11:$Z$227,'Pre-Assessment Estimator'!$U$2,FALSE))</f>
        <v>0</v>
      </c>
      <c r="AM180" s="243"/>
      <c r="AN180" s="244"/>
      <c r="AO180" s="244"/>
      <c r="AP180" s="150"/>
      <c r="AQ180" s="155"/>
      <c r="AR180" s="114"/>
      <c r="AS180" s="242"/>
      <c r="AT180" s="150"/>
      <c r="AU180" s="150"/>
      <c r="AV180" s="150"/>
      <c r="AW180" s="155"/>
      <c r="AY180" s="137"/>
      <c r="AZ180" s="35"/>
      <c r="BA180" s="35"/>
      <c r="BB180" s="35"/>
      <c r="BC180" s="138"/>
      <c r="BD180" s="151">
        <f t="shared" si="463"/>
        <v>9</v>
      </c>
      <c r="BE180" s="37" t="str">
        <f t="shared" si="441"/>
        <v>N/A</v>
      </c>
      <c r="BF180" s="154"/>
      <c r="BG180" s="151">
        <f t="shared" si="464"/>
        <v>9</v>
      </c>
      <c r="BH180" s="37" t="str">
        <f t="shared" si="443"/>
        <v>N/A</v>
      </c>
      <c r="BI180" s="154"/>
      <c r="BJ180" s="151">
        <f t="shared" si="465"/>
        <v>9</v>
      </c>
      <c r="BK180" s="37" t="str">
        <f t="shared" si="445"/>
        <v>N/A</v>
      </c>
      <c r="BL180" s="154"/>
      <c r="BO180" s="35"/>
      <c r="BP180" s="35"/>
      <c r="BQ180" s="35" t="str">
        <f t="shared" si="342"/>
        <v/>
      </c>
      <c r="BR180" s="35">
        <f t="shared" si="396"/>
        <v>9</v>
      </c>
      <c r="BS180" s="35">
        <f t="shared" si="397"/>
        <v>9</v>
      </c>
      <c r="BT180" s="35">
        <f t="shared" si="398"/>
        <v>9</v>
      </c>
      <c r="BW180" s="35"/>
      <c r="BX180" s="35"/>
      <c r="BY180" s="35"/>
      <c r="BZ180" s="35"/>
      <c r="CA180" s="35"/>
      <c r="CB180" s="35"/>
    </row>
    <row r="181" spans="1:81">
      <c r="A181">
        <v>173</v>
      </c>
      <c r="B181" t="str">
        <f t="shared" ref="B181:B182" si="486">$D$179&amp;D181</f>
        <v>LE 04b</v>
      </c>
      <c r="C181" t="str">
        <f t="shared" si="344"/>
        <v>LE 04</v>
      </c>
      <c r="D181" s="137" t="s">
        <v>730</v>
      </c>
      <c r="E181" s="857" t="s">
        <v>675</v>
      </c>
      <c r="F181" s="607">
        <v>1</v>
      </c>
      <c r="G181" s="607">
        <v>1</v>
      </c>
      <c r="H181" s="607">
        <v>1</v>
      </c>
      <c r="I181" s="607">
        <v>1</v>
      </c>
      <c r="J181" s="607">
        <v>1</v>
      </c>
      <c r="K181" s="607">
        <v>1</v>
      </c>
      <c r="L181" s="607">
        <v>1</v>
      </c>
      <c r="M181" s="607">
        <v>1</v>
      </c>
      <c r="N181" s="607">
        <v>1</v>
      </c>
      <c r="O181" s="607">
        <v>1</v>
      </c>
      <c r="P181" s="607">
        <v>1</v>
      </c>
      <c r="Q181" s="607">
        <v>1</v>
      </c>
      <c r="R181" s="607">
        <v>1</v>
      </c>
      <c r="T181" s="139">
        <f t="shared" si="432"/>
        <v>1</v>
      </c>
      <c r="U181" s="137"/>
      <c r="V181" s="35"/>
      <c r="W181" s="35"/>
      <c r="X181" s="35"/>
      <c r="Y181" s="138"/>
      <c r="Z181" s="138">
        <f>VLOOKUP(B181,'Manuell filtrering og justering'!$A$7:$H$253,'Manuell filtrering og justering'!$H$1,FALSE)</f>
        <v>1</v>
      </c>
      <c r="AA181" s="139">
        <f t="shared" si="434"/>
        <v>0</v>
      </c>
      <c r="AB181" s="140">
        <f>IF($AC$5='Manuell filtrering og justering'!$J$2,Z181,(T181-AA181))</f>
        <v>1</v>
      </c>
      <c r="AD181" s="141">
        <f t="shared" si="435"/>
        <v>7.8947368421052634E-3</v>
      </c>
      <c r="AE181" s="141">
        <f t="shared" si="447"/>
        <v>0</v>
      </c>
      <c r="AF181" s="141">
        <f t="shared" si="448"/>
        <v>0</v>
      </c>
      <c r="AG181" s="141">
        <f t="shared" si="449"/>
        <v>0</v>
      </c>
      <c r="AI181" s="821">
        <f>IF(AI244=AD_no,0,IF(VLOOKUP(E181,'Pre-Assessment Estimator'!$E$11:$Z$227,'Pre-Assessment Estimator'!$G$2,FALSE)&gt;AB181,AB181,VLOOKUP(E181,'Pre-Assessment Estimator'!$E$11:$Z$227,'Pre-Assessment Estimator'!$G$2,FALSE)))</f>
        <v>0</v>
      </c>
      <c r="AJ181" s="821">
        <f>IF(AJ244=AD_no,0,IF(VLOOKUP(E181,'Pre-Assessment Estimator'!$E$11:$Z$227,'Pre-Assessment Estimator'!$N$2,FALSE)&gt;AB181,AB181,VLOOKUP(E181,'Pre-Assessment Estimator'!$E$11:$Z$227,'Pre-Assessment Estimator'!$N$2,FALSE)))</f>
        <v>0</v>
      </c>
      <c r="AK181" s="821">
        <f>IF(AK244=AD_no,0,IF(VLOOKUP(E181,'Pre-Assessment Estimator'!$E$11:$Z$227,'Pre-Assessment Estimator'!$U$2,FALSE)&gt;AB181,AB181,VLOOKUP(E181,'Pre-Assessment Estimator'!$E$11:$Z$227,'Pre-Assessment Estimator'!$U$2,FALSE)))</f>
        <v>0</v>
      </c>
      <c r="AM181" s="243"/>
      <c r="AN181" s="244"/>
      <c r="AO181" s="244"/>
      <c r="AP181" s="150"/>
      <c r="AQ181" s="155">
        <v>1</v>
      </c>
      <c r="AR181" s="114"/>
      <c r="AS181" s="242"/>
      <c r="AT181" s="150"/>
      <c r="AU181" s="150"/>
      <c r="AV181" s="150"/>
      <c r="AW181" s="155">
        <v>1</v>
      </c>
      <c r="AY181" s="137"/>
      <c r="AZ181" s="35"/>
      <c r="BA181" s="35"/>
      <c r="BB181" s="35"/>
      <c r="BC181" s="152">
        <f>IF($AB181=0,0,IF($E$6=$H$9,AW181,AQ181))</f>
        <v>1</v>
      </c>
      <c r="BD181" s="151">
        <f t="shared" si="463"/>
        <v>4</v>
      </c>
      <c r="BE181" s="37" t="str">
        <f t="shared" si="441"/>
        <v>Excellent</v>
      </c>
      <c r="BF181" s="154"/>
      <c r="BG181" s="151">
        <f t="shared" si="464"/>
        <v>4</v>
      </c>
      <c r="BH181" s="37" t="str">
        <f t="shared" si="443"/>
        <v>Excellent</v>
      </c>
      <c r="BI181" s="154"/>
      <c r="BJ181" s="151">
        <f t="shared" si="465"/>
        <v>4</v>
      </c>
      <c r="BK181" s="37" t="str">
        <f t="shared" si="445"/>
        <v>Excellent</v>
      </c>
      <c r="BL181" s="154"/>
      <c r="BO181" s="35"/>
      <c r="BP181" s="35"/>
      <c r="BQ181" s="35" t="str">
        <f t="shared" si="342"/>
        <v/>
      </c>
      <c r="BR181" s="35">
        <f t="shared" si="396"/>
        <v>9</v>
      </c>
      <c r="BS181" s="35">
        <f t="shared" si="397"/>
        <v>9</v>
      </c>
      <c r="BT181" s="35">
        <f t="shared" si="398"/>
        <v>9</v>
      </c>
      <c r="BW181" s="35"/>
      <c r="BX181" s="35"/>
      <c r="BY181" s="35"/>
      <c r="BZ181" s="35"/>
      <c r="CA181" s="35"/>
      <c r="CB181" s="35"/>
    </row>
    <row r="182" spans="1:81">
      <c r="A182">
        <v>174</v>
      </c>
      <c r="B182" t="str">
        <f t="shared" si="486"/>
        <v>LE 04c</v>
      </c>
      <c r="C182" t="str">
        <f t="shared" si="344"/>
        <v>LE 04</v>
      </c>
      <c r="D182" s="137" t="s">
        <v>731</v>
      </c>
      <c r="E182" s="857" t="s">
        <v>676</v>
      </c>
      <c r="F182" s="607">
        <v>3</v>
      </c>
      <c r="G182" s="607">
        <v>3</v>
      </c>
      <c r="H182" s="607">
        <v>3</v>
      </c>
      <c r="I182" s="607">
        <v>3</v>
      </c>
      <c r="J182" s="607">
        <v>3</v>
      </c>
      <c r="K182" s="607">
        <v>3</v>
      </c>
      <c r="L182" s="607">
        <v>3</v>
      </c>
      <c r="M182" s="607">
        <v>3</v>
      </c>
      <c r="N182" s="607">
        <v>3</v>
      </c>
      <c r="O182" s="607">
        <v>3</v>
      </c>
      <c r="P182" s="607">
        <v>3</v>
      </c>
      <c r="Q182" s="607">
        <v>3</v>
      </c>
      <c r="R182" s="607">
        <v>3</v>
      </c>
      <c r="T182" s="139">
        <f t="shared" si="432"/>
        <v>3</v>
      </c>
      <c r="U182" s="137"/>
      <c r="V182" s="35"/>
      <c r="W182" s="35"/>
      <c r="X182" s="35"/>
      <c r="Y182" s="138"/>
      <c r="Z182" s="138">
        <f>VLOOKUP(B182,'Manuell filtrering og justering'!$A$7:$H$253,'Manuell filtrering og justering'!$H$1,FALSE)</f>
        <v>3</v>
      </c>
      <c r="AA182" s="139">
        <f t="shared" si="434"/>
        <v>0</v>
      </c>
      <c r="AB182" s="140">
        <f>IF($AC$5='Manuell filtrering og justering'!$J$2,Z182,(T182-AA182))</f>
        <v>3</v>
      </c>
      <c r="AD182" s="141">
        <f t="shared" si="435"/>
        <v>2.368421052631579E-2</v>
      </c>
      <c r="AE182" s="141">
        <f t="shared" si="447"/>
        <v>0</v>
      </c>
      <c r="AF182" s="141">
        <f t="shared" si="448"/>
        <v>0</v>
      </c>
      <c r="AG182" s="141">
        <f t="shared" si="449"/>
        <v>0</v>
      </c>
      <c r="AI182" s="821">
        <f>IF(AI244=AD_no,0,IF(VLOOKUP(E182,'Pre-Assessment Estimator'!$E$11:$Z$227,'Pre-Assessment Estimator'!$G$2,FALSE)&gt;AB182,AB182,VLOOKUP(E182,'Pre-Assessment Estimator'!$E$11:$Z$227,'Pre-Assessment Estimator'!$G$2,FALSE)))</f>
        <v>0</v>
      </c>
      <c r="AJ182" s="821">
        <f>IF(AJ244=AD_no,0,IF(VLOOKUP(E182,'Pre-Assessment Estimator'!$E$11:$Z$227,'Pre-Assessment Estimator'!$N$2,FALSE)&gt;AB182,AB182,VLOOKUP(E182,'Pre-Assessment Estimator'!$E$11:$Z$227,'Pre-Assessment Estimator'!$N$2,FALSE)))</f>
        <v>0</v>
      </c>
      <c r="AK182" s="821">
        <f>IF(AK244=AD_no,0,IF(VLOOKUP(E182,'Pre-Assessment Estimator'!$E$11:$Z$227,'Pre-Assessment Estimator'!$U$2,FALSE)&gt;AB182,AB182,VLOOKUP(E182,'Pre-Assessment Estimator'!$E$11:$Z$227,'Pre-Assessment Estimator'!$U$2,FALSE)))</f>
        <v>0</v>
      </c>
      <c r="AM182" s="243"/>
      <c r="AN182" s="244"/>
      <c r="AO182" s="244"/>
      <c r="AP182" s="150"/>
      <c r="AQ182" s="155"/>
      <c r="AR182" s="114"/>
      <c r="AS182" s="242"/>
      <c r="AT182" s="150"/>
      <c r="AU182" s="150"/>
      <c r="AV182" s="150"/>
      <c r="AW182" s="155"/>
      <c r="AY182" s="137"/>
      <c r="AZ182" s="35"/>
      <c r="BA182" s="35"/>
      <c r="BB182" s="35"/>
      <c r="BC182" s="138"/>
      <c r="BD182" s="151">
        <f t="shared" si="463"/>
        <v>9</v>
      </c>
      <c r="BE182" s="37" t="str">
        <f t="shared" si="441"/>
        <v>N/A</v>
      </c>
      <c r="BF182" s="154"/>
      <c r="BG182" s="151">
        <f t="shared" si="464"/>
        <v>9</v>
      </c>
      <c r="BH182" s="37" t="str">
        <f t="shared" si="443"/>
        <v>N/A</v>
      </c>
      <c r="BI182" s="154"/>
      <c r="BJ182" s="151">
        <f t="shared" si="465"/>
        <v>9</v>
      </c>
      <c r="BK182" s="37" t="str">
        <f t="shared" si="445"/>
        <v>N/A</v>
      </c>
      <c r="BL182" s="154"/>
      <c r="BO182" s="35"/>
      <c r="BP182" s="35"/>
      <c r="BQ182" s="35" t="str">
        <f t="shared" si="342"/>
        <v/>
      </c>
      <c r="BR182" s="35">
        <f t="shared" si="396"/>
        <v>9</v>
      </c>
      <c r="BS182" s="35">
        <f t="shared" si="397"/>
        <v>9</v>
      </c>
      <c r="BT182" s="35">
        <f t="shared" si="398"/>
        <v>9</v>
      </c>
      <c r="BW182" s="35"/>
      <c r="BX182" s="35"/>
      <c r="BY182" s="35"/>
      <c r="BZ182" s="35"/>
      <c r="CA182" s="35"/>
      <c r="CB182" s="35"/>
    </row>
    <row r="183" spans="1:81">
      <c r="A183">
        <v>175</v>
      </c>
      <c r="B183" s="112" t="str">
        <f>D183</f>
        <v>LE 05</v>
      </c>
      <c r="C183" s="112" t="str">
        <f>B183</f>
        <v>LE 05</v>
      </c>
      <c r="D183" s="663" t="s">
        <v>481</v>
      </c>
      <c r="E183" s="661" t="s">
        <v>803</v>
      </c>
      <c r="F183" s="748">
        <f>SUM(F184:F186)</f>
        <v>2</v>
      </c>
      <c r="G183" s="748">
        <f t="shared" ref="G183:R183" si="487">SUM(G184:G186)</f>
        <v>2</v>
      </c>
      <c r="H183" s="748">
        <f t="shared" si="487"/>
        <v>2</v>
      </c>
      <c r="I183" s="748">
        <f t="shared" si="487"/>
        <v>2</v>
      </c>
      <c r="J183" s="748">
        <f t="shared" si="487"/>
        <v>2</v>
      </c>
      <c r="K183" s="748">
        <f t="shared" si="487"/>
        <v>2</v>
      </c>
      <c r="L183" s="748">
        <f t="shared" si="487"/>
        <v>2</v>
      </c>
      <c r="M183" s="748">
        <f t="shared" si="487"/>
        <v>2</v>
      </c>
      <c r="N183" s="748">
        <f t="shared" si="487"/>
        <v>2</v>
      </c>
      <c r="O183" s="748">
        <f t="shared" si="487"/>
        <v>2</v>
      </c>
      <c r="P183" s="748">
        <f t="shared" si="487"/>
        <v>2</v>
      </c>
      <c r="Q183" s="748">
        <f t="shared" ref="Q183" si="488">SUM(Q184:Q186)</f>
        <v>2</v>
      </c>
      <c r="R183" s="748">
        <f t="shared" si="487"/>
        <v>2</v>
      </c>
      <c r="T183" s="768">
        <f t="shared" si="432"/>
        <v>2</v>
      </c>
      <c r="U183" s="182"/>
      <c r="V183" s="53"/>
      <c r="W183" s="53"/>
      <c r="X183" s="53">
        <f>'Manuell filtrering og justering'!E79</f>
        <v>0</v>
      </c>
      <c r="Y183" s="53"/>
      <c r="Z183" s="763">
        <f t="shared" ref="Z183" si="489">SUM(Z184:Z186)</f>
        <v>2</v>
      </c>
      <c r="AA183" s="768">
        <f t="shared" si="434"/>
        <v>0</v>
      </c>
      <c r="AB183" s="820">
        <f>SUM(AB184:AB186)</f>
        <v>2</v>
      </c>
      <c r="AD183" s="141">
        <f t="shared" si="435"/>
        <v>1.5789473684210527E-2</v>
      </c>
      <c r="AE183" s="736">
        <f>SUM(AE184:AE186)</f>
        <v>0</v>
      </c>
      <c r="AF183" s="736">
        <f t="shared" ref="AF183" si="490">SUM(AF184:AF186)</f>
        <v>0</v>
      </c>
      <c r="AG183" s="736">
        <f t="shared" ref="AG183" si="491">SUM(AG184:AG186)</f>
        <v>0</v>
      </c>
      <c r="AI183" s="763">
        <f t="shared" ref="AI183" si="492">SUM(AI184:AI186)</f>
        <v>0</v>
      </c>
      <c r="AJ183" s="763">
        <f t="shared" ref="AJ183" si="493">SUM(AJ184:AJ186)</f>
        <v>0</v>
      </c>
      <c r="AK183" s="763">
        <f t="shared" ref="AK183" si="494">SUM(AK184:AK186)</f>
        <v>0</v>
      </c>
      <c r="AM183" s="243"/>
      <c r="AN183" s="244"/>
      <c r="AO183" s="244"/>
      <c r="AP183" s="150"/>
      <c r="AQ183" s="155"/>
      <c r="AR183" s="114"/>
      <c r="AS183" s="242"/>
      <c r="AT183" s="150"/>
      <c r="AU183" s="150"/>
      <c r="AV183" s="150"/>
      <c r="AW183" s="155"/>
      <c r="AY183" s="137"/>
      <c r="AZ183" s="35"/>
      <c r="BA183" s="35"/>
      <c r="BB183" s="35"/>
      <c r="BC183" s="138"/>
      <c r="BD183" s="151">
        <f t="shared" si="463"/>
        <v>9</v>
      </c>
      <c r="BE183" s="37" t="str">
        <f t="shared" si="441"/>
        <v>N/A</v>
      </c>
      <c r="BF183" s="154"/>
      <c r="BG183" s="151">
        <f t="shared" si="464"/>
        <v>9</v>
      </c>
      <c r="BH183" s="37" t="str">
        <f t="shared" si="443"/>
        <v>N/A</v>
      </c>
      <c r="BI183" s="154"/>
      <c r="BJ183" s="151">
        <f t="shared" si="465"/>
        <v>9</v>
      </c>
      <c r="BK183" s="37" t="str">
        <f t="shared" si="445"/>
        <v>N/A</v>
      </c>
      <c r="BL183" s="154"/>
      <c r="BO183" s="35"/>
      <c r="BP183" s="35"/>
      <c r="BQ183" s="35" t="str">
        <f t="shared" si="342"/>
        <v/>
      </c>
      <c r="BR183" s="35">
        <f t="shared" si="396"/>
        <v>9</v>
      </c>
      <c r="BS183" s="35">
        <f t="shared" si="397"/>
        <v>9</v>
      </c>
      <c r="BT183" s="35">
        <f t="shared" si="398"/>
        <v>9</v>
      </c>
      <c r="BW183" s="35" t="str">
        <f>D183</f>
        <v>LE 05</v>
      </c>
      <c r="BX183" s="35" t="str">
        <f>IFERROR(VLOOKUP($E183,'Pre-Assessment Estimator'!$E$11:$AB$227,'Pre-Assessment Estimator'!AB$2,FALSE),"")</f>
        <v>N/A</v>
      </c>
      <c r="BY183" s="35">
        <f>IFERROR(VLOOKUP($E183,'Pre-Assessment Estimator'!$E$11:$AI$227,'Pre-Assessment Estimator'!AI$2,FALSE),"")</f>
        <v>0</v>
      </c>
      <c r="BZ183" s="35">
        <f>IFERROR(VLOOKUP($BX183,$E$293:$H$326,F$291,FALSE),"")</f>
        <v>1</v>
      </c>
      <c r="CA183" s="35">
        <f>IFERROR(VLOOKUP($BX183,$E$293:$H$326,G$291,FALSE),"")</f>
        <v>0</v>
      </c>
      <c r="CB183" s="35"/>
      <c r="CC183" t="str">
        <f>IFERROR(VLOOKUP($BX183,$E$293:$H$326,I$291,FALSE),"")</f>
        <v/>
      </c>
    </row>
    <row r="184" spans="1:81">
      <c r="A184">
        <v>176</v>
      </c>
      <c r="C184" t="str">
        <f t="shared" si="344"/>
        <v>LE 05</v>
      </c>
      <c r="D184" s="137" t="s">
        <v>729</v>
      </c>
      <c r="E184" s="754" t="s">
        <v>804</v>
      </c>
      <c r="F184" s="607"/>
      <c r="G184" s="607"/>
      <c r="H184" s="607"/>
      <c r="I184" s="607"/>
      <c r="J184" s="607"/>
      <c r="K184" s="607"/>
      <c r="L184" s="607"/>
      <c r="M184" s="607"/>
      <c r="N184" s="607"/>
      <c r="O184" s="607"/>
      <c r="P184" s="607"/>
      <c r="Q184" s="607"/>
      <c r="R184" s="607"/>
      <c r="T184" s="139">
        <f t="shared" si="432"/>
        <v>0</v>
      </c>
      <c r="U184" s="137"/>
      <c r="V184" s="35"/>
      <c r="W184" s="35"/>
      <c r="X184" s="35"/>
      <c r="Y184" s="138"/>
      <c r="Z184" s="138"/>
      <c r="AA184" s="139">
        <f t="shared" si="434"/>
        <v>0</v>
      </c>
      <c r="AB184" s="140">
        <f>IF($AC$5='Manuell filtrering og justering'!$J$2,Z184,(T184-AA184))</f>
        <v>0</v>
      </c>
      <c r="AD184" s="141">
        <f t="shared" si="435"/>
        <v>0</v>
      </c>
      <c r="AE184" s="141">
        <f t="shared" si="447"/>
        <v>0</v>
      </c>
      <c r="AF184" s="141">
        <f t="shared" si="448"/>
        <v>0</v>
      </c>
      <c r="AG184" s="141">
        <f t="shared" si="449"/>
        <v>0</v>
      </c>
      <c r="AI184" s="142">
        <f>IF(VLOOKUP(E184,'Pre-Assessment Estimator'!$E$11:$Z$227,'Pre-Assessment Estimator'!$G$2,FALSE)&gt;AB184,AB184,VLOOKUP(E184,'Pre-Assessment Estimator'!$E$11:$Z$227,'Pre-Assessment Estimator'!$G$2,FALSE))</f>
        <v>0</v>
      </c>
      <c r="AJ184" s="142">
        <f>IF(VLOOKUP(E184,'Pre-Assessment Estimator'!$E$11:$Z$227,'Pre-Assessment Estimator'!$N$2,FALSE)&gt;AB184,AB184,VLOOKUP(E184,'Pre-Assessment Estimator'!$E$11:$Z$227,'Pre-Assessment Estimator'!$N$2,FALSE))</f>
        <v>0</v>
      </c>
      <c r="AK184" s="142">
        <f>IF(VLOOKUP(E184,'Pre-Assessment Estimator'!$E$11:$Z$227,'Pre-Assessment Estimator'!$U$2,FALSE)&gt;AB184,AB184,VLOOKUP(E184,'Pre-Assessment Estimator'!$E$11:$Z$227,'Pre-Assessment Estimator'!$U$2,FALSE))</f>
        <v>0</v>
      </c>
      <c r="AM184" s="243"/>
      <c r="AN184" s="244"/>
      <c r="AO184" s="244"/>
      <c r="AP184" s="150"/>
      <c r="AQ184" s="155"/>
      <c r="AR184" s="114"/>
      <c r="AS184" s="242"/>
      <c r="AT184" s="150"/>
      <c r="AU184" s="150"/>
      <c r="AV184" s="150"/>
      <c r="AW184" s="155"/>
      <c r="AY184" s="137"/>
      <c r="AZ184" s="35"/>
      <c r="BA184" s="35"/>
      <c r="BB184" s="138"/>
      <c r="BC184" s="138"/>
      <c r="BD184" s="151">
        <f t="shared" si="463"/>
        <v>9</v>
      </c>
      <c r="BE184" s="37" t="str">
        <f t="shared" si="441"/>
        <v>N/A</v>
      </c>
      <c r="BF184" s="154"/>
      <c r="BG184" s="151">
        <f t="shared" si="464"/>
        <v>9</v>
      </c>
      <c r="BH184" s="37" t="str">
        <f t="shared" si="443"/>
        <v>N/A</v>
      </c>
      <c r="BI184" s="154"/>
      <c r="BJ184" s="151">
        <f t="shared" si="465"/>
        <v>9</v>
      </c>
      <c r="BK184" s="37" t="str">
        <f t="shared" si="445"/>
        <v>N/A</v>
      </c>
      <c r="BL184" s="154"/>
      <c r="BO184" s="35"/>
      <c r="BP184" s="35"/>
      <c r="BQ184" s="35" t="str">
        <f t="shared" si="342"/>
        <v/>
      </c>
      <c r="BR184" s="35">
        <f t="shared" si="396"/>
        <v>9</v>
      </c>
      <c r="BS184" s="35">
        <f t="shared" si="397"/>
        <v>9</v>
      </c>
      <c r="BT184" s="35">
        <f t="shared" si="398"/>
        <v>9</v>
      </c>
      <c r="BW184" s="35"/>
      <c r="BX184" s="35"/>
      <c r="BY184" s="35"/>
      <c r="BZ184" s="35"/>
      <c r="CA184" s="35"/>
      <c r="CB184" s="35"/>
    </row>
    <row r="185" spans="1:81">
      <c r="A185">
        <v>177</v>
      </c>
      <c r="B185" t="str">
        <f t="shared" ref="B185:B186" si="495">$D$183&amp;D185</f>
        <v>LE 05b</v>
      </c>
      <c r="C185" t="str">
        <f t="shared" si="344"/>
        <v>LE 05</v>
      </c>
      <c r="D185" s="137" t="s">
        <v>730</v>
      </c>
      <c r="E185" s="857" t="s">
        <v>678</v>
      </c>
      <c r="F185" s="607">
        <v>1</v>
      </c>
      <c r="G185" s="607">
        <v>1</v>
      </c>
      <c r="H185" s="607">
        <v>1</v>
      </c>
      <c r="I185" s="607">
        <v>1</v>
      </c>
      <c r="J185" s="607">
        <v>1</v>
      </c>
      <c r="K185" s="607">
        <v>1</v>
      </c>
      <c r="L185" s="607">
        <v>1</v>
      </c>
      <c r="M185" s="607">
        <v>1</v>
      </c>
      <c r="N185" s="607">
        <v>1</v>
      </c>
      <c r="O185" s="607">
        <v>1</v>
      </c>
      <c r="P185" s="607">
        <v>1</v>
      </c>
      <c r="Q185" s="607">
        <v>1</v>
      </c>
      <c r="R185" s="607">
        <v>1</v>
      </c>
      <c r="T185" s="139">
        <f t="shared" si="432"/>
        <v>1</v>
      </c>
      <c r="U185" s="137"/>
      <c r="V185" s="35"/>
      <c r="W185" s="35"/>
      <c r="X185" s="35"/>
      <c r="Y185" s="138"/>
      <c r="Z185" s="138">
        <f>VLOOKUP(B185,'Manuell filtrering og justering'!$A$7:$H$253,'Manuell filtrering og justering'!$H$1,FALSE)</f>
        <v>1</v>
      </c>
      <c r="AA185" s="139">
        <f t="shared" si="434"/>
        <v>0</v>
      </c>
      <c r="AB185" s="140">
        <f>IF($AC$5='Manuell filtrering og justering'!$J$2,Z185,(T185-AA185))</f>
        <v>1</v>
      </c>
      <c r="AD185" s="141">
        <f t="shared" si="435"/>
        <v>7.8947368421052634E-3</v>
      </c>
      <c r="AE185" s="141">
        <f t="shared" si="447"/>
        <v>0</v>
      </c>
      <c r="AF185" s="141">
        <f t="shared" si="448"/>
        <v>0</v>
      </c>
      <c r="AG185" s="141">
        <f t="shared" si="449"/>
        <v>0</v>
      </c>
      <c r="AI185" s="821">
        <f>IF(AI245=AD_no,0,IF(VLOOKUP(E185,'Pre-Assessment Estimator'!$E$11:$Z$227,'Pre-Assessment Estimator'!$G$2,FALSE)&gt;AB185,AB185,VLOOKUP(E185,'Pre-Assessment Estimator'!$E$11:$Z$227,'Pre-Assessment Estimator'!$G$2,FALSE)))</f>
        <v>0</v>
      </c>
      <c r="AJ185" s="821">
        <f>IF(AJ245=AD_no,0,IF(VLOOKUP(E185,'Pre-Assessment Estimator'!$E$11:$Z$227,'Pre-Assessment Estimator'!$N$2,FALSE)&gt;AB185,AB185,VLOOKUP(E185,'Pre-Assessment Estimator'!$E$11:$Z$227,'Pre-Assessment Estimator'!$N$2,FALSE)))</f>
        <v>0</v>
      </c>
      <c r="AK185" s="821">
        <f>IF(AK245=AD_no,0,IF(VLOOKUP(E185,'Pre-Assessment Estimator'!$E$11:$Z$227,'Pre-Assessment Estimator'!$U$2,FALSE)&gt;AB185,AB185,VLOOKUP(E185,'Pre-Assessment Estimator'!$E$11:$Z$227,'Pre-Assessment Estimator'!$U$2,FALSE)))</f>
        <v>0</v>
      </c>
      <c r="AM185" s="243"/>
      <c r="AN185" s="244"/>
      <c r="AO185" s="244"/>
      <c r="AP185" s="150"/>
      <c r="AQ185" s="155"/>
      <c r="AR185" s="114"/>
      <c r="AS185" s="242"/>
      <c r="AT185" s="150"/>
      <c r="AU185" s="150"/>
      <c r="AV185" s="150"/>
      <c r="AW185" s="155"/>
      <c r="AY185" s="137"/>
      <c r="AZ185" s="35"/>
      <c r="BA185" s="35"/>
      <c r="BB185" s="138"/>
      <c r="BC185" s="138"/>
      <c r="BD185" s="151">
        <f t="shared" si="463"/>
        <v>9</v>
      </c>
      <c r="BE185" s="37" t="str">
        <f t="shared" si="441"/>
        <v>N/A</v>
      </c>
      <c r="BF185" s="154"/>
      <c r="BG185" s="151">
        <f t="shared" si="464"/>
        <v>9</v>
      </c>
      <c r="BH185" s="37" t="str">
        <f t="shared" si="443"/>
        <v>N/A</v>
      </c>
      <c r="BI185" s="154"/>
      <c r="BJ185" s="151">
        <f t="shared" si="465"/>
        <v>9</v>
      </c>
      <c r="BK185" s="37" t="str">
        <f t="shared" si="445"/>
        <v>N/A</v>
      </c>
      <c r="BL185" s="154"/>
      <c r="BO185" s="35"/>
      <c r="BP185" s="35"/>
      <c r="BQ185" s="35" t="str">
        <f t="shared" si="342"/>
        <v/>
      </c>
      <c r="BR185" s="35">
        <f t="shared" si="396"/>
        <v>9</v>
      </c>
      <c r="BS185" s="35">
        <f t="shared" si="397"/>
        <v>9</v>
      </c>
      <c r="BT185" s="35">
        <f t="shared" si="398"/>
        <v>9</v>
      </c>
      <c r="BW185" s="35"/>
      <c r="BX185" s="35"/>
      <c r="BY185" s="35"/>
      <c r="BZ185" s="35"/>
      <c r="CA185" s="35"/>
      <c r="CB185" s="35"/>
    </row>
    <row r="186" spans="1:81">
      <c r="A186">
        <v>178</v>
      </c>
      <c r="B186" t="str">
        <f t="shared" si="495"/>
        <v>LE 05c</v>
      </c>
      <c r="C186" t="str">
        <f t="shared" si="344"/>
        <v>LE 05</v>
      </c>
      <c r="D186" s="137" t="s">
        <v>731</v>
      </c>
      <c r="E186" s="857" t="s">
        <v>679</v>
      </c>
      <c r="F186" s="607">
        <v>1</v>
      </c>
      <c r="G186" s="607">
        <v>1</v>
      </c>
      <c r="H186" s="607">
        <v>1</v>
      </c>
      <c r="I186" s="607">
        <v>1</v>
      </c>
      <c r="J186" s="607">
        <v>1</v>
      </c>
      <c r="K186" s="607">
        <v>1</v>
      </c>
      <c r="L186" s="607">
        <v>1</v>
      </c>
      <c r="M186" s="607">
        <v>1</v>
      </c>
      <c r="N186" s="607">
        <v>1</v>
      </c>
      <c r="O186" s="607">
        <v>1</v>
      </c>
      <c r="P186" s="607">
        <v>1</v>
      </c>
      <c r="Q186" s="607">
        <v>1</v>
      </c>
      <c r="R186" s="607">
        <v>1</v>
      </c>
      <c r="T186" s="139">
        <f t="shared" si="432"/>
        <v>1</v>
      </c>
      <c r="U186" s="137"/>
      <c r="V186" s="35"/>
      <c r="W186" s="35"/>
      <c r="X186" s="35"/>
      <c r="Y186" s="138"/>
      <c r="Z186" s="138">
        <f>VLOOKUP(B186,'Manuell filtrering og justering'!$A$7:$H$253,'Manuell filtrering og justering'!$H$1,FALSE)</f>
        <v>1</v>
      </c>
      <c r="AA186" s="139">
        <f t="shared" si="434"/>
        <v>0</v>
      </c>
      <c r="AB186" s="140">
        <f>IF($AC$5='Manuell filtrering og justering'!$J$2,Z186,(T186-AA186))</f>
        <v>1</v>
      </c>
      <c r="AD186" s="141">
        <f t="shared" si="435"/>
        <v>7.8947368421052634E-3</v>
      </c>
      <c r="AE186" s="141">
        <f t="shared" si="447"/>
        <v>0</v>
      </c>
      <c r="AF186" s="141">
        <f t="shared" si="448"/>
        <v>0</v>
      </c>
      <c r="AG186" s="141">
        <f t="shared" si="449"/>
        <v>0</v>
      </c>
      <c r="AI186" s="821">
        <f>IF(AI245=AD_no,0,IF(VLOOKUP(E186,'Pre-Assessment Estimator'!$E$11:$Z$227,'Pre-Assessment Estimator'!$G$2,FALSE)&gt;AB186,AB186,VLOOKUP(E186,'Pre-Assessment Estimator'!$E$11:$Z$227,'Pre-Assessment Estimator'!$G$2,FALSE)))</f>
        <v>0</v>
      </c>
      <c r="AJ186" s="821">
        <f>IF(AJ245=AD_no,0,IF(VLOOKUP(E186,'Pre-Assessment Estimator'!$E$11:$Z$227,'Pre-Assessment Estimator'!$N$2,FALSE)&gt;AB186,AB186,VLOOKUP(E186,'Pre-Assessment Estimator'!$E$11:$Z$227,'Pre-Assessment Estimator'!$N$2,FALSE)))</f>
        <v>0</v>
      </c>
      <c r="AK186" s="821">
        <f>IF(AK245=AD_no,0,IF(VLOOKUP(E186,'Pre-Assessment Estimator'!$E$11:$Z$227,'Pre-Assessment Estimator'!$U$2,FALSE)&gt;AB186,AB186,VLOOKUP(E186,'Pre-Assessment Estimator'!$E$11:$Z$227,'Pre-Assessment Estimator'!$U$2,FALSE)))</f>
        <v>0</v>
      </c>
      <c r="AM186" s="243"/>
      <c r="AN186" s="244"/>
      <c r="AO186" s="244"/>
      <c r="AP186" s="150"/>
      <c r="AQ186" s="155"/>
      <c r="AR186" s="114"/>
      <c r="AS186" s="242"/>
      <c r="AT186" s="150"/>
      <c r="AU186" s="150"/>
      <c r="AV186" s="150"/>
      <c r="AW186" s="155"/>
      <c r="AY186" s="137"/>
      <c r="AZ186" s="35"/>
      <c r="BA186" s="35"/>
      <c r="BB186" s="138"/>
      <c r="BC186" s="138"/>
      <c r="BD186" s="151">
        <f t="shared" si="463"/>
        <v>9</v>
      </c>
      <c r="BE186" s="37" t="str">
        <f t="shared" si="441"/>
        <v>N/A</v>
      </c>
      <c r="BF186" s="154"/>
      <c r="BG186" s="151">
        <f t="shared" si="464"/>
        <v>9</v>
      </c>
      <c r="BH186" s="37" t="str">
        <f t="shared" si="443"/>
        <v>N/A</v>
      </c>
      <c r="BI186" s="154"/>
      <c r="BJ186" s="151">
        <f t="shared" si="465"/>
        <v>9</v>
      </c>
      <c r="BK186" s="37" t="str">
        <f t="shared" si="445"/>
        <v>N/A</v>
      </c>
      <c r="BL186" s="154"/>
      <c r="BO186" s="35"/>
      <c r="BP186" s="35"/>
      <c r="BQ186" s="35" t="str">
        <f t="shared" si="342"/>
        <v/>
      </c>
      <c r="BR186" s="35">
        <f t="shared" si="396"/>
        <v>9</v>
      </c>
      <c r="BS186" s="35">
        <f t="shared" si="397"/>
        <v>9</v>
      </c>
      <c r="BT186" s="35">
        <f t="shared" si="398"/>
        <v>9</v>
      </c>
      <c r="BW186" s="35"/>
      <c r="BX186" s="35"/>
      <c r="BY186" s="35"/>
      <c r="BZ186" s="35"/>
      <c r="CA186" s="35"/>
      <c r="CB186" s="35"/>
    </row>
    <row r="187" spans="1:81">
      <c r="A187">
        <v>179</v>
      </c>
      <c r="B187" s="112" t="str">
        <f>D187</f>
        <v>LE 06</v>
      </c>
      <c r="C187" s="112" t="str">
        <f>B187</f>
        <v>LE 06</v>
      </c>
      <c r="D187" s="663" t="s">
        <v>486</v>
      </c>
      <c r="E187" s="661" t="s">
        <v>805</v>
      </c>
      <c r="F187" s="748">
        <f>F188</f>
        <v>1</v>
      </c>
      <c r="G187" s="748">
        <f t="shared" ref="G187:R187" si="496">G188</f>
        <v>1</v>
      </c>
      <c r="H187" s="748">
        <f t="shared" si="496"/>
        <v>1</v>
      </c>
      <c r="I187" s="748">
        <f t="shared" si="496"/>
        <v>1</v>
      </c>
      <c r="J187" s="748">
        <f t="shared" si="496"/>
        <v>1</v>
      </c>
      <c r="K187" s="748">
        <f t="shared" si="496"/>
        <v>1</v>
      </c>
      <c r="L187" s="748">
        <f>L188</f>
        <v>1</v>
      </c>
      <c r="M187" s="748">
        <f t="shared" si="496"/>
        <v>1</v>
      </c>
      <c r="N187" s="748">
        <f t="shared" si="496"/>
        <v>1</v>
      </c>
      <c r="O187" s="748">
        <f t="shared" si="496"/>
        <v>1</v>
      </c>
      <c r="P187" s="748">
        <f t="shared" si="496"/>
        <v>1</v>
      </c>
      <c r="Q187" s="748">
        <f t="shared" si="496"/>
        <v>1</v>
      </c>
      <c r="R187" s="748">
        <f t="shared" si="496"/>
        <v>1</v>
      </c>
      <c r="T187" s="768">
        <f t="shared" si="432"/>
        <v>1</v>
      </c>
      <c r="U187" s="182"/>
      <c r="V187" s="53"/>
      <c r="W187" s="53"/>
      <c r="X187" s="53">
        <f>'Manuell filtrering og justering'!E80</f>
        <v>0</v>
      </c>
      <c r="Y187" s="53"/>
      <c r="Z187" s="763">
        <f t="shared" ref="Z187" si="497">Z188</f>
        <v>1</v>
      </c>
      <c r="AA187" s="768">
        <f t="shared" si="434"/>
        <v>0</v>
      </c>
      <c r="AB187" s="820">
        <f>SUM(AB188)</f>
        <v>1</v>
      </c>
      <c r="AD187" s="141">
        <f t="shared" si="435"/>
        <v>7.8947368421052634E-3</v>
      </c>
      <c r="AE187" s="736">
        <f>SUM(AE188)</f>
        <v>0</v>
      </c>
      <c r="AF187" s="736">
        <f t="shared" ref="AF187" si="498">SUM(AF188)</f>
        <v>0</v>
      </c>
      <c r="AG187" s="736">
        <f t="shared" ref="AG187" si="499">SUM(AG188)</f>
        <v>0</v>
      </c>
      <c r="AI187" s="763">
        <f t="shared" ref="AI187" si="500">AI188</f>
        <v>0</v>
      </c>
      <c r="AJ187" s="763">
        <f t="shared" ref="AJ187" si="501">AJ188</f>
        <v>0</v>
      </c>
      <c r="AK187" s="763">
        <f t="shared" ref="AK187" si="502">AK188</f>
        <v>0</v>
      </c>
      <c r="AM187" s="243"/>
      <c r="AN187" s="244"/>
      <c r="AO187" s="244"/>
      <c r="AP187" s="150"/>
      <c r="AQ187" s="155"/>
      <c r="AR187" s="114"/>
      <c r="AS187" s="242"/>
      <c r="AT187" s="150"/>
      <c r="AU187" s="150"/>
      <c r="AV187" s="150"/>
      <c r="AW187" s="155"/>
      <c r="AY187" s="137"/>
      <c r="AZ187" s="35"/>
      <c r="BA187" s="35"/>
      <c r="BB187" s="138"/>
      <c r="BC187" s="138"/>
      <c r="BD187" s="151">
        <f t="shared" si="463"/>
        <v>9</v>
      </c>
      <c r="BE187" s="37" t="str">
        <f t="shared" si="441"/>
        <v>N/A</v>
      </c>
      <c r="BF187" s="154"/>
      <c r="BG187" s="151">
        <f t="shared" si="464"/>
        <v>9</v>
      </c>
      <c r="BH187" s="37" t="str">
        <f t="shared" si="443"/>
        <v>N/A</v>
      </c>
      <c r="BI187" s="154"/>
      <c r="BJ187" s="151">
        <f t="shared" si="465"/>
        <v>9</v>
      </c>
      <c r="BK187" s="37" t="str">
        <f t="shared" si="445"/>
        <v>N/A</v>
      </c>
      <c r="BL187" s="154"/>
      <c r="BO187" s="35"/>
      <c r="BP187" s="35"/>
      <c r="BQ187" s="35" t="str">
        <f t="shared" si="342"/>
        <v/>
      </c>
      <c r="BR187" s="35">
        <f t="shared" si="396"/>
        <v>9</v>
      </c>
      <c r="BS187" s="35">
        <f t="shared" si="397"/>
        <v>9</v>
      </c>
      <c r="BT187" s="35">
        <f t="shared" si="398"/>
        <v>9</v>
      </c>
      <c r="BW187" s="35" t="str">
        <f>D187</f>
        <v>LE 06</v>
      </c>
      <c r="BX187" s="35" t="str">
        <f>IFERROR(VLOOKUP($E187,'Pre-Assessment Estimator'!$E$11:$AB$227,'Pre-Assessment Estimator'!AB$2,FALSE),"")</f>
        <v>N/A</v>
      </c>
      <c r="BY187" s="35">
        <f>IFERROR(VLOOKUP($E187,'Pre-Assessment Estimator'!$E$11:$AI$227,'Pre-Assessment Estimator'!AI$2,FALSE),"")</f>
        <v>0</v>
      </c>
      <c r="BZ187" s="35">
        <f>IFERROR(VLOOKUP($BX187,$E$293:$H$326,F$291,FALSE),"")</f>
        <v>1</v>
      </c>
      <c r="CA187" s="35">
        <f>IFERROR(VLOOKUP($BX187,$E$293:$H$326,G$291,FALSE),"")</f>
        <v>0</v>
      </c>
      <c r="CB187" s="35"/>
      <c r="CC187" t="str">
        <f>IFERROR(VLOOKUP($BX187,$E$293:$H$326,I$291,FALSE),"")</f>
        <v/>
      </c>
    </row>
    <row r="188" spans="1:81">
      <c r="A188">
        <v>180</v>
      </c>
      <c r="B188" t="str">
        <f t="shared" ref="B188" si="503">$D$187&amp;D188</f>
        <v>LE 06a</v>
      </c>
      <c r="C188" t="str">
        <f t="shared" si="344"/>
        <v>LE 06</v>
      </c>
      <c r="D188" s="137" t="s">
        <v>729</v>
      </c>
      <c r="E188" s="971" t="s">
        <v>922</v>
      </c>
      <c r="F188" s="607">
        <v>1</v>
      </c>
      <c r="G188" s="607">
        <v>1</v>
      </c>
      <c r="H188" s="607">
        <v>1</v>
      </c>
      <c r="I188" s="607">
        <v>1</v>
      </c>
      <c r="J188" s="607">
        <v>1</v>
      </c>
      <c r="K188" s="607">
        <v>1</v>
      </c>
      <c r="L188" s="607">
        <v>1</v>
      </c>
      <c r="M188" s="607">
        <v>1</v>
      </c>
      <c r="N188" s="607">
        <v>1</v>
      </c>
      <c r="O188" s="607">
        <v>1</v>
      </c>
      <c r="P188" s="607">
        <v>1</v>
      </c>
      <c r="Q188" s="607">
        <v>1</v>
      </c>
      <c r="R188" s="607">
        <v>1</v>
      </c>
      <c r="T188" s="139">
        <f t="shared" si="432"/>
        <v>1</v>
      </c>
      <c r="U188" s="158"/>
      <c r="V188" s="40"/>
      <c r="W188" s="40"/>
      <c r="X188" s="35"/>
      <c r="Y188" s="138"/>
      <c r="Z188" s="138">
        <f>VLOOKUP(B188,'Manuell filtrering og justering'!$A$7:$H$253,'Manuell filtrering og justering'!$H$1,FALSE)</f>
        <v>1</v>
      </c>
      <c r="AA188" s="139">
        <f t="shared" si="434"/>
        <v>0</v>
      </c>
      <c r="AB188" s="140">
        <f>IF($AC$5='Manuell filtrering og justering'!$J$2,Z188,(T188-AA188))</f>
        <v>1</v>
      </c>
      <c r="AD188" s="141">
        <f t="shared" si="435"/>
        <v>7.8947368421052634E-3</v>
      </c>
      <c r="AE188" s="141">
        <f t="shared" si="447"/>
        <v>0</v>
      </c>
      <c r="AF188" s="141">
        <f t="shared" si="448"/>
        <v>0</v>
      </c>
      <c r="AG188" s="141">
        <f t="shared" si="449"/>
        <v>0</v>
      </c>
      <c r="AI188" s="142">
        <f>IF(VLOOKUP(E188,'Pre-Assessment Estimator'!$E$11:$Z$227,'Pre-Assessment Estimator'!$G$2,FALSE)&gt;AB188,AB188,VLOOKUP(E188,'Pre-Assessment Estimator'!$E$11:$Z$227,'Pre-Assessment Estimator'!$G$2,FALSE))</f>
        <v>0</v>
      </c>
      <c r="AJ188" s="142">
        <f>IF(VLOOKUP(E188,'Pre-Assessment Estimator'!$E$11:$Z$227,'Pre-Assessment Estimator'!$N$2,FALSE)&gt;AB188,AB188,VLOOKUP(E188,'Pre-Assessment Estimator'!$E$11:$Z$227,'Pre-Assessment Estimator'!$N$2,FALSE))</f>
        <v>0</v>
      </c>
      <c r="AK188" s="142">
        <f>IF(VLOOKUP(E188,'Pre-Assessment Estimator'!$E$11:$Z$227,'Pre-Assessment Estimator'!$U$2,FALSE)&gt;AB188,AB188,VLOOKUP(E188,'Pre-Assessment Estimator'!$E$11:$Z$227,'Pre-Assessment Estimator'!$U$2,FALSE))</f>
        <v>0</v>
      </c>
      <c r="AM188" s="243"/>
      <c r="AN188" s="244"/>
      <c r="AO188" s="244"/>
      <c r="AP188" s="150">
        <v>1</v>
      </c>
      <c r="AQ188" s="155">
        <v>1</v>
      </c>
      <c r="AR188" s="114"/>
      <c r="AS188" s="242"/>
      <c r="AT188" s="150"/>
      <c r="AU188" s="150"/>
      <c r="AV188" s="150">
        <v>1</v>
      </c>
      <c r="AW188" s="155">
        <v>1</v>
      </c>
      <c r="AY188" s="137"/>
      <c r="AZ188" s="35"/>
      <c r="BA188" s="35"/>
      <c r="BB188" s="152">
        <f>IF($AB188=0,0,IF($E$6=$H$9,AV188,AP188))</f>
        <v>1</v>
      </c>
      <c r="BC188" s="152">
        <f>IF($AB188=0,0,IF($E$6=$H$9,AW188,AQ188))</f>
        <v>1</v>
      </c>
      <c r="BD188" s="151">
        <f t="shared" si="463"/>
        <v>3</v>
      </c>
      <c r="BE188" s="37" t="str">
        <f t="shared" si="441"/>
        <v>Very Good</v>
      </c>
      <c r="BF188" s="154"/>
      <c r="BG188" s="151">
        <f t="shared" si="464"/>
        <v>3</v>
      </c>
      <c r="BH188" s="37" t="str">
        <f t="shared" si="443"/>
        <v>Very Good</v>
      </c>
      <c r="BI188" s="154"/>
      <c r="BJ188" s="151">
        <f t="shared" si="465"/>
        <v>3</v>
      </c>
      <c r="BK188" s="37" t="str">
        <f t="shared" si="445"/>
        <v>Very Good</v>
      </c>
      <c r="BL188" s="154"/>
      <c r="BO188" s="35"/>
      <c r="BP188" s="35">
        <v>1</v>
      </c>
      <c r="BQ188" s="35">
        <f t="shared" si="342"/>
        <v>1</v>
      </c>
      <c r="BR188" s="35">
        <f t="shared" si="396"/>
        <v>0</v>
      </c>
      <c r="BS188" s="35">
        <f t="shared" si="397"/>
        <v>0</v>
      </c>
      <c r="BT188" s="35">
        <f t="shared" si="398"/>
        <v>0</v>
      </c>
      <c r="BW188" s="55"/>
      <c r="BX188" s="55"/>
      <c r="BY188" s="55"/>
      <c r="BZ188" s="55"/>
      <c r="CA188" s="55"/>
      <c r="CB188" s="55"/>
    </row>
    <row r="189" spans="1:81">
      <c r="A189">
        <v>181</v>
      </c>
      <c r="B189" s="112" t="str">
        <f>D189</f>
        <v>LE 07</v>
      </c>
      <c r="C189" s="112" t="str">
        <f>B189</f>
        <v>LE 07</v>
      </c>
      <c r="D189" s="663" t="s">
        <v>489</v>
      </c>
      <c r="E189" s="661" t="s">
        <v>807</v>
      </c>
      <c r="F189" s="748">
        <f>SUM(F190:F191)</f>
        <v>2</v>
      </c>
      <c r="G189" s="748">
        <f t="shared" ref="G189:R189" si="504">SUM(G190:G191)</f>
        <v>2</v>
      </c>
      <c r="H189" s="748">
        <f t="shared" si="504"/>
        <v>2</v>
      </c>
      <c r="I189" s="748">
        <f t="shared" si="504"/>
        <v>2</v>
      </c>
      <c r="J189" s="748">
        <f t="shared" si="504"/>
        <v>2</v>
      </c>
      <c r="K189" s="748">
        <f t="shared" si="504"/>
        <v>2</v>
      </c>
      <c r="L189" s="748">
        <f t="shared" si="504"/>
        <v>2</v>
      </c>
      <c r="M189" s="748">
        <f t="shared" si="504"/>
        <v>2</v>
      </c>
      <c r="N189" s="748">
        <f t="shared" si="504"/>
        <v>2</v>
      </c>
      <c r="O189" s="748">
        <f t="shared" si="504"/>
        <v>2</v>
      </c>
      <c r="P189" s="748">
        <f t="shared" si="504"/>
        <v>2</v>
      </c>
      <c r="Q189" s="748">
        <f t="shared" ref="Q189" si="505">SUM(Q190:Q191)</f>
        <v>2</v>
      </c>
      <c r="R189" s="748">
        <f t="shared" si="504"/>
        <v>2</v>
      </c>
      <c r="T189" s="768">
        <f t="shared" si="432"/>
        <v>2</v>
      </c>
      <c r="U189" s="570"/>
      <c r="V189" s="769"/>
      <c r="W189" s="769"/>
      <c r="X189" s="53">
        <f>'Manuell filtrering og justering'!E81</f>
        <v>0</v>
      </c>
      <c r="Y189" s="53"/>
      <c r="Z189" s="763">
        <f t="shared" ref="Z189" si="506">SUM(Z190:Z191)</f>
        <v>2</v>
      </c>
      <c r="AA189" s="768">
        <f t="shared" si="434"/>
        <v>0</v>
      </c>
      <c r="AB189" s="820">
        <f t="shared" ref="AB189" si="507">SUM(AB190:AB191)</f>
        <v>2</v>
      </c>
      <c r="AD189" s="141">
        <f t="shared" si="435"/>
        <v>1.5789473684210527E-2</v>
      </c>
      <c r="AE189" s="736">
        <f>SUM(AE190:AE191)</f>
        <v>0</v>
      </c>
      <c r="AF189" s="736">
        <f t="shared" ref="AF189:AG189" si="508">SUM(AF190:AF191)</f>
        <v>0</v>
      </c>
      <c r="AG189" s="736">
        <f t="shared" si="508"/>
        <v>0</v>
      </c>
      <c r="AI189" s="763">
        <f t="shared" ref="AI189" si="509">SUM(AI190:AI191)</f>
        <v>0</v>
      </c>
      <c r="AJ189" s="763">
        <f t="shared" ref="AJ189" si="510">SUM(AJ190:AJ191)</f>
        <v>0</v>
      </c>
      <c r="AK189" s="763">
        <f t="shared" ref="AK189" si="511">SUM(AK190:AK191)</f>
        <v>0</v>
      </c>
      <c r="AM189" s="243"/>
      <c r="AN189" s="244"/>
      <c r="AO189" s="244"/>
      <c r="AP189" s="244"/>
      <c r="AQ189" s="245"/>
      <c r="AR189" s="114"/>
      <c r="AS189" s="243"/>
      <c r="AT189" s="244"/>
      <c r="AU189" s="244"/>
      <c r="AV189" s="244"/>
      <c r="AW189" s="245"/>
      <c r="AY189" s="137"/>
      <c r="AZ189" s="35"/>
      <c r="BA189" s="35"/>
      <c r="BB189" s="35"/>
      <c r="BC189" s="138"/>
      <c r="BD189" s="151">
        <f t="shared" si="463"/>
        <v>9</v>
      </c>
      <c r="BE189" s="37" t="str">
        <f t="shared" si="441"/>
        <v>N/A</v>
      </c>
      <c r="BF189" s="154"/>
      <c r="BG189" s="151">
        <f t="shared" si="464"/>
        <v>9</v>
      </c>
      <c r="BH189" s="37" t="str">
        <f t="shared" si="443"/>
        <v>N/A</v>
      </c>
      <c r="BI189" s="154"/>
      <c r="BJ189" s="151">
        <f t="shared" si="465"/>
        <v>9</v>
      </c>
      <c r="BK189" s="37" t="str">
        <f t="shared" si="445"/>
        <v>N/A</v>
      </c>
      <c r="BL189" s="154"/>
      <c r="BO189" s="35"/>
      <c r="BP189" s="35"/>
      <c r="BQ189" s="35" t="str">
        <f t="shared" si="342"/>
        <v/>
      </c>
      <c r="BR189" s="35">
        <f t="shared" si="396"/>
        <v>9</v>
      </c>
      <c r="BS189" s="35">
        <f t="shared" si="397"/>
        <v>9</v>
      </c>
      <c r="BT189" s="35">
        <f t="shared" si="398"/>
        <v>9</v>
      </c>
      <c r="BW189" s="55" t="str">
        <f>D189</f>
        <v>LE 07</v>
      </c>
      <c r="BX189" s="55"/>
      <c r="BY189" s="55"/>
      <c r="BZ189" s="55"/>
      <c r="CA189" s="55"/>
      <c r="CB189" s="55"/>
    </row>
    <row r="190" spans="1:81">
      <c r="A190">
        <v>182</v>
      </c>
      <c r="C190" t="str">
        <f t="shared" si="344"/>
        <v>LE 07</v>
      </c>
      <c r="D190" s="137" t="s">
        <v>729</v>
      </c>
      <c r="E190" s="754" t="s">
        <v>923</v>
      </c>
      <c r="F190" s="607"/>
      <c r="G190" s="607"/>
      <c r="H190" s="607"/>
      <c r="I190" s="607"/>
      <c r="J190" s="607"/>
      <c r="K190" s="607"/>
      <c r="L190" s="607"/>
      <c r="M190" s="607"/>
      <c r="N190" s="607"/>
      <c r="O190" s="607"/>
      <c r="P190" s="607"/>
      <c r="Q190" s="607"/>
      <c r="R190" s="607"/>
      <c r="T190" s="139">
        <f t="shared" si="432"/>
        <v>0</v>
      </c>
      <c r="U190" s="158"/>
      <c r="V190" s="40"/>
      <c r="W190" s="40"/>
      <c r="X190" s="35"/>
      <c r="Y190" s="138"/>
      <c r="Z190" s="138"/>
      <c r="AA190" s="139">
        <f t="shared" si="434"/>
        <v>0</v>
      </c>
      <c r="AB190" s="140">
        <f>IF($AC$5='Manuell filtrering og justering'!$J$2,Z190,(T190-AA190))</f>
        <v>0</v>
      </c>
      <c r="AD190" s="141">
        <f t="shared" si="435"/>
        <v>0</v>
      </c>
      <c r="AE190" s="141">
        <f t="shared" si="447"/>
        <v>0</v>
      </c>
      <c r="AF190" s="141">
        <f t="shared" si="448"/>
        <v>0</v>
      </c>
      <c r="AG190" s="141">
        <f t="shared" si="449"/>
        <v>0</v>
      </c>
      <c r="AI190" s="142">
        <f>IF(VLOOKUP(E190,'Pre-Assessment Estimator'!$E$11:$Z$227,'Pre-Assessment Estimator'!$G$2,FALSE)&gt;AB190,AB190,VLOOKUP(E190,'Pre-Assessment Estimator'!$E$11:$Z$227,'Pre-Assessment Estimator'!$G$2,FALSE))</f>
        <v>0</v>
      </c>
      <c r="AJ190" s="142">
        <f>IF(VLOOKUP(E190,'Pre-Assessment Estimator'!$E$11:$Z$227,'Pre-Assessment Estimator'!$N$2,FALSE)&gt;AB190,AB190,VLOOKUP(E190,'Pre-Assessment Estimator'!$E$11:$Z$227,'Pre-Assessment Estimator'!$N$2,FALSE))</f>
        <v>0</v>
      </c>
      <c r="AK190" s="142">
        <f>IF(VLOOKUP(E190,'Pre-Assessment Estimator'!$E$11:$Z$227,'Pre-Assessment Estimator'!$U$2,FALSE)&gt;AB190,AB190,VLOOKUP(E190,'Pre-Assessment Estimator'!$E$11:$Z$227,'Pre-Assessment Estimator'!$U$2,FALSE))</f>
        <v>0</v>
      </c>
      <c r="AM190" s="678"/>
      <c r="AN190" s="679"/>
      <c r="AO190" s="679"/>
      <c r="AP190" s="679"/>
      <c r="AQ190" s="671"/>
      <c r="AR190" s="114"/>
      <c r="AS190" s="678"/>
      <c r="AT190" s="679"/>
      <c r="AU190" s="679"/>
      <c r="AV190" s="679"/>
      <c r="AW190" s="671"/>
      <c r="AY190" s="158"/>
      <c r="AZ190" s="40"/>
      <c r="BA190" s="40"/>
      <c r="BB190" s="40"/>
      <c r="BC190" s="680"/>
      <c r="BD190" s="151">
        <f t="shared" si="463"/>
        <v>9</v>
      </c>
      <c r="BE190" s="37" t="str">
        <f t="shared" si="441"/>
        <v>N/A</v>
      </c>
      <c r="BF190" s="154"/>
      <c r="BG190" s="151">
        <f t="shared" si="464"/>
        <v>9</v>
      </c>
      <c r="BH190" s="37" t="str">
        <f t="shared" si="443"/>
        <v>N/A</v>
      </c>
      <c r="BI190" s="154"/>
      <c r="BJ190" s="151">
        <f t="shared" si="465"/>
        <v>9</v>
      </c>
      <c r="BK190" s="37" t="str">
        <f t="shared" si="445"/>
        <v>N/A</v>
      </c>
      <c r="BL190" s="675"/>
      <c r="BO190" s="35"/>
      <c r="BP190" s="35"/>
      <c r="BQ190" s="35" t="str">
        <f t="shared" si="342"/>
        <v/>
      </c>
      <c r="BR190" s="35">
        <f t="shared" si="396"/>
        <v>9</v>
      </c>
      <c r="BS190" s="35">
        <f t="shared" si="397"/>
        <v>9</v>
      </c>
      <c r="BT190" s="35">
        <f t="shared" si="398"/>
        <v>9</v>
      </c>
      <c r="BW190" s="55"/>
      <c r="BX190" s="55"/>
      <c r="BY190" s="55"/>
      <c r="BZ190" s="55"/>
      <c r="CA190" s="55"/>
      <c r="CB190" s="55"/>
    </row>
    <row r="191" spans="1:81">
      <c r="A191">
        <v>183</v>
      </c>
      <c r="B191" t="str">
        <f t="shared" ref="B191" si="512">$D$189&amp;D191</f>
        <v>LE 07b</v>
      </c>
      <c r="C191" t="str">
        <f t="shared" si="344"/>
        <v>LE 07</v>
      </c>
      <c r="D191" s="137" t="s">
        <v>730</v>
      </c>
      <c r="E191" s="857" t="s">
        <v>809</v>
      </c>
      <c r="F191" s="607">
        <v>2</v>
      </c>
      <c r="G191" s="607">
        <v>2</v>
      </c>
      <c r="H191" s="607">
        <v>2</v>
      </c>
      <c r="I191" s="607">
        <v>2</v>
      </c>
      <c r="J191" s="607">
        <v>2</v>
      </c>
      <c r="K191" s="607">
        <v>2</v>
      </c>
      <c r="L191" s="607">
        <v>2</v>
      </c>
      <c r="M191" s="607">
        <v>2</v>
      </c>
      <c r="N191" s="607">
        <v>2</v>
      </c>
      <c r="O191" s="607">
        <v>2</v>
      </c>
      <c r="P191" s="607">
        <v>2</v>
      </c>
      <c r="Q191" s="607">
        <v>2</v>
      </c>
      <c r="R191" s="607">
        <v>2</v>
      </c>
      <c r="T191" s="139">
        <f t="shared" si="432"/>
        <v>2</v>
      </c>
      <c r="U191" s="158"/>
      <c r="V191" s="40"/>
      <c r="W191" s="40"/>
      <c r="X191" s="35"/>
      <c r="Y191" s="138"/>
      <c r="Z191" s="138">
        <f>VLOOKUP(B191,'Manuell filtrering og justering'!$A$7:$H$253,'Manuell filtrering og justering'!$H$1,FALSE)</f>
        <v>2</v>
      </c>
      <c r="AA191" s="139">
        <f t="shared" si="434"/>
        <v>0</v>
      </c>
      <c r="AB191" s="140">
        <f>IF($AC$5='Manuell filtrering og justering'!$J$2,Z191,(T191-AA191))</f>
        <v>2</v>
      </c>
      <c r="AD191" s="141">
        <f t="shared" si="435"/>
        <v>1.5789473684210527E-2</v>
      </c>
      <c r="AE191" s="141">
        <f t="shared" si="447"/>
        <v>0</v>
      </c>
      <c r="AF191" s="141">
        <f t="shared" si="448"/>
        <v>0</v>
      </c>
      <c r="AG191" s="141">
        <f t="shared" si="449"/>
        <v>0</v>
      </c>
      <c r="AI191" s="821">
        <f>IF(AI247=AD_no,0,IF(VLOOKUP(E191,'Pre-Assessment Estimator'!$E$11:$Z$227,'Pre-Assessment Estimator'!$G$2,FALSE)&gt;AB191,AB191,VLOOKUP(E191,'Pre-Assessment Estimator'!$E$11:$Z$227,'Pre-Assessment Estimator'!$G$2,FALSE)))</f>
        <v>0</v>
      </c>
      <c r="AJ191" s="821">
        <f>IF(AJ247=AD_no,0,IF(VLOOKUP(E191,'Pre-Assessment Estimator'!$E$11:$Z$227,'Pre-Assessment Estimator'!$N$2,FALSE)&gt;AB191,AB191,VLOOKUP(E191,'Pre-Assessment Estimator'!$E$11:$Z$227,'Pre-Assessment Estimator'!$N$2,FALSE)))</f>
        <v>0</v>
      </c>
      <c r="AK191" s="821">
        <f>IF(AK247=AD_no,0,IF(VLOOKUP(E191,'Pre-Assessment Estimator'!$E$11:$Z$227,'Pre-Assessment Estimator'!$U$2,FALSE)&gt;AB191,AB191,VLOOKUP(E191,'Pre-Assessment Estimator'!$E$11:$Z$227,'Pre-Assessment Estimator'!$U$2,FALSE)))</f>
        <v>0</v>
      </c>
      <c r="AM191" s="678"/>
      <c r="AN191" s="679"/>
      <c r="AO191" s="679"/>
      <c r="AP191" s="679"/>
      <c r="AQ191" s="671"/>
      <c r="AR191" s="114"/>
      <c r="AS191" s="678"/>
      <c r="AT191" s="679"/>
      <c r="AU191" s="679"/>
      <c r="AV191" s="679"/>
      <c r="AW191" s="671"/>
      <c r="AY191" s="158"/>
      <c r="AZ191" s="40"/>
      <c r="BA191" s="40"/>
      <c r="BB191" s="40"/>
      <c r="BC191" s="680"/>
      <c r="BD191" s="151">
        <f t="shared" si="463"/>
        <v>9</v>
      </c>
      <c r="BE191" s="37" t="str">
        <f t="shared" si="441"/>
        <v>N/A</v>
      </c>
      <c r="BF191" s="154"/>
      <c r="BG191" s="151">
        <f t="shared" si="464"/>
        <v>9</v>
      </c>
      <c r="BH191" s="37" t="str">
        <f t="shared" si="443"/>
        <v>N/A</v>
      </c>
      <c r="BI191" s="154"/>
      <c r="BJ191" s="151">
        <f t="shared" si="465"/>
        <v>9</v>
      </c>
      <c r="BK191" s="37" t="str">
        <f t="shared" si="445"/>
        <v>N/A</v>
      </c>
      <c r="BL191" s="675"/>
      <c r="BO191" s="35"/>
      <c r="BP191" s="35"/>
      <c r="BQ191" s="35" t="str">
        <f t="shared" si="342"/>
        <v/>
      </c>
      <c r="BR191" s="35">
        <f t="shared" si="396"/>
        <v>9</v>
      </c>
      <c r="BS191" s="35">
        <f t="shared" si="397"/>
        <v>9</v>
      </c>
      <c r="BT191" s="35">
        <f t="shared" si="398"/>
        <v>9</v>
      </c>
      <c r="BW191" s="55"/>
      <c r="BX191" s="55"/>
      <c r="BY191" s="55"/>
      <c r="BZ191" s="55"/>
      <c r="CA191" s="55"/>
      <c r="CB191" s="55"/>
    </row>
    <row r="192" spans="1:81" ht="15.75" thickBot="1">
      <c r="A192">
        <v>184</v>
      </c>
      <c r="B192" s="112" t="str">
        <f>D192</f>
        <v>LE 08</v>
      </c>
      <c r="C192" s="112" t="str">
        <f>B192</f>
        <v>LE 08</v>
      </c>
      <c r="D192" s="663" t="s">
        <v>492</v>
      </c>
      <c r="E192" s="661" t="s">
        <v>810</v>
      </c>
      <c r="F192" s="748">
        <f>SUM(F193:F196)</f>
        <v>3</v>
      </c>
      <c r="G192" s="748">
        <f t="shared" ref="G192:R192" si="513">SUM(G193:G196)</f>
        <v>3</v>
      </c>
      <c r="H192" s="748">
        <f t="shared" si="513"/>
        <v>3</v>
      </c>
      <c r="I192" s="748">
        <f t="shared" si="513"/>
        <v>3</v>
      </c>
      <c r="J192" s="748">
        <f t="shared" si="513"/>
        <v>3</v>
      </c>
      <c r="K192" s="748">
        <f t="shared" si="513"/>
        <v>3</v>
      </c>
      <c r="L192" s="748">
        <f t="shared" si="513"/>
        <v>3</v>
      </c>
      <c r="M192" s="748">
        <f t="shared" si="513"/>
        <v>3</v>
      </c>
      <c r="N192" s="748">
        <f t="shared" si="513"/>
        <v>3</v>
      </c>
      <c r="O192" s="748">
        <f t="shared" si="513"/>
        <v>3</v>
      </c>
      <c r="P192" s="748">
        <f t="shared" si="513"/>
        <v>3</v>
      </c>
      <c r="Q192" s="748">
        <f t="shared" ref="Q192" si="514">SUM(Q193:Q196)</f>
        <v>3</v>
      </c>
      <c r="R192" s="748">
        <f t="shared" si="513"/>
        <v>3</v>
      </c>
      <c r="T192" s="768">
        <f t="shared" si="432"/>
        <v>3</v>
      </c>
      <c r="U192" s="570"/>
      <c r="V192" s="769"/>
      <c r="W192" s="769"/>
      <c r="X192" s="53">
        <f>'Manuell filtrering og justering'!E82</f>
        <v>0</v>
      </c>
      <c r="Y192" s="53"/>
      <c r="Z192" s="763">
        <f t="shared" ref="Z192" si="515">SUM(Z193:Z196)</f>
        <v>2</v>
      </c>
      <c r="AA192" s="768">
        <f t="shared" si="434"/>
        <v>0</v>
      </c>
      <c r="AB192" s="820">
        <f>SUM(AB193:AB196)</f>
        <v>3</v>
      </c>
      <c r="AD192" s="141">
        <f t="shared" si="435"/>
        <v>2.368421052631579E-2</v>
      </c>
      <c r="AE192" s="736">
        <f>SUM(AE193:AE196)</f>
        <v>0</v>
      </c>
      <c r="AF192" s="736">
        <f t="shared" ref="AF192" si="516">SUM(AF193:AF196)</f>
        <v>0</v>
      </c>
      <c r="AG192" s="736">
        <f t="shared" ref="AG192" si="517">SUM(AG193:AG196)</f>
        <v>0</v>
      </c>
      <c r="AI192" s="763">
        <f t="shared" ref="AI192" si="518">SUM(AI193:AI196)</f>
        <v>0</v>
      </c>
      <c r="AJ192" s="763">
        <f t="shared" ref="AJ192" si="519">SUM(AJ193:AJ196)</f>
        <v>0</v>
      </c>
      <c r="AK192" s="763">
        <f t="shared" ref="AK192" si="520">SUM(AK193:AK196)</f>
        <v>0</v>
      </c>
      <c r="AM192" s="246"/>
      <c r="AN192" s="247"/>
      <c r="AO192" s="247"/>
      <c r="AP192" s="247"/>
      <c r="AQ192" s="248"/>
      <c r="AR192" s="114"/>
      <c r="AS192" s="246"/>
      <c r="AT192" s="247"/>
      <c r="AU192" s="247"/>
      <c r="AV192" s="247"/>
      <c r="AW192" s="248"/>
      <c r="AY192" s="159"/>
      <c r="AZ192" s="161"/>
      <c r="BA192" s="161"/>
      <c r="BB192" s="161"/>
      <c r="BC192" s="162"/>
      <c r="BD192" s="163">
        <f t="shared" ref="BD192:BD196" si="521">IF(BC192=0,9,IF(AI192&gt;=BC192,5,IF(AI192&gt;=BB192,4,IF(AI192&gt;=BA192,3,IF(AI192&gt;=AZ192,2,IF(AI192&lt;AY192,0,1))))))</f>
        <v>9</v>
      </c>
      <c r="BE192" s="37" t="str">
        <f t="shared" si="441"/>
        <v>N/A</v>
      </c>
      <c r="BF192" s="164"/>
      <c r="BG192" s="163">
        <f t="shared" ref="BG192:BG196" si="522">IF(BC192=0,9,IF(AJ192&gt;=BC192,5,IF(AJ192&gt;=BB192,4,IF(AJ192&gt;=BA192,3,IF(AJ192&gt;=AZ192,2,IF(AJ192&lt;AY192,0,1))))))</f>
        <v>9</v>
      </c>
      <c r="BH192" s="37" t="str">
        <f t="shared" si="443"/>
        <v>N/A</v>
      </c>
      <c r="BI192" s="164"/>
      <c r="BJ192" s="163">
        <f t="shared" ref="BJ192:BJ196" si="523">IF(BC192=0,9,IF(AK192&gt;=BC192,5,IF(AK192&gt;=BB192,4,IF(AK192&gt;=BA192,3,IF(AK192&gt;=AZ192,2,IF(AK192&lt;AY192,0,1))))))</f>
        <v>9</v>
      </c>
      <c r="BK192" s="37" t="str">
        <f t="shared" si="445"/>
        <v>N/A</v>
      </c>
      <c r="BL192" s="164"/>
      <c r="BO192" s="35"/>
      <c r="BP192" s="35"/>
      <c r="BQ192" s="35" t="str">
        <f t="shared" si="342"/>
        <v/>
      </c>
      <c r="BR192" s="35">
        <f t="shared" si="396"/>
        <v>9</v>
      </c>
      <c r="BS192" s="35">
        <f t="shared" si="397"/>
        <v>9</v>
      </c>
      <c r="BT192" s="35">
        <f t="shared" si="398"/>
        <v>9</v>
      </c>
      <c r="BW192" s="55" t="str">
        <f>D192</f>
        <v>LE 08</v>
      </c>
      <c r="BX192" s="55"/>
      <c r="BY192" s="55"/>
      <c r="BZ192" s="55"/>
      <c r="CA192" s="55"/>
      <c r="CB192" s="55"/>
    </row>
    <row r="193" spans="1:85">
      <c r="A193">
        <v>185</v>
      </c>
      <c r="C193" t="str">
        <f t="shared" si="344"/>
        <v>LE 08</v>
      </c>
      <c r="D193" s="137" t="s">
        <v>729</v>
      </c>
      <c r="E193" s="754" t="s">
        <v>924</v>
      </c>
      <c r="F193" s="607"/>
      <c r="G193" s="607"/>
      <c r="H193" s="607"/>
      <c r="I193" s="607"/>
      <c r="J193" s="607"/>
      <c r="K193" s="607"/>
      <c r="L193" s="607"/>
      <c r="M193" s="607"/>
      <c r="N193" s="607"/>
      <c r="O193" s="607"/>
      <c r="P193" s="607"/>
      <c r="Q193" s="607"/>
      <c r="R193" s="607"/>
      <c r="T193" s="139">
        <f t="shared" si="432"/>
        <v>0</v>
      </c>
      <c r="U193" s="158"/>
      <c r="V193" s="40"/>
      <c r="W193" s="40"/>
      <c r="X193" s="40"/>
      <c r="Y193" s="680"/>
      <c r="Z193" s="138"/>
      <c r="AA193" s="139">
        <f t="shared" si="434"/>
        <v>0</v>
      </c>
      <c r="AB193" s="140">
        <f>IF($AC$5='Manuell filtrering og justering'!$J$2,Z193,(T193-AA193))</f>
        <v>0</v>
      </c>
      <c r="AD193" s="141">
        <f t="shared" si="435"/>
        <v>0</v>
      </c>
      <c r="AE193" s="141">
        <f t="shared" si="447"/>
        <v>0</v>
      </c>
      <c r="AF193" s="141">
        <f t="shared" si="448"/>
        <v>0</v>
      </c>
      <c r="AG193" s="141">
        <f t="shared" si="449"/>
        <v>0</v>
      </c>
      <c r="AI193" s="142">
        <f>IF(VLOOKUP(E193,'Pre-Assessment Estimator'!$E$11:$Z$227,'Pre-Assessment Estimator'!$G$2,FALSE)&gt;AB193,AB193,VLOOKUP(E193,'Pre-Assessment Estimator'!$E$11:$Z$227,'Pre-Assessment Estimator'!$G$2,FALSE))</f>
        <v>0</v>
      </c>
      <c r="AJ193" s="142">
        <f>IF(VLOOKUP(E193,'Pre-Assessment Estimator'!$E$11:$Z$227,'Pre-Assessment Estimator'!$N$2,FALSE)&gt;AB193,AB193,VLOOKUP(E193,'Pre-Assessment Estimator'!$E$11:$Z$227,'Pre-Assessment Estimator'!$N$2,FALSE))</f>
        <v>0</v>
      </c>
      <c r="AK193" s="142">
        <f>IF(VLOOKUP(E193,'Pre-Assessment Estimator'!$E$11:$Z$227,'Pre-Assessment Estimator'!$U$2,FALSE)&gt;AB193,AB193,VLOOKUP(E193,'Pre-Assessment Estimator'!$E$11:$Z$227,'Pre-Assessment Estimator'!$U$2,FALSE))</f>
        <v>0</v>
      </c>
      <c r="AM193" s="678"/>
      <c r="AN193" s="679"/>
      <c r="AO193" s="679"/>
      <c r="AP193" s="679"/>
      <c r="AQ193" s="671"/>
      <c r="AR193" s="114"/>
      <c r="AS193" s="678"/>
      <c r="AT193" s="679"/>
      <c r="AU193" s="679"/>
      <c r="AV193" s="679"/>
      <c r="AW193" s="671"/>
      <c r="AY193" s="158"/>
      <c r="AZ193" s="40"/>
      <c r="BA193" s="40"/>
      <c r="BB193" s="40"/>
      <c r="BC193" s="680"/>
      <c r="BD193" s="151">
        <f t="shared" si="521"/>
        <v>9</v>
      </c>
      <c r="BE193" s="37" t="str">
        <f t="shared" si="441"/>
        <v>N/A</v>
      </c>
      <c r="BF193" s="154"/>
      <c r="BG193" s="151">
        <f t="shared" si="522"/>
        <v>9</v>
      </c>
      <c r="BH193" s="37" t="str">
        <f t="shared" si="443"/>
        <v>N/A</v>
      </c>
      <c r="BI193" s="154"/>
      <c r="BJ193" s="151">
        <f t="shared" si="523"/>
        <v>9</v>
      </c>
      <c r="BK193" s="37" t="str">
        <f t="shared" si="445"/>
        <v>N/A</v>
      </c>
      <c r="BL193" s="675"/>
      <c r="BO193" s="35"/>
      <c r="BP193" s="35"/>
      <c r="BQ193" s="35" t="str">
        <f t="shared" si="342"/>
        <v/>
      </c>
      <c r="BR193" s="35">
        <f t="shared" si="396"/>
        <v>9</v>
      </c>
      <c r="BS193" s="35">
        <f t="shared" si="397"/>
        <v>9</v>
      </c>
      <c r="BT193" s="35">
        <f t="shared" si="398"/>
        <v>9</v>
      </c>
      <c r="BW193" s="55"/>
      <c r="BX193" s="55"/>
      <c r="BY193" s="55"/>
      <c r="BZ193" s="55"/>
      <c r="CA193" s="55"/>
      <c r="CB193" s="55"/>
    </row>
    <row r="194" spans="1:85">
      <c r="A194">
        <v>186</v>
      </c>
      <c r="B194" t="str">
        <f t="shared" ref="B194:B196" si="524">$D$192&amp;D194</f>
        <v>LE 08b</v>
      </c>
      <c r="C194" t="str">
        <f t="shared" si="344"/>
        <v>LE 08</v>
      </c>
      <c r="D194" s="137" t="s">
        <v>730</v>
      </c>
      <c r="E194" s="857" t="s">
        <v>812</v>
      </c>
      <c r="F194" s="607">
        <v>1</v>
      </c>
      <c r="G194" s="607">
        <v>1</v>
      </c>
      <c r="H194" s="607">
        <v>1</v>
      </c>
      <c r="I194" s="607">
        <v>1</v>
      </c>
      <c r="J194" s="607">
        <v>1</v>
      </c>
      <c r="K194" s="607">
        <v>1</v>
      </c>
      <c r="L194" s="607">
        <v>1</v>
      </c>
      <c r="M194" s="607">
        <v>1</v>
      </c>
      <c r="N194" s="607">
        <v>1</v>
      </c>
      <c r="O194" s="607">
        <v>1</v>
      </c>
      <c r="P194" s="607">
        <v>1</v>
      </c>
      <c r="Q194" s="607">
        <v>1</v>
      </c>
      <c r="R194" s="607">
        <v>1</v>
      </c>
      <c r="T194" s="139">
        <f t="shared" si="432"/>
        <v>1</v>
      </c>
      <c r="U194" s="158"/>
      <c r="V194" s="40"/>
      <c r="W194" s="40"/>
      <c r="X194" s="40"/>
      <c r="Y194" s="680"/>
      <c r="Z194" s="138">
        <f>VLOOKUP(B194,'Manuell filtrering og justering'!$A$7:$H$253,'Manuell filtrering og justering'!$H$1,FALSE)</f>
        <v>1</v>
      </c>
      <c r="AA194" s="139">
        <f t="shared" si="434"/>
        <v>0</v>
      </c>
      <c r="AB194" s="140">
        <f>IF($AC$5='Manuell filtrering og justering'!$J$2,Z194,(T194-AA194))</f>
        <v>1</v>
      </c>
      <c r="AD194" s="141">
        <f t="shared" si="435"/>
        <v>7.8947368421052634E-3</v>
      </c>
      <c r="AE194" s="141">
        <f t="shared" si="447"/>
        <v>0</v>
      </c>
      <c r="AF194" s="141">
        <f t="shared" si="448"/>
        <v>0</v>
      </c>
      <c r="AG194" s="141">
        <f t="shared" si="449"/>
        <v>0</v>
      </c>
      <c r="AI194" s="821">
        <f>IF(AI248=AD_no,0,IF(VLOOKUP(E194,'Pre-Assessment Estimator'!$E$11:$Z$227,'Pre-Assessment Estimator'!$G$2,FALSE)&gt;AB194,AB194,VLOOKUP(E194,'Pre-Assessment Estimator'!$E$11:$Z$227,'Pre-Assessment Estimator'!$G$2,FALSE)))</f>
        <v>0</v>
      </c>
      <c r="AJ194" s="821">
        <f>IF(AJ248=AD_no,0,IF(VLOOKUP(E194,'Pre-Assessment Estimator'!$E$11:$Z$227,'Pre-Assessment Estimator'!$N$2,FALSE)&gt;AB194,AB194,VLOOKUP(E194,'Pre-Assessment Estimator'!$E$11:$Z$227,'Pre-Assessment Estimator'!$N$2,FALSE)))</f>
        <v>0</v>
      </c>
      <c r="AK194" s="821">
        <f>IF(AK248=AD_no,0,IF(VLOOKUP(E194,'Pre-Assessment Estimator'!$E$11:$Z$227,'Pre-Assessment Estimator'!$U$2,FALSE)&gt;AB194,AB194,VLOOKUP(E194,'Pre-Assessment Estimator'!$E$11:$Z$227,'Pre-Assessment Estimator'!$U$2,FALSE)))</f>
        <v>0</v>
      </c>
      <c r="AM194" s="678"/>
      <c r="AN194" s="679"/>
      <c r="AO194" s="679"/>
      <c r="AP194" s="679"/>
      <c r="AQ194" s="671"/>
      <c r="AR194" s="114"/>
      <c r="AS194" s="678"/>
      <c r="AT194" s="679"/>
      <c r="AU194" s="679"/>
      <c r="AV194" s="679"/>
      <c r="AW194" s="671"/>
      <c r="AY194" s="158"/>
      <c r="AZ194" s="40"/>
      <c r="BA194" s="40"/>
      <c r="BB194" s="40"/>
      <c r="BC194" s="680"/>
      <c r="BD194" s="151">
        <f t="shared" si="521"/>
        <v>9</v>
      </c>
      <c r="BE194" s="37" t="str">
        <f t="shared" si="441"/>
        <v>N/A</v>
      </c>
      <c r="BF194" s="154"/>
      <c r="BG194" s="151">
        <f t="shared" si="522"/>
        <v>9</v>
      </c>
      <c r="BH194" s="37" t="str">
        <f t="shared" si="443"/>
        <v>N/A</v>
      </c>
      <c r="BI194" s="154"/>
      <c r="BJ194" s="151">
        <f t="shared" si="523"/>
        <v>9</v>
      </c>
      <c r="BK194" s="37" t="str">
        <f t="shared" si="445"/>
        <v>N/A</v>
      </c>
      <c r="BL194" s="675"/>
      <c r="BO194" s="35"/>
      <c r="BP194" s="35"/>
      <c r="BQ194" s="35" t="str">
        <f t="shared" si="342"/>
        <v/>
      </c>
      <c r="BR194" s="35">
        <f t="shared" si="396"/>
        <v>9</v>
      </c>
      <c r="BS194" s="35">
        <f t="shared" si="397"/>
        <v>9</v>
      </c>
      <c r="BT194" s="35">
        <f t="shared" si="398"/>
        <v>9</v>
      </c>
      <c r="BW194" s="55"/>
      <c r="BX194" s="55"/>
      <c r="BY194" s="55"/>
      <c r="BZ194" s="55"/>
      <c r="CA194" s="55"/>
      <c r="CB194" s="55"/>
    </row>
    <row r="195" spans="1:85">
      <c r="A195">
        <v>187</v>
      </c>
      <c r="B195" t="str">
        <f t="shared" si="524"/>
        <v>LE 08c</v>
      </c>
      <c r="C195" t="str">
        <f t="shared" si="344"/>
        <v>LE 08</v>
      </c>
      <c r="D195" s="158" t="s">
        <v>731</v>
      </c>
      <c r="E195" s="875" t="s">
        <v>685</v>
      </c>
      <c r="F195" s="609">
        <v>1</v>
      </c>
      <c r="G195" s="609">
        <v>1</v>
      </c>
      <c r="H195" s="609">
        <v>1</v>
      </c>
      <c r="I195" s="609">
        <v>1</v>
      </c>
      <c r="J195" s="609">
        <v>1</v>
      </c>
      <c r="K195" s="609">
        <v>1</v>
      </c>
      <c r="L195" s="609">
        <v>1</v>
      </c>
      <c r="M195" s="609">
        <v>1</v>
      </c>
      <c r="N195" s="609">
        <v>1</v>
      </c>
      <c r="O195" s="609">
        <v>1</v>
      </c>
      <c r="P195" s="609">
        <v>1</v>
      </c>
      <c r="Q195" s="609">
        <v>1</v>
      </c>
      <c r="R195" s="609">
        <v>1</v>
      </c>
      <c r="T195" s="139">
        <f t="shared" si="432"/>
        <v>1</v>
      </c>
      <c r="U195" s="158"/>
      <c r="V195" s="40"/>
      <c r="W195" s="40"/>
      <c r="X195" s="40"/>
      <c r="Y195" s="680"/>
      <c r="Z195" s="138">
        <f>VLOOKUP(B195,'Manuell filtrering og justering'!$A$7:$H$253,'Manuell filtrering og justering'!$H$1,FALSE)</f>
        <v>1</v>
      </c>
      <c r="AA195" s="139">
        <f t="shared" si="434"/>
        <v>0</v>
      </c>
      <c r="AB195" s="140">
        <f>IF($AC$5='Manuell filtrering og justering'!$J$2,Z195,(T195-AA195))</f>
        <v>1</v>
      </c>
      <c r="AD195" s="141">
        <f t="shared" ref="AD195" si="525">(LE_Weight/LE_Credits)*AB195</f>
        <v>7.8947368421052634E-3</v>
      </c>
      <c r="AE195" s="141">
        <f t="shared" ref="AE195" si="526">IF(AB195=0,0,(AD195/AB195)*AI195)</f>
        <v>0</v>
      </c>
      <c r="AF195" s="141">
        <f t="shared" ref="AF195" si="527">IF(AB195=0,0,(AD195/AB195)*AJ195)</f>
        <v>0</v>
      </c>
      <c r="AG195" s="141">
        <f t="shared" ref="AG195" si="528">IF(AB195=0,0,(AD195/AB195)*AK195)</f>
        <v>0</v>
      </c>
      <c r="AI195" s="821">
        <f>IF(AI248=AD_no,0,IF(VLOOKUP(E195,'Pre-Assessment Estimator'!$E$11:$Z$227,'Pre-Assessment Estimator'!$G$2,FALSE)&gt;AB195,AB195,VLOOKUP(E195,'Pre-Assessment Estimator'!$E$11:$Z$227,'Pre-Assessment Estimator'!$G$2,FALSE)))</f>
        <v>0</v>
      </c>
      <c r="AJ195" s="821">
        <f>IF(AJ248=AD_no,0,IF(VLOOKUP(E195,'Pre-Assessment Estimator'!$E$11:$Z$227,'Pre-Assessment Estimator'!$N$2,FALSE)&gt;AB195,AB195,VLOOKUP(E195,'Pre-Assessment Estimator'!$E$11:$Z$227,'Pre-Assessment Estimator'!$N$2,FALSE)))</f>
        <v>0</v>
      </c>
      <c r="AK195" s="821">
        <f>IF(AK248=AD_no,0,IF(VLOOKUP(E195,'Pre-Assessment Estimator'!$E$11:$Z$227,'Pre-Assessment Estimator'!$U$2,FALSE)&gt;AB195,AB195,VLOOKUP(E195,'Pre-Assessment Estimator'!$E$11:$Z$227,'Pre-Assessment Estimator'!$U$2,FALSE)))</f>
        <v>0</v>
      </c>
      <c r="AM195" s="678"/>
      <c r="AN195" s="679"/>
      <c r="AO195" s="679"/>
      <c r="AP195" s="679"/>
      <c r="AQ195" s="671"/>
      <c r="AR195" s="114"/>
      <c r="AS195" s="678"/>
      <c r="AT195" s="679"/>
      <c r="AU195" s="679"/>
      <c r="AV195" s="679"/>
      <c r="AW195" s="671"/>
      <c r="AY195" s="158"/>
      <c r="AZ195" s="40"/>
      <c r="BA195" s="40"/>
      <c r="BB195" s="40"/>
      <c r="BC195" s="680"/>
      <c r="BD195" s="151">
        <f t="shared" ref="BD195" si="529">IF(BC195=0,9,IF(AI195&gt;=BC195,5,IF(AI195&gt;=BB195,4,IF(AI195&gt;=BA195,3,IF(AI195&gt;=AZ195,2,IF(AI195&lt;AY195,0,1))))))</f>
        <v>9</v>
      </c>
      <c r="BE195" s="37" t="str">
        <f t="shared" si="441"/>
        <v>N/A</v>
      </c>
      <c r="BF195" s="154"/>
      <c r="BG195" s="151">
        <f t="shared" ref="BG195" si="530">IF(BC195=0,9,IF(AJ195&gt;=BC195,5,IF(AJ195&gt;=BB195,4,IF(AJ195&gt;=BA195,3,IF(AJ195&gt;=AZ195,2,IF(AJ195&lt;AY195,0,1))))))</f>
        <v>9</v>
      </c>
      <c r="BH195" s="37" t="str">
        <f t="shared" si="443"/>
        <v>N/A</v>
      </c>
      <c r="BI195" s="154"/>
      <c r="BJ195" s="151">
        <f t="shared" ref="BJ195" si="531">IF(BC195=0,9,IF(AK195&gt;=BC195,5,IF(AK195&gt;=BB195,4,IF(AK195&gt;=BA195,3,IF(AK195&gt;=AZ195,2,IF(AK195&lt;AY195,0,1))))))</f>
        <v>9</v>
      </c>
      <c r="BK195" s="37" t="str">
        <f t="shared" si="445"/>
        <v>N/A</v>
      </c>
      <c r="BL195" s="675"/>
      <c r="BO195" s="35"/>
      <c r="BP195" s="35"/>
      <c r="BQ195" s="35" t="str">
        <f t="shared" si="342"/>
        <v/>
      </c>
      <c r="BR195" s="35">
        <f t="shared" si="396"/>
        <v>9</v>
      </c>
      <c r="BS195" s="35">
        <f t="shared" si="397"/>
        <v>9</v>
      </c>
      <c r="BT195" s="35">
        <f t="shared" si="398"/>
        <v>9</v>
      </c>
      <c r="BW195" s="55"/>
      <c r="BX195" s="55"/>
      <c r="BY195" s="55"/>
      <c r="BZ195" s="55"/>
      <c r="CA195" s="55"/>
      <c r="CB195" s="55"/>
    </row>
    <row r="196" spans="1:85" ht="15.75" thickBot="1">
      <c r="A196">
        <v>188</v>
      </c>
      <c r="B196" t="str">
        <f t="shared" si="524"/>
        <v>LE 08d</v>
      </c>
      <c r="C196" t="str">
        <f t="shared" si="344"/>
        <v>LE 08</v>
      </c>
      <c r="D196" s="158" t="s">
        <v>732</v>
      </c>
      <c r="E196" s="875" t="s">
        <v>686</v>
      </c>
      <c r="F196" s="609">
        <v>1</v>
      </c>
      <c r="G196" s="609">
        <v>1</v>
      </c>
      <c r="H196" s="609">
        <v>1</v>
      </c>
      <c r="I196" s="609">
        <v>1</v>
      </c>
      <c r="J196" s="609">
        <v>1</v>
      </c>
      <c r="K196" s="609">
        <v>1</v>
      </c>
      <c r="L196" s="609">
        <v>1</v>
      </c>
      <c r="M196" s="609">
        <v>1</v>
      </c>
      <c r="N196" s="609">
        <v>1</v>
      </c>
      <c r="O196" s="609">
        <v>1</v>
      </c>
      <c r="P196" s="609">
        <v>1</v>
      </c>
      <c r="Q196" s="609">
        <v>1</v>
      </c>
      <c r="R196" s="609">
        <v>1</v>
      </c>
      <c r="T196" s="139">
        <f t="shared" si="432"/>
        <v>1</v>
      </c>
      <c r="U196" s="158"/>
      <c r="V196" s="40"/>
      <c r="W196" s="40"/>
      <c r="X196" s="40"/>
      <c r="Y196" s="680"/>
      <c r="Z196" s="138">
        <f>VLOOKUP(B196,'Manuell filtrering og justering'!$A$7:$H$253,'Manuell filtrering og justering'!$H$1,FALSE)</f>
        <v>0</v>
      </c>
      <c r="AA196" s="139">
        <f t="shared" si="434"/>
        <v>0</v>
      </c>
      <c r="AB196" s="140">
        <f>IF($AC$5='Manuell filtrering og justering'!$J$2,Z196,(T196-AA196))</f>
        <v>1</v>
      </c>
      <c r="AD196" s="141">
        <f t="shared" si="435"/>
        <v>7.8947368421052634E-3</v>
      </c>
      <c r="AE196" s="141">
        <f t="shared" si="447"/>
        <v>0</v>
      </c>
      <c r="AF196" s="141">
        <f t="shared" si="448"/>
        <v>0</v>
      </c>
      <c r="AG196" s="141">
        <f t="shared" si="449"/>
        <v>0</v>
      </c>
      <c r="AI196" s="821">
        <f>IF(AI248=AD_no,0,IF(VLOOKUP(E196,'Pre-Assessment Estimator'!$E$11:$Z$227,'Pre-Assessment Estimator'!$G$2,FALSE)&gt;AB196,AB196,VLOOKUP(E196,'Pre-Assessment Estimator'!$E$11:$Z$227,'Pre-Assessment Estimator'!$G$2,FALSE)))</f>
        <v>0</v>
      </c>
      <c r="AJ196" s="821">
        <f>IF(AJ248=AD_no,0,IF(VLOOKUP(E196,'Pre-Assessment Estimator'!$E$11:$Z$227,'Pre-Assessment Estimator'!$N$2,FALSE)&gt;AB196,AB196,VLOOKUP(E196,'Pre-Assessment Estimator'!$E$11:$Z$227,'Pre-Assessment Estimator'!$N$2,FALSE)))</f>
        <v>0</v>
      </c>
      <c r="AK196" s="821">
        <f>IF(AK248=AD_no,0,IF(VLOOKUP(E196,'Pre-Assessment Estimator'!$E$11:$Z$227,'Pre-Assessment Estimator'!$U$2,FALSE)&gt;AB196,AB196,VLOOKUP(E196,'Pre-Assessment Estimator'!$E$11:$Z$227,'Pre-Assessment Estimator'!$U$2,FALSE)))</f>
        <v>0</v>
      </c>
      <c r="AM196" s="678"/>
      <c r="AN196" s="679"/>
      <c r="AO196" s="679"/>
      <c r="AP196" s="679"/>
      <c r="AQ196" s="671"/>
      <c r="AR196" s="114"/>
      <c r="AS196" s="678"/>
      <c r="AT196" s="679"/>
      <c r="AU196" s="679"/>
      <c r="AV196" s="679"/>
      <c r="AW196" s="671"/>
      <c r="AY196" s="158"/>
      <c r="AZ196" s="40"/>
      <c r="BA196" s="40"/>
      <c r="BB196" s="40"/>
      <c r="BC196" s="680"/>
      <c r="BD196" s="151">
        <f t="shared" si="521"/>
        <v>9</v>
      </c>
      <c r="BE196" s="37" t="str">
        <f t="shared" si="441"/>
        <v>N/A</v>
      </c>
      <c r="BF196" s="154"/>
      <c r="BG196" s="151">
        <f t="shared" si="522"/>
        <v>9</v>
      </c>
      <c r="BH196" s="37" t="str">
        <f t="shared" si="443"/>
        <v>N/A</v>
      </c>
      <c r="BI196" s="154"/>
      <c r="BJ196" s="151">
        <f t="shared" si="523"/>
        <v>9</v>
      </c>
      <c r="BK196" s="37" t="str">
        <f t="shared" si="445"/>
        <v>N/A</v>
      </c>
      <c r="BL196" s="675"/>
      <c r="BO196" s="35"/>
      <c r="BP196" s="35"/>
      <c r="BQ196" s="35" t="str">
        <f t="shared" si="342"/>
        <v/>
      </c>
      <c r="BR196" s="35">
        <f t="shared" si="396"/>
        <v>9</v>
      </c>
      <c r="BS196" s="35">
        <f t="shared" si="397"/>
        <v>9</v>
      </c>
      <c r="BT196" s="35">
        <f t="shared" si="398"/>
        <v>9</v>
      </c>
      <c r="BW196" s="55"/>
      <c r="BX196" s="55"/>
      <c r="BY196" s="55"/>
      <c r="BZ196" s="55"/>
      <c r="CA196" s="55"/>
      <c r="CB196" s="55"/>
    </row>
    <row r="197" spans="1:85" ht="15.75" thickBot="1">
      <c r="A197">
        <v>189</v>
      </c>
      <c r="B197" t="s">
        <v>497</v>
      </c>
      <c r="D197" s="165"/>
      <c r="E197" s="42" t="s">
        <v>725</v>
      </c>
      <c r="F197" s="611">
        <f>F169+F171+F175+F179+F183+F187+F189+F192</f>
        <v>19</v>
      </c>
      <c r="G197" s="611">
        <f t="shared" ref="G197:R197" si="532">G169+G171+G175+G179+G183+G187+G189+G192</f>
        <v>19</v>
      </c>
      <c r="H197" s="611">
        <f t="shared" si="532"/>
        <v>19</v>
      </c>
      <c r="I197" s="611">
        <f t="shared" si="532"/>
        <v>19</v>
      </c>
      <c r="J197" s="611">
        <f t="shared" si="532"/>
        <v>19</v>
      </c>
      <c r="K197" s="611">
        <f t="shared" si="532"/>
        <v>19</v>
      </c>
      <c r="L197" s="611">
        <f t="shared" si="532"/>
        <v>19</v>
      </c>
      <c r="M197" s="611">
        <f t="shared" si="532"/>
        <v>19</v>
      </c>
      <c r="N197" s="611">
        <f t="shared" si="532"/>
        <v>19</v>
      </c>
      <c r="O197" s="611">
        <f t="shared" si="532"/>
        <v>19</v>
      </c>
      <c r="P197" s="611">
        <f t="shared" si="532"/>
        <v>19</v>
      </c>
      <c r="Q197" s="874">
        <f t="shared" ref="Q197" si="533">Q169+Q171+Q175+Q179+Q183+Q187+Q189+Q192</f>
        <v>19</v>
      </c>
      <c r="R197" s="874">
        <f t="shared" si="532"/>
        <v>19</v>
      </c>
      <c r="T197" s="186">
        <f t="shared" si="432"/>
        <v>19</v>
      </c>
      <c r="U197" s="167"/>
      <c r="V197" s="168"/>
      <c r="W197" s="168"/>
      <c r="X197" s="168"/>
      <c r="Y197" s="169"/>
      <c r="Z197" s="169"/>
      <c r="AA197" s="612">
        <f t="shared" ref="AA197:AG197" si="534">AA169+AA171+AA175+AA179+AA183+AA187+AA189+AA192</f>
        <v>0</v>
      </c>
      <c r="AB197" s="612">
        <f t="shared" si="534"/>
        <v>19</v>
      </c>
      <c r="AD197" s="171">
        <f t="shared" si="534"/>
        <v>0.15</v>
      </c>
      <c r="AE197" s="171">
        <f t="shared" si="534"/>
        <v>0</v>
      </c>
      <c r="AF197" s="171">
        <f t="shared" si="534"/>
        <v>0</v>
      </c>
      <c r="AG197" s="171">
        <f t="shared" si="534"/>
        <v>0</v>
      </c>
      <c r="AI197" s="64">
        <f t="shared" ref="AI197:AK197" si="535">AI169+AI171+AI175+AI179+AI183+AI187+AI189+AI192</f>
        <v>0</v>
      </c>
      <c r="AJ197" s="64">
        <f t="shared" si="535"/>
        <v>0</v>
      </c>
      <c r="AK197" s="64">
        <f t="shared" si="535"/>
        <v>0</v>
      </c>
      <c r="AM197" s="114"/>
      <c r="AN197" s="114"/>
      <c r="AO197" s="114"/>
      <c r="AP197" s="114"/>
      <c r="AQ197" s="114"/>
      <c r="AR197" s="114"/>
      <c r="AS197" s="114"/>
      <c r="AT197" s="114"/>
      <c r="AU197" s="114"/>
      <c r="AV197" s="114"/>
      <c r="AW197" s="114"/>
      <c r="AZ197" s="172"/>
      <c r="BW197" s="42"/>
      <c r="BX197" s="42" t="str">
        <f>IFERROR(VLOOKUP($E197,'Pre-Assessment Estimator'!$E$11:$AB$227,'Pre-Assessment Estimator'!AB$2,FALSE),"")</f>
        <v/>
      </c>
      <c r="BY197" s="42" t="str">
        <f>IFERROR(VLOOKUP($E197,'Pre-Assessment Estimator'!$E$11:$AI$227,'Pre-Assessment Estimator'!AI$2,FALSE),"")</f>
        <v/>
      </c>
      <c r="BZ197" s="42" t="str">
        <f t="shared" ref="BZ197:CA199" si="536">IFERROR(VLOOKUP($BX197,$E$293:$H$326,F$291,FALSE),"")</f>
        <v/>
      </c>
      <c r="CA197" s="42" t="str">
        <f t="shared" si="536"/>
        <v/>
      </c>
      <c r="CB197" s="42"/>
      <c r="CC197" t="str">
        <f>IFERROR(VLOOKUP($BX197,$E$293:$H$326,I$291,FALSE),"")</f>
        <v/>
      </c>
    </row>
    <row r="198" spans="1:85" ht="15.75" thickBot="1">
      <c r="A198">
        <v>190</v>
      </c>
      <c r="AI198" s="1"/>
      <c r="AJ198" s="1"/>
      <c r="AK198" s="1"/>
      <c r="AM198" s="114"/>
      <c r="AN198" s="114"/>
      <c r="AO198" s="114"/>
      <c r="AP198" s="114"/>
      <c r="AQ198" s="114"/>
      <c r="AR198" s="114"/>
      <c r="AS198" s="114"/>
      <c r="AT198" s="114"/>
      <c r="AU198" s="114"/>
      <c r="AV198" s="114"/>
      <c r="AW198" s="114"/>
      <c r="BX198" t="str">
        <f>IFERROR(VLOOKUP($E198,'Pre-Assessment Estimator'!$E$11:$AB$227,'Pre-Assessment Estimator'!AB$2,FALSE),"")</f>
        <v/>
      </c>
      <c r="BY198" t="str">
        <f>IFERROR(VLOOKUP($E198,'Pre-Assessment Estimator'!$E$11:$AI$227,'Pre-Assessment Estimator'!AI$2,FALSE),"")</f>
        <v/>
      </c>
      <c r="BZ198" t="str">
        <f t="shared" si="536"/>
        <v/>
      </c>
      <c r="CA198" t="str">
        <f t="shared" si="536"/>
        <v/>
      </c>
      <c r="CC198" t="str">
        <f>IFERROR(VLOOKUP($BX198,$E$293:$H$326,I$291,FALSE),"")</f>
        <v/>
      </c>
    </row>
    <row r="199" spans="1:85" ht="60.75" thickBot="1">
      <c r="A199">
        <v>191</v>
      </c>
      <c r="D199" s="123"/>
      <c r="E199" s="124" t="s">
        <v>499</v>
      </c>
      <c r="F199" s="964" t="str">
        <f>$F$9</f>
        <v>Office</v>
      </c>
      <c r="G199" s="964" t="str">
        <f>$G$9</f>
        <v>Retail</v>
      </c>
      <c r="H199" s="968" t="str">
        <f>$H$9</f>
        <v>Residential</v>
      </c>
      <c r="I199" s="964" t="str">
        <f>$I$9</f>
        <v>Industrial</v>
      </c>
      <c r="J199" s="966" t="str">
        <f>$J$9</f>
        <v>Healthcare</v>
      </c>
      <c r="K199" s="966" t="str">
        <f>$K$9</f>
        <v>Prison</v>
      </c>
      <c r="L199" s="966" t="str">
        <f>$L$9</f>
        <v>Law Court</v>
      </c>
      <c r="M199" s="970" t="str">
        <f>$M$9</f>
        <v>Residential institution (long term stay)</v>
      </c>
      <c r="N199" s="733" t="str">
        <f>$N$9</f>
        <v>Residential institution (short term stay)</v>
      </c>
      <c r="O199" s="733" t="str">
        <f>$O$9</f>
        <v>Non-residential institution</v>
      </c>
      <c r="P199" s="733" t="str">
        <f>$P$9</f>
        <v>Assembly and leisure</v>
      </c>
      <c r="Q199" s="966" t="str">
        <f>$Q$9</f>
        <v>Education</v>
      </c>
      <c r="R199" s="683" t="str">
        <f>$R$9</f>
        <v>Other</v>
      </c>
      <c r="T199" s="113" t="str">
        <f>$E$6</f>
        <v>Office</v>
      </c>
      <c r="U199" s="173"/>
      <c r="V199" s="174"/>
      <c r="W199" s="855"/>
      <c r="X199" s="174"/>
      <c r="Y199" s="900" t="s">
        <v>871</v>
      </c>
      <c r="Z199" s="295" t="s">
        <v>25</v>
      </c>
      <c r="AA199" s="122" t="s">
        <v>725</v>
      </c>
      <c r="AB199" s="45" t="s">
        <v>860</v>
      </c>
      <c r="AI199" s="28"/>
      <c r="AJ199" s="46"/>
      <c r="AK199" s="46"/>
      <c r="AM199" s="114"/>
      <c r="AN199" s="114"/>
      <c r="AO199" s="114"/>
      <c r="AP199" s="114"/>
      <c r="AQ199" s="114"/>
      <c r="AR199" s="114"/>
      <c r="AS199" s="114"/>
      <c r="AT199" s="114"/>
      <c r="AU199" s="114"/>
      <c r="AV199" s="114"/>
      <c r="AW199" s="114"/>
      <c r="BO199" s="46"/>
      <c r="BP199" s="46"/>
      <c r="BQ199" s="46"/>
      <c r="BR199" s="46"/>
      <c r="BS199" s="46"/>
      <c r="BT199" s="46"/>
      <c r="BW199" s="39"/>
      <c r="BX199" s="39" t="str">
        <f>E199</f>
        <v>Pollution</v>
      </c>
      <c r="BY199" s="39">
        <f>IFERROR(VLOOKUP($E199,'Pre-Assessment Estimator'!$E$11:$AI$227,'Pre-Assessment Estimator'!AI$2,FALSE),"")</f>
        <v>0</v>
      </c>
      <c r="BZ199" s="39" t="str">
        <f t="shared" si="536"/>
        <v/>
      </c>
      <c r="CA199" s="39" t="str">
        <f t="shared" si="536"/>
        <v/>
      </c>
      <c r="CB199" s="39"/>
      <c r="CC199" t="str">
        <f>IFERROR(VLOOKUP($BX199,$E$293:$H$326,I$291,FALSE),"")</f>
        <v/>
      </c>
    </row>
    <row r="200" spans="1:85">
      <c r="A200">
        <v>192</v>
      </c>
      <c r="B200" s="112" t="str">
        <f>D200</f>
        <v>POL 01</v>
      </c>
      <c r="C200" s="112" t="str">
        <f>B200</f>
        <v>POL 01</v>
      </c>
      <c r="D200" s="684" t="s">
        <v>501</v>
      </c>
      <c r="E200" s="685" t="s">
        <v>502</v>
      </c>
      <c r="F200" s="758">
        <v>3</v>
      </c>
      <c r="G200" s="758">
        <v>3</v>
      </c>
      <c r="H200" s="758">
        <v>3</v>
      </c>
      <c r="I200" s="758">
        <v>3</v>
      </c>
      <c r="J200" s="758">
        <v>3</v>
      </c>
      <c r="K200" s="758">
        <v>3</v>
      </c>
      <c r="L200" s="758">
        <v>3</v>
      </c>
      <c r="M200" s="758">
        <v>3</v>
      </c>
      <c r="N200" s="758">
        <v>3</v>
      </c>
      <c r="O200" s="758">
        <v>3</v>
      </c>
      <c r="P200" s="758">
        <v>3</v>
      </c>
      <c r="Q200" s="758">
        <v>3</v>
      </c>
      <c r="R200" s="758">
        <v>3</v>
      </c>
      <c r="T200" s="766">
        <f t="shared" ref="T200:T206" si="537">HLOOKUP($E$6,$F$9:$R$231,$A200,FALSE)</f>
        <v>3</v>
      </c>
      <c r="U200" s="182"/>
      <c r="V200" s="849"/>
      <c r="W200" s="122" t="s">
        <v>726</v>
      </c>
      <c r="X200" s="850">
        <f>'Manuell filtrering og justering'!E86</f>
        <v>0</v>
      </c>
      <c r="Y200" s="895"/>
      <c r="Z200" s="782">
        <f>SUM(AB201:AB203)</f>
        <v>3</v>
      </c>
      <c r="AA200" s="768">
        <f t="shared" ref="AA200:AA206" si="538">IF(SUM(U200:Y200)&gt;T200,T200,SUM(U200:Y200))</f>
        <v>0</v>
      </c>
      <c r="AB200" s="820">
        <f>SUM(AB201:AB203)</f>
        <v>3</v>
      </c>
      <c r="AD200" s="141">
        <f t="shared" ref="AD200:AD213" si="539">(Pol_Weight/Pol_Credits)*AB200</f>
        <v>1.7142857142857144E-2</v>
      </c>
      <c r="AE200" s="736">
        <f>IF(SUM(AE201:AE203)&gt;$AD$200,$AD$200,SUM(AE201:AE203))</f>
        <v>0</v>
      </c>
      <c r="AF200" s="736">
        <f>IF(SUM(AF201:AF203)&gt;$AD$200,$AD$200,SUM(AF201:AF203))</f>
        <v>0</v>
      </c>
      <c r="AG200" s="736">
        <f>IF(SUM(AG201:AG203)&gt;$AD$200,$AD$200,SUM(AG201:AG203))</f>
        <v>0</v>
      </c>
      <c r="AI200" s="763">
        <f>IF(SUM(AI201:AI203)&gt;Pol01_credits,Pol01_credits,SUM(AI201:AI203))</f>
        <v>0</v>
      </c>
      <c r="AJ200" s="763">
        <f>IF(SUM(AJ201:AJ203)&gt;Pol01_credits,Pol01_credits,SUM(AJ201:AJ203))</f>
        <v>0</v>
      </c>
      <c r="AK200" s="763">
        <f>IF(SUM(AK201:AK203)&gt;Pol01_credits,Pol01_credits,SUM(AK201:AK203))</f>
        <v>0</v>
      </c>
      <c r="AL200" t="s">
        <v>223</v>
      </c>
      <c r="AM200" s="249"/>
      <c r="AN200" s="250"/>
      <c r="AO200" s="250"/>
      <c r="AP200" s="250"/>
      <c r="AQ200" s="251"/>
      <c r="AR200" s="114"/>
      <c r="AS200" s="249"/>
      <c r="AT200" s="250"/>
      <c r="AU200" s="250"/>
      <c r="AV200" s="250"/>
      <c r="AW200" s="251"/>
      <c r="AY200" s="180"/>
      <c r="AZ200" s="147"/>
      <c r="BA200" s="147"/>
      <c r="BB200" s="147"/>
      <c r="BC200" s="181">
        <f t="shared" ref="BC200:BC223" si="540">IF($E$6=$H$9,AW200,AQ200)</f>
        <v>0</v>
      </c>
      <c r="BD200" s="144">
        <f t="shared" si="461"/>
        <v>9</v>
      </c>
      <c r="BE200" s="37" t="str">
        <f t="shared" ref="BE200:BE213" si="541">VLOOKUP(BD200,$BO$284:$BT$290,6,FALSE)</f>
        <v>N/A</v>
      </c>
      <c r="BF200" s="148"/>
      <c r="BG200" s="144">
        <f>IF(BC200=0,9,IF(AJ200&gt;=BC200,5,IF(AJ200&gt;=BB200,4,IF(AJ200&gt;=BA200,3,IF(AJ200&gt;=AZ200,2,IF(AJ200&lt;AY200,0,1))))))</f>
        <v>9</v>
      </c>
      <c r="BH200" s="37" t="str">
        <f t="shared" ref="BH200:BH213" si="542">VLOOKUP(BG200,$BO$284:$BT$290,6,FALSE)</f>
        <v>N/A</v>
      </c>
      <c r="BI200" s="148"/>
      <c r="BJ200" s="144">
        <f t="shared" si="444"/>
        <v>9</v>
      </c>
      <c r="BK200" s="37" t="str">
        <f t="shared" ref="BK200:BK213" si="543">VLOOKUP(BJ200,$BO$284:$BT$290,6,FALSE)</f>
        <v>N/A</v>
      </c>
      <c r="BL200" s="148"/>
      <c r="BO200" s="35"/>
      <c r="BP200" s="35"/>
      <c r="BQ200" s="35" t="str">
        <f t="shared" si="342"/>
        <v/>
      </c>
      <c r="BR200" s="35">
        <f t="shared" si="396"/>
        <v>9</v>
      </c>
      <c r="BS200" s="35">
        <f t="shared" si="397"/>
        <v>9</v>
      </c>
      <c r="BT200" s="35">
        <f t="shared" si="398"/>
        <v>9</v>
      </c>
      <c r="BW200" s="37" t="str">
        <f>D200</f>
        <v>POL 01</v>
      </c>
      <c r="BX200" s="37" t="str">
        <f>IFERROR(VLOOKUP($E200,'Pre-Assessment Estimator'!$E$11:$AB$227,'Pre-Assessment Estimator'!AB$2,FALSE),"")</f>
        <v>No</v>
      </c>
      <c r="BY200" s="525" t="str">
        <f>IFERROR(VLOOKUP($E200,'Pre-Assessment Estimator'!$E$11:$AI$227,'Pre-Assessment Estimator'!AI$2,FALSE),"")</f>
        <v>Ja</v>
      </c>
      <c r="BZ200" s="37">
        <f>IFERROR(VLOOKUP($BX200,$E$293:$H$326,F$291,FALSE),"")</f>
        <v>1</v>
      </c>
      <c r="CA200" s="529" t="s">
        <v>851</v>
      </c>
      <c r="CB200" s="37"/>
      <c r="CC200" t="str">
        <f>IFERROR(VLOOKUP($BX200,$E$293:$H$326,I$291,FALSE),"")</f>
        <v/>
      </c>
      <c r="CD200" t="s">
        <v>898</v>
      </c>
      <c r="CE200" s="35">
        <f>VLOOKUP(CA200,$CA$4:$CB$5,2,FALSE)</f>
        <v>1</v>
      </c>
      <c r="CG200" s="54">
        <f>IF($BX$5=ais_nei,CE200,IF(AND(CA200=$CA$4,BX200=$CC$4),0,BZ200))</f>
        <v>1</v>
      </c>
    </row>
    <row r="201" spans="1:85">
      <c r="A201">
        <v>193</v>
      </c>
      <c r="B201" t="str">
        <f t="shared" ref="B201:B203" si="544">$D$200&amp;D201</f>
        <v>POL 01a</v>
      </c>
      <c r="C201" t="str">
        <f t="shared" si="344"/>
        <v>POL 01</v>
      </c>
      <c r="D201" s="137" t="s">
        <v>729</v>
      </c>
      <c r="E201" s="732" t="s">
        <v>813</v>
      </c>
      <c r="F201" s="607">
        <v>3</v>
      </c>
      <c r="G201" s="607">
        <v>3</v>
      </c>
      <c r="H201" s="607">
        <v>3</v>
      </c>
      <c r="I201" s="607">
        <v>3</v>
      </c>
      <c r="J201" s="607">
        <v>3</v>
      </c>
      <c r="K201" s="607">
        <v>3</v>
      </c>
      <c r="L201" s="607">
        <v>3</v>
      </c>
      <c r="M201" s="607">
        <v>3</v>
      </c>
      <c r="N201" s="607">
        <v>3</v>
      </c>
      <c r="O201" s="607">
        <v>3</v>
      </c>
      <c r="P201" s="607">
        <v>3</v>
      </c>
      <c r="Q201" s="607">
        <v>3</v>
      </c>
      <c r="R201" s="607">
        <v>3</v>
      </c>
      <c r="T201" s="139">
        <f t="shared" si="537"/>
        <v>3</v>
      </c>
      <c r="U201" s="182">
        <f>IF('Assessment Details'!F24=AD_Yes,Poeng!T201,0)</f>
        <v>0</v>
      </c>
      <c r="V201" s="138"/>
      <c r="W201" s="768">
        <f>IF('Assessment Details'!F24=AD_Yes,Poeng!Z201,0)</f>
        <v>0</v>
      </c>
      <c r="X201" s="195"/>
      <c r="Y201" s="139">
        <f>IF($Y$4=$Y$6,T201,0)</f>
        <v>0</v>
      </c>
      <c r="Z201" s="138">
        <f>VLOOKUP(B201,'Manuell filtrering og justering'!$A$7:$H$253,'Manuell filtrering og justering'!$H$1,FALSE)</f>
        <v>3</v>
      </c>
      <c r="AA201" s="139">
        <f t="shared" si="538"/>
        <v>0</v>
      </c>
      <c r="AB201" s="813">
        <f>IF($AC$5='Manuell filtrering og justering'!$J$2,Z201-W201,(T201-AA201))</f>
        <v>3</v>
      </c>
      <c r="AD201" s="141">
        <f t="shared" si="539"/>
        <v>1.7142857142857144E-2</v>
      </c>
      <c r="AE201" s="141">
        <f t="shared" ref="AE201:AE213" si="545">IF(AB201=0,0,(AD201/AB201)*AI201)</f>
        <v>0</v>
      </c>
      <c r="AF201" s="141">
        <f t="shared" ref="AF201:AF213" si="546">IF(AB201=0,0,(AD201/AB201)*AJ201)</f>
        <v>0</v>
      </c>
      <c r="AG201" s="141">
        <f t="shared" ref="AG201:AG213" si="547">IF(AB201=0,0,(AD201/AB201)*AK201)</f>
        <v>0</v>
      </c>
      <c r="AI201" s="142">
        <f>IF(VLOOKUP(E201,'Pre-Assessment Estimator'!$E$11:$Z$227,'Pre-Assessment Estimator'!$G$2,FALSE)&gt;AB201,AB201,VLOOKUP(E201,'Pre-Assessment Estimator'!$E$11:$Z$227,'Pre-Assessment Estimator'!$G$2,FALSE))</f>
        <v>0</v>
      </c>
      <c r="AJ201" s="142">
        <f>IF(VLOOKUP(E201,'Pre-Assessment Estimator'!$E$11:$Z$227,'Pre-Assessment Estimator'!$N$2,FALSE)&gt;AB201,AB201,VLOOKUP(E201,'Pre-Assessment Estimator'!$E$11:$Z$227,'Pre-Assessment Estimator'!$N$2,FALSE))</f>
        <v>0</v>
      </c>
      <c r="AK201" s="142">
        <f>IF(VLOOKUP(E201,'Pre-Assessment Estimator'!$E$11:$Z$227,'Pre-Assessment Estimator'!$U$2,FALSE)&gt;AB201,AB201,VLOOKUP(E201,'Pre-Assessment Estimator'!$E$11:$Z$227,'Pre-Assessment Estimator'!$U$2,FALSE))</f>
        <v>0</v>
      </c>
      <c r="AM201" s="664"/>
      <c r="AN201" s="665"/>
      <c r="AO201" s="665"/>
      <c r="AP201" s="665"/>
      <c r="AQ201" s="666"/>
      <c r="AR201" s="114"/>
      <c r="AS201" s="664"/>
      <c r="AT201" s="665"/>
      <c r="AU201" s="665"/>
      <c r="AV201" s="665"/>
      <c r="AW201" s="666"/>
      <c r="AY201" s="135"/>
      <c r="AZ201" s="37"/>
      <c r="BA201" s="37"/>
      <c r="BB201" s="37"/>
      <c r="BC201" s="667"/>
      <c r="BD201" s="151">
        <f t="shared" ref="BD201:BD203" si="548">IF(BC201=0,9,IF(AI201&gt;=BC201,5,IF(AI201&gt;=BB201,4,IF(AI201&gt;=BA201,3,IF(AI201&gt;=AZ201,2,IF(AI201&lt;AY201,0,1))))))</f>
        <v>9</v>
      </c>
      <c r="BE201" s="37" t="str">
        <f t="shared" si="541"/>
        <v>N/A</v>
      </c>
      <c r="BF201" s="154"/>
      <c r="BG201" s="151">
        <f t="shared" ref="BG201:BG203" si="549">IF(BC201=0,9,IF(AJ201&gt;=BC201,5,IF(AJ201&gt;=BB201,4,IF(AJ201&gt;=BA201,3,IF(AJ201&gt;=AZ201,2,IF(AJ201&lt;AY201,0,1))))))</f>
        <v>9</v>
      </c>
      <c r="BH201" s="37" t="str">
        <f t="shared" si="542"/>
        <v>N/A</v>
      </c>
      <c r="BI201" s="154"/>
      <c r="BJ201" s="151">
        <f t="shared" ref="BJ201:BJ203" si="550">IF(BC201=0,9,IF(AK201&gt;=BC201,5,IF(AK201&gt;=BB201,4,IF(AK201&gt;=BA201,3,IF(AK201&gt;=AZ201,2,IF(AK201&lt;AY201,0,1))))))</f>
        <v>9</v>
      </c>
      <c r="BK201" s="37" t="str">
        <f t="shared" si="543"/>
        <v>N/A</v>
      </c>
      <c r="BL201" s="659"/>
      <c r="BO201" s="35"/>
      <c r="BP201" s="35"/>
      <c r="BQ201" s="35" t="str">
        <f t="shared" si="342"/>
        <v/>
      </c>
      <c r="BR201" s="35">
        <f t="shared" si="396"/>
        <v>9</v>
      </c>
      <c r="BS201" s="35">
        <f t="shared" si="397"/>
        <v>9</v>
      </c>
      <c r="BT201" s="35">
        <f t="shared" si="398"/>
        <v>9</v>
      </c>
      <c r="BW201" s="37"/>
      <c r="BX201" s="37"/>
      <c r="BY201" s="525"/>
      <c r="BZ201" s="37"/>
      <c r="CA201" s="529"/>
      <c r="CB201" s="37"/>
      <c r="CE201" s="35"/>
      <c r="CG201" s="54"/>
    </row>
    <row r="202" spans="1:85">
      <c r="A202">
        <v>194</v>
      </c>
      <c r="B202" t="str">
        <f t="shared" si="544"/>
        <v>POL 01c</v>
      </c>
      <c r="C202" t="str">
        <f t="shared" si="344"/>
        <v>POL 01</v>
      </c>
      <c r="D202" s="137" t="s">
        <v>731</v>
      </c>
      <c r="E202" s="732" t="s">
        <v>689</v>
      </c>
      <c r="F202" s="607">
        <v>2</v>
      </c>
      <c r="G202" s="607">
        <v>2</v>
      </c>
      <c r="H202" s="607">
        <v>2</v>
      </c>
      <c r="I202" s="607">
        <v>2</v>
      </c>
      <c r="J202" s="607">
        <v>2</v>
      </c>
      <c r="K202" s="607">
        <v>2</v>
      </c>
      <c r="L202" s="607">
        <v>2</v>
      </c>
      <c r="M202" s="607">
        <v>2</v>
      </c>
      <c r="N202" s="607">
        <v>2</v>
      </c>
      <c r="O202" s="607">
        <v>2</v>
      </c>
      <c r="P202" s="607">
        <v>2</v>
      </c>
      <c r="Q202" s="607">
        <v>2</v>
      </c>
      <c r="R202" s="607">
        <v>2</v>
      </c>
      <c r="T202" s="139">
        <f t="shared" si="537"/>
        <v>2</v>
      </c>
      <c r="U202" s="182">
        <f>IF(U201&gt;0,0,T202)</f>
        <v>2</v>
      </c>
      <c r="V202" s="138"/>
      <c r="W202" s="768">
        <f>IF(W201&gt;0,0,Z202)</f>
        <v>2</v>
      </c>
      <c r="X202" s="195"/>
      <c r="Y202" s="139">
        <f>IF($Y$4=$Y$6,T202,0)</f>
        <v>0</v>
      </c>
      <c r="Z202" s="138">
        <f>VLOOKUP(B202,'Manuell filtrering og justering'!$A$7:$H$253,'Manuell filtrering og justering'!$H$1,FALSE)</f>
        <v>2</v>
      </c>
      <c r="AA202" s="139">
        <f t="shared" si="538"/>
        <v>2</v>
      </c>
      <c r="AB202" s="813">
        <f>IF($AC$5='Manuell filtrering og justering'!$J$2,Z202-W202,(T202-AA202))</f>
        <v>0</v>
      </c>
      <c r="AD202" s="141">
        <f t="shared" si="539"/>
        <v>0</v>
      </c>
      <c r="AE202" s="141">
        <f t="shared" si="545"/>
        <v>0</v>
      </c>
      <c r="AF202" s="141">
        <f t="shared" si="546"/>
        <v>0</v>
      </c>
      <c r="AG202" s="141">
        <f t="shared" si="547"/>
        <v>0</v>
      </c>
      <c r="AI202" s="821">
        <f>IF(AI249=AD_no,0,IF(VLOOKUP(E202,'Pre-Assessment Estimator'!$E$11:$Z$227,'Pre-Assessment Estimator'!$G$2,FALSE)&gt;AB202,AB202,VLOOKUP(E202,'Pre-Assessment Estimator'!$E$11:$Z$227,'Pre-Assessment Estimator'!$G$2,FALSE)))</f>
        <v>0</v>
      </c>
      <c r="AJ202" s="821">
        <f>IF(AJ249=AD_no,0,IF(VLOOKUP(E202,'Pre-Assessment Estimator'!$E$11:$Z$227,'Pre-Assessment Estimator'!$N$2,FALSE)&gt;AB202,AB202,VLOOKUP(E202,'Pre-Assessment Estimator'!$E$11:$Z$227,'Pre-Assessment Estimator'!$N$2,FALSE)))</f>
        <v>0</v>
      </c>
      <c r="AK202" s="821">
        <f>IF(AK249=AD_no,0,IF(VLOOKUP(E202,'Pre-Assessment Estimator'!$E$11:$Z$227,'Pre-Assessment Estimator'!$U$2,FALSE)&gt;AB202,AB202,VLOOKUP(E202,'Pre-Assessment Estimator'!$E$11:$Z$227,'Pre-Assessment Estimator'!$U$2,FALSE)))</f>
        <v>0</v>
      </c>
      <c r="AM202" s="664"/>
      <c r="AN202" s="665"/>
      <c r="AO202" s="665"/>
      <c r="AP202" s="665"/>
      <c r="AQ202" s="666"/>
      <c r="AR202" s="114"/>
      <c r="AS202" s="664"/>
      <c r="AT202" s="665"/>
      <c r="AU202" s="665"/>
      <c r="AV202" s="665"/>
      <c r="AW202" s="666"/>
      <c r="AY202" s="135"/>
      <c r="AZ202" s="37"/>
      <c r="BA202" s="37"/>
      <c r="BB202" s="37"/>
      <c r="BC202" s="667"/>
      <c r="BD202" s="151">
        <f t="shared" si="548"/>
        <v>9</v>
      </c>
      <c r="BE202" s="37" t="str">
        <f t="shared" si="541"/>
        <v>N/A</v>
      </c>
      <c r="BF202" s="154"/>
      <c r="BG202" s="151">
        <f t="shared" si="549"/>
        <v>9</v>
      </c>
      <c r="BH202" s="37" t="str">
        <f t="shared" si="542"/>
        <v>N/A</v>
      </c>
      <c r="BI202" s="154"/>
      <c r="BJ202" s="151">
        <f t="shared" si="550"/>
        <v>9</v>
      </c>
      <c r="BK202" s="37" t="str">
        <f t="shared" si="543"/>
        <v>N/A</v>
      </c>
      <c r="BL202" s="659"/>
      <c r="BO202" s="35"/>
      <c r="BP202" s="35"/>
      <c r="BQ202" s="35" t="str">
        <f t="shared" si="342"/>
        <v/>
      </c>
      <c r="BR202" s="35">
        <f t="shared" si="396"/>
        <v>9</v>
      </c>
      <c r="BS202" s="35">
        <f t="shared" si="397"/>
        <v>9</v>
      </c>
      <c r="BT202" s="35">
        <f t="shared" si="398"/>
        <v>9</v>
      </c>
      <c r="BW202" s="37"/>
      <c r="BX202" s="37"/>
      <c r="BY202" s="525"/>
      <c r="BZ202" s="37"/>
      <c r="CA202" s="529"/>
      <c r="CB202" s="37"/>
      <c r="CE202" s="35"/>
      <c r="CG202" s="54"/>
    </row>
    <row r="203" spans="1:85">
      <c r="A203">
        <v>195</v>
      </c>
      <c r="B203" t="str">
        <f t="shared" si="544"/>
        <v>POL 01d</v>
      </c>
      <c r="C203" t="str">
        <f t="shared" si="344"/>
        <v>POL 01</v>
      </c>
      <c r="D203" s="137" t="s">
        <v>732</v>
      </c>
      <c r="E203" s="732" t="s">
        <v>815</v>
      </c>
      <c r="F203" s="607">
        <v>1</v>
      </c>
      <c r="G203" s="607">
        <v>1</v>
      </c>
      <c r="H203" s="607">
        <v>1</v>
      </c>
      <c r="I203" s="607">
        <v>1</v>
      </c>
      <c r="J203" s="607">
        <v>1</v>
      </c>
      <c r="K203" s="607">
        <v>1</v>
      </c>
      <c r="L203" s="607">
        <v>1</v>
      </c>
      <c r="M203" s="607">
        <v>1</v>
      </c>
      <c r="N203" s="607">
        <v>1</v>
      </c>
      <c r="O203" s="607">
        <v>1</v>
      </c>
      <c r="P203" s="607">
        <v>1</v>
      </c>
      <c r="Q203" s="607">
        <v>1</v>
      </c>
      <c r="R203" s="607">
        <v>1</v>
      </c>
      <c r="T203" s="139">
        <f t="shared" si="537"/>
        <v>1</v>
      </c>
      <c r="U203" s="182">
        <f>IF(U201&gt;0,0,T203)</f>
        <v>1</v>
      </c>
      <c r="V203" s="138"/>
      <c r="W203" s="768">
        <f>IF(W201&gt;0,0,Z203)</f>
        <v>1</v>
      </c>
      <c r="X203" s="195"/>
      <c r="Y203" s="139">
        <f>IF($Y$4=$Y$6,T203,0)</f>
        <v>0</v>
      </c>
      <c r="Z203" s="138">
        <f>VLOOKUP(B203,'Manuell filtrering og justering'!$A$7:$H$253,'Manuell filtrering og justering'!$H$1,FALSE)</f>
        <v>1</v>
      </c>
      <c r="AA203" s="139">
        <f t="shared" si="538"/>
        <v>1</v>
      </c>
      <c r="AB203" s="813">
        <f>IF($AC$5='Manuell filtrering og justering'!$J$2,Z203-W203,(T203-AA203))</f>
        <v>0</v>
      </c>
      <c r="AD203" s="141">
        <f t="shared" si="539"/>
        <v>0</v>
      </c>
      <c r="AE203" s="141">
        <f t="shared" si="545"/>
        <v>0</v>
      </c>
      <c r="AF203" s="141">
        <f t="shared" si="546"/>
        <v>0</v>
      </c>
      <c r="AG203" s="141">
        <f t="shared" si="547"/>
        <v>0</v>
      </c>
      <c r="AI203" s="821">
        <f>IF(AI249=AD_no,0,IF(VLOOKUP(E203,'Pre-Assessment Estimator'!$E$11:$Z$227,'Pre-Assessment Estimator'!$G$2,FALSE)&gt;AB203,AB203,VLOOKUP(E203,'Pre-Assessment Estimator'!$E$11:$Z$227,'Pre-Assessment Estimator'!$G$2,FALSE)))</f>
        <v>0</v>
      </c>
      <c r="AJ203" s="821">
        <f>IF(AJ249=AD_no,0,IF(VLOOKUP(E203,'Pre-Assessment Estimator'!$E$11:$Z$227,'Pre-Assessment Estimator'!$N$2,FALSE)&gt;AB203,AB203,VLOOKUP(E203,'Pre-Assessment Estimator'!$E$11:$Z$227,'Pre-Assessment Estimator'!$N$2,FALSE)))</f>
        <v>0</v>
      </c>
      <c r="AK203" s="821">
        <f>IF(AK249=AD_no,0,IF(VLOOKUP(E203,'Pre-Assessment Estimator'!$E$11:$Z$227,'Pre-Assessment Estimator'!$U$2,FALSE)&gt;AB203,AB203,VLOOKUP(E203,'Pre-Assessment Estimator'!$E$11:$Z$227,'Pre-Assessment Estimator'!$U$2,FALSE)))</f>
        <v>0</v>
      </c>
      <c r="AM203" s="664"/>
      <c r="AN203" s="665"/>
      <c r="AO203" s="665"/>
      <c r="AP203" s="665"/>
      <c r="AQ203" s="666"/>
      <c r="AR203" s="114"/>
      <c r="AS203" s="664"/>
      <c r="AT203" s="665"/>
      <c r="AU203" s="665"/>
      <c r="AV203" s="665"/>
      <c r="AW203" s="666"/>
      <c r="AY203" s="135"/>
      <c r="AZ203" s="37"/>
      <c r="BA203" s="37"/>
      <c r="BB203" s="37"/>
      <c r="BC203" s="667"/>
      <c r="BD203" s="151">
        <f t="shared" si="548"/>
        <v>9</v>
      </c>
      <c r="BE203" s="37" t="str">
        <f t="shared" si="541"/>
        <v>N/A</v>
      </c>
      <c r="BF203" s="154"/>
      <c r="BG203" s="151">
        <f t="shared" si="549"/>
        <v>9</v>
      </c>
      <c r="BH203" s="37" t="str">
        <f t="shared" si="542"/>
        <v>N/A</v>
      </c>
      <c r="BI203" s="154"/>
      <c r="BJ203" s="151">
        <f t="shared" si="550"/>
        <v>9</v>
      </c>
      <c r="BK203" s="37" t="str">
        <f t="shared" si="543"/>
        <v>N/A</v>
      </c>
      <c r="BL203" s="659"/>
      <c r="BO203" s="35"/>
      <c r="BP203" s="35"/>
      <c r="BQ203" s="35" t="str">
        <f t="shared" ref="BQ203:BQ251" si="551">IF(BO203&lt;&gt;"",BO203,IF(BP203&lt;&gt;"",BP203,""))</f>
        <v/>
      </c>
      <c r="BR203" s="35">
        <f t="shared" si="396"/>
        <v>9</v>
      </c>
      <c r="BS203" s="35">
        <f t="shared" si="397"/>
        <v>9</v>
      </c>
      <c r="BT203" s="35">
        <f t="shared" si="398"/>
        <v>9</v>
      </c>
      <c r="BW203" s="37"/>
      <c r="BX203" s="37"/>
      <c r="BY203" s="525"/>
      <c r="BZ203" s="37"/>
      <c r="CA203" s="529"/>
      <c r="CB203" s="37"/>
      <c r="CE203" s="35"/>
      <c r="CG203" s="54"/>
    </row>
    <row r="204" spans="1:85">
      <c r="A204">
        <v>196</v>
      </c>
      <c r="B204" s="112" t="str">
        <f>D204</f>
        <v>POL 02</v>
      </c>
      <c r="C204" s="112" t="str">
        <f>B204</f>
        <v>POL 02</v>
      </c>
      <c r="D204" s="663" t="s">
        <v>508</v>
      </c>
      <c r="E204" s="661" t="s">
        <v>816</v>
      </c>
      <c r="F204" s="758">
        <v>2</v>
      </c>
      <c r="G204" s="758">
        <v>2</v>
      </c>
      <c r="H204" s="758">
        <v>2</v>
      </c>
      <c r="I204" s="758">
        <v>2</v>
      </c>
      <c r="J204" s="758">
        <v>2</v>
      </c>
      <c r="K204" s="758">
        <v>2</v>
      </c>
      <c r="L204" s="758">
        <v>2</v>
      </c>
      <c r="M204" s="758">
        <v>2</v>
      </c>
      <c r="N204" s="758">
        <v>2</v>
      </c>
      <c r="O204" s="758">
        <v>2</v>
      </c>
      <c r="P204" s="758">
        <v>2</v>
      </c>
      <c r="Q204" s="758">
        <v>2</v>
      </c>
      <c r="R204" s="758">
        <v>2</v>
      </c>
      <c r="T204" s="768">
        <f t="shared" si="537"/>
        <v>2</v>
      </c>
      <c r="U204" s="182"/>
      <c r="V204" s="849"/>
      <c r="W204" s="768"/>
      <c r="X204" s="850">
        <f>'Manuell filtrering og justering'!E87</f>
        <v>0</v>
      </c>
      <c r="Y204" s="895"/>
      <c r="Z204" s="782">
        <f>SUM(AB205:AB206)</f>
        <v>2</v>
      </c>
      <c r="AA204" s="768">
        <f t="shared" si="538"/>
        <v>0</v>
      </c>
      <c r="AB204" s="820">
        <f>SUM(AB205:AB206)</f>
        <v>2</v>
      </c>
      <c r="AD204" s="141">
        <f t="shared" si="539"/>
        <v>1.1428571428571429E-2</v>
      </c>
      <c r="AE204" s="736">
        <f>IF(SUM(AE205:AE206)&gt;$AD$204,$AD$204,SUM(AE205:AE206))</f>
        <v>0</v>
      </c>
      <c r="AF204" s="736">
        <f>IF(SUM(AF205:AF206)&gt;$AD$204,$AD$204,SUM(AF205:AF206))</f>
        <v>0</v>
      </c>
      <c r="AG204" s="736">
        <f>IF(SUM(AG205:AG206)&gt;$AD$204,$AD$204,SUM(AG205:AG206))</f>
        <v>0</v>
      </c>
      <c r="AI204" s="763">
        <f>IF(SUM(AI205:AI206)&gt;Pol02_credits,Pol02_credits,SUM(AI205:AI206))</f>
        <v>0</v>
      </c>
      <c r="AJ204" s="763">
        <f>IF(SUM(AJ205:AJ206)&gt;Pol02_credits,Pol02_credits,SUM(AJ205:AJ206))</f>
        <v>0</v>
      </c>
      <c r="AK204" s="763">
        <f>IF(SUM(AK205:AK206)&gt;Pol02_credits,Pol02_credits,SUM(AK205:AK206))</f>
        <v>0</v>
      </c>
      <c r="AL204" t="s">
        <v>223</v>
      </c>
      <c r="AM204" s="243"/>
      <c r="AN204" s="244"/>
      <c r="AO204" s="244"/>
      <c r="AP204" s="244"/>
      <c r="AQ204" s="245"/>
      <c r="AR204" s="114"/>
      <c r="AS204" s="243"/>
      <c r="AT204" s="244"/>
      <c r="AU204" s="244"/>
      <c r="AV204" s="244"/>
      <c r="AW204" s="245"/>
      <c r="AY204" s="137"/>
      <c r="AZ204" s="35"/>
      <c r="BA204" s="35"/>
      <c r="BB204" s="35"/>
      <c r="BC204" s="138">
        <f t="shared" si="540"/>
        <v>0</v>
      </c>
      <c r="BD204" s="151">
        <f t="shared" si="461"/>
        <v>9</v>
      </c>
      <c r="BE204" s="37" t="str">
        <f t="shared" si="541"/>
        <v>N/A</v>
      </c>
      <c r="BF204" s="154"/>
      <c r="BG204" s="151">
        <f>IF(BC204=0,9,IF(AJ204&gt;=BC204,5,IF(AJ204&gt;=BB204,4,IF(AJ204&gt;=BA204,3,IF(AJ204&gt;=AZ204,2,IF(AJ204&lt;AY204,0,1))))))</f>
        <v>9</v>
      </c>
      <c r="BH204" s="37" t="str">
        <f t="shared" si="542"/>
        <v>N/A</v>
      </c>
      <c r="BI204" s="154"/>
      <c r="BJ204" s="151">
        <f t="shared" si="444"/>
        <v>9</v>
      </c>
      <c r="BK204" s="37" t="str">
        <f t="shared" si="543"/>
        <v>N/A</v>
      </c>
      <c r="BL204" s="154"/>
      <c r="BO204" s="35"/>
      <c r="BP204" s="35"/>
      <c r="BQ204" s="35" t="str">
        <f t="shared" si="551"/>
        <v/>
      </c>
      <c r="BR204" s="35">
        <f t="shared" si="396"/>
        <v>9</v>
      </c>
      <c r="BS204" s="35">
        <f t="shared" si="397"/>
        <v>9</v>
      </c>
      <c r="BT204" s="35">
        <f t="shared" si="398"/>
        <v>9</v>
      </c>
      <c r="BW204" s="35" t="str">
        <f>D204</f>
        <v>POL 02</v>
      </c>
      <c r="BX204" s="35" t="str">
        <f>IFERROR(VLOOKUP($E204,'Pre-Assessment Estimator'!$E$11:$AB$227,'Pre-Assessment Estimator'!AB$2,FALSE),"")</f>
        <v>No</v>
      </c>
      <c r="BY204" s="53" t="str">
        <f>IFERROR(VLOOKUP($E204,'Pre-Assessment Estimator'!$E$11:$AI$227,'Pre-Assessment Estimator'!AI$2,FALSE),"")</f>
        <v>Ja</v>
      </c>
      <c r="BZ204" s="35">
        <f>IFERROR(VLOOKUP($BX204,$E$293:$H$326,F$291,FALSE),"")</f>
        <v>1</v>
      </c>
      <c r="CA204" s="529" t="s">
        <v>851</v>
      </c>
      <c r="CB204" s="35"/>
      <c r="CC204" t="str">
        <f>IFERROR(VLOOKUP($BX204,$E$293:$H$326,I$291,FALSE),"")</f>
        <v/>
      </c>
      <c r="CD204" t="s">
        <v>898</v>
      </c>
      <c r="CE204" s="35">
        <f>VLOOKUP(CA204,$CA$4:$CB$5,2,FALSE)</f>
        <v>1</v>
      </c>
      <c r="CG204" s="54">
        <f>IF($BX$5=ais_nei,CE204,IF(AND(CA204=$CA$4,BX204=$CC$4),0,BZ204))</f>
        <v>1</v>
      </c>
    </row>
    <row r="205" spans="1:85">
      <c r="A205">
        <v>197</v>
      </c>
      <c r="B205" t="str">
        <f t="shared" ref="B205:B206" si="552">$D$204&amp;D205</f>
        <v>POL 02a</v>
      </c>
      <c r="C205" t="str">
        <f t="shared" ref="C205:C213" si="553">C204</f>
        <v>POL 02</v>
      </c>
      <c r="D205" s="137" t="s">
        <v>729</v>
      </c>
      <c r="E205" s="732" t="s">
        <v>925</v>
      </c>
      <c r="F205" s="607">
        <v>2</v>
      </c>
      <c r="G205" s="607">
        <v>2</v>
      </c>
      <c r="H205" s="607">
        <v>2</v>
      </c>
      <c r="I205" s="607">
        <v>2</v>
      </c>
      <c r="J205" s="607">
        <v>2</v>
      </c>
      <c r="K205" s="607">
        <v>2</v>
      </c>
      <c r="L205" s="607">
        <v>2</v>
      </c>
      <c r="M205" s="607">
        <v>2</v>
      </c>
      <c r="N205" s="607">
        <v>2</v>
      </c>
      <c r="O205" s="607">
        <v>2</v>
      </c>
      <c r="P205" s="607">
        <v>2</v>
      </c>
      <c r="Q205" s="607">
        <v>2</v>
      </c>
      <c r="R205" s="607">
        <v>2</v>
      </c>
      <c r="T205" s="139">
        <f t="shared" si="537"/>
        <v>2</v>
      </c>
      <c r="U205" s="954">
        <f>IF('Assessment Details'!F25='Assessment Details'!J30,0,IF('Assessment Details'!F25="",0,Poeng!T205))</f>
        <v>0</v>
      </c>
      <c r="V205" s="138"/>
      <c r="W205" s="812">
        <f>IF('Assessment Details'!F25='Assessment Details'!J30,0,IF('Assessment Details'!F25="",0,Poeng!Z205))</f>
        <v>0</v>
      </c>
      <c r="X205" s="195"/>
      <c r="Y205" s="139">
        <f>IF($Y$4=$Y$6,T205,0)</f>
        <v>0</v>
      </c>
      <c r="Z205" s="138">
        <f>VLOOKUP(B205,'Manuell filtrering og justering'!$A$7:$H$253,'Manuell filtrering og justering'!$H$1,FALSE)</f>
        <v>2</v>
      </c>
      <c r="AA205" s="139">
        <f t="shared" si="538"/>
        <v>0</v>
      </c>
      <c r="AB205" s="813">
        <f>IF($AC$5='Manuell filtrering og justering'!$J$2,Z205-W205,(T205-AA205))</f>
        <v>2</v>
      </c>
      <c r="AD205" s="141">
        <f t="shared" si="539"/>
        <v>1.1428571428571429E-2</v>
      </c>
      <c r="AE205" s="141">
        <f t="shared" si="545"/>
        <v>0</v>
      </c>
      <c r="AF205" s="141">
        <f t="shared" si="546"/>
        <v>0</v>
      </c>
      <c r="AG205" s="141">
        <f t="shared" si="547"/>
        <v>0</v>
      </c>
      <c r="AI205" s="142">
        <f>IF(VLOOKUP(E205,'Pre-Assessment Estimator'!$E$11:$Z$227,'Pre-Assessment Estimator'!$G$2,FALSE)&gt;AB205,AB205,VLOOKUP(E205,'Pre-Assessment Estimator'!$E$11:$Z$227,'Pre-Assessment Estimator'!$G$2,FALSE))</f>
        <v>0</v>
      </c>
      <c r="AJ205" s="142">
        <f>IF(VLOOKUP(E205,'Pre-Assessment Estimator'!$E$11:$Z$227,'Pre-Assessment Estimator'!$N$2,FALSE)&gt;AB205,AB205,VLOOKUP(E205,'Pre-Assessment Estimator'!$E$11:$Z$227,'Pre-Assessment Estimator'!$N$2,FALSE))</f>
        <v>0</v>
      </c>
      <c r="AK205" s="142">
        <f>IF(VLOOKUP(E205,'Pre-Assessment Estimator'!$E$11:$Z$227,'Pre-Assessment Estimator'!$U$2,FALSE)&gt;AB205,AB205,VLOOKUP(E205,'Pre-Assessment Estimator'!$E$11:$Z$227,'Pre-Assessment Estimator'!$U$2,FALSE))</f>
        <v>0</v>
      </c>
      <c r="AM205" s="243"/>
      <c r="AN205" s="244"/>
      <c r="AO205" s="244"/>
      <c r="AP205" s="244"/>
      <c r="AQ205" s="245"/>
      <c r="AR205" s="114"/>
      <c r="AS205" s="243"/>
      <c r="AT205" s="244"/>
      <c r="AU205" s="244"/>
      <c r="AV205" s="244"/>
      <c r="AW205" s="245"/>
      <c r="AY205" s="137"/>
      <c r="AZ205" s="35"/>
      <c r="BA205" s="35"/>
      <c r="BB205" s="35"/>
      <c r="BC205" s="138"/>
      <c r="BD205" s="151">
        <f t="shared" si="461"/>
        <v>9</v>
      </c>
      <c r="BE205" s="37" t="str">
        <f t="shared" si="541"/>
        <v>N/A</v>
      </c>
      <c r="BF205" s="154"/>
      <c r="BG205" s="151">
        <f t="shared" ref="BG205:BG210" si="554">IF(BC205=0,9,IF(AJ205&gt;=BC205,5,IF(AJ205&gt;=BB205,4,IF(AJ205&gt;=BA205,3,IF(AJ205&gt;=AZ205,2,IF(AJ205&lt;AY205,0,1))))))</f>
        <v>9</v>
      </c>
      <c r="BH205" s="37" t="str">
        <f t="shared" si="542"/>
        <v>N/A</v>
      </c>
      <c r="BI205" s="154"/>
      <c r="BJ205" s="151">
        <f t="shared" si="444"/>
        <v>9</v>
      </c>
      <c r="BK205" s="37" t="str">
        <f t="shared" si="543"/>
        <v>N/A</v>
      </c>
      <c r="BL205" s="154"/>
      <c r="BO205" s="35"/>
      <c r="BP205" s="35"/>
      <c r="BQ205" s="35" t="str">
        <f t="shared" si="551"/>
        <v/>
      </c>
      <c r="BR205" s="35">
        <f t="shared" si="396"/>
        <v>9</v>
      </c>
      <c r="BS205" s="35">
        <f t="shared" si="397"/>
        <v>9</v>
      </c>
      <c r="BT205" s="35">
        <f t="shared" si="398"/>
        <v>9</v>
      </c>
      <c r="BW205" s="35"/>
      <c r="BX205" s="35"/>
      <c r="BY205" s="53"/>
      <c r="BZ205" s="35"/>
      <c r="CA205" s="529"/>
      <c r="CB205" s="35"/>
      <c r="CG205" s="54"/>
    </row>
    <row r="206" spans="1:85">
      <c r="A206">
        <v>198</v>
      </c>
      <c r="B206" t="str">
        <f t="shared" si="552"/>
        <v>POL 02b</v>
      </c>
      <c r="C206" t="str">
        <f t="shared" si="553"/>
        <v>POL 02</v>
      </c>
      <c r="D206" s="137" t="s">
        <v>730</v>
      </c>
      <c r="E206" s="732" t="s">
        <v>926</v>
      </c>
      <c r="F206" s="607">
        <v>2</v>
      </c>
      <c r="G206" s="607">
        <v>2</v>
      </c>
      <c r="H206" s="607">
        <v>2</v>
      </c>
      <c r="I206" s="607">
        <v>2</v>
      </c>
      <c r="J206" s="607">
        <v>2</v>
      </c>
      <c r="K206" s="607">
        <v>2</v>
      </c>
      <c r="L206" s="607">
        <v>2</v>
      </c>
      <c r="M206" s="607">
        <v>2</v>
      </c>
      <c r="N206" s="607">
        <v>2</v>
      </c>
      <c r="O206" s="607">
        <v>2</v>
      </c>
      <c r="P206" s="607">
        <v>2</v>
      </c>
      <c r="Q206" s="607">
        <v>2</v>
      </c>
      <c r="R206" s="607">
        <v>2</v>
      </c>
      <c r="T206" s="139">
        <f t="shared" si="537"/>
        <v>2</v>
      </c>
      <c r="U206" s="182">
        <f>IF('Assessment Details'!F25='Assessment Details'!J31,0,Poeng!T206)</f>
        <v>2</v>
      </c>
      <c r="V206" s="138"/>
      <c r="W206" s="768">
        <f>IF('Assessment Details'!F25='Assessment Details'!J31,0,Poeng!Z206)</f>
        <v>2</v>
      </c>
      <c r="X206" s="195"/>
      <c r="Y206" s="139">
        <f>IF($Y$4=$Y$6,T206,0)</f>
        <v>0</v>
      </c>
      <c r="Z206" s="138">
        <f>VLOOKUP(B206,'Manuell filtrering og justering'!$A$7:$H$253,'Manuell filtrering og justering'!$H$1,FALSE)</f>
        <v>2</v>
      </c>
      <c r="AA206" s="139">
        <f t="shared" si="538"/>
        <v>2</v>
      </c>
      <c r="AB206" s="813">
        <f>IF($AC$5='Manuell filtrering og justering'!$J$2,Z206-W206,(T206-AA206))</f>
        <v>0</v>
      </c>
      <c r="AD206" s="141">
        <f t="shared" si="539"/>
        <v>0</v>
      </c>
      <c r="AE206" s="141">
        <f t="shared" si="545"/>
        <v>0</v>
      </c>
      <c r="AF206" s="141">
        <f t="shared" si="546"/>
        <v>0</v>
      </c>
      <c r="AG206" s="141">
        <f t="shared" si="547"/>
        <v>0</v>
      </c>
      <c r="AI206" s="142">
        <f>IF(VLOOKUP(E206,'Pre-Assessment Estimator'!$E$11:$Z$227,'Pre-Assessment Estimator'!$G$2,FALSE)&gt;AB206,AB206,VLOOKUP(E206,'Pre-Assessment Estimator'!$E$11:$Z$227,'Pre-Assessment Estimator'!$G$2,FALSE))</f>
        <v>0</v>
      </c>
      <c r="AJ206" s="142">
        <f>IF(VLOOKUP(E206,'Pre-Assessment Estimator'!$E$11:$Z$227,'Pre-Assessment Estimator'!$N$2,FALSE)&gt;AB206,AB206,VLOOKUP(E206,'Pre-Assessment Estimator'!$E$11:$Z$227,'Pre-Assessment Estimator'!$N$2,FALSE))</f>
        <v>0</v>
      </c>
      <c r="AK206" s="142">
        <f>IF(VLOOKUP(E206,'Pre-Assessment Estimator'!$E$11:$Z$227,'Pre-Assessment Estimator'!$U$2,FALSE)&gt;AB206,AB206,VLOOKUP(E206,'Pre-Assessment Estimator'!$E$11:$Z$227,'Pre-Assessment Estimator'!$U$2,FALSE))</f>
        <v>0</v>
      </c>
      <c r="AM206" s="243"/>
      <c r="AN206" s="244"/>
      <c r="AO206" s="244"/>
      <c r="AP206" s="244"/>
      <c r="AQ206" s="245"/>
      <c r="AR206" s="114"/>
      <c r="AS206" s="243"/>
      <c r="AT206" s="244"/>
      <c r="AU206" s="244"/>
      <c r="AV206" s="244"/>
      <c r="AW206" s="245"/>
      <c r="AY206" s="137"/>
      <c r="AZ206" s="35"/>
      <c r="BA206" s="35"/>
      <c r="BB206" s="35"/>
      <c r="BC206" s="138"/>
      <c r="BD206" s="151">
        <f t="shared" si="461"/>
        <v>9</v>
      </c>
      <c r="BE206" s="37" t="str">
        <f t="shared" si="541"/>
        <v>N/A</v>
      </c>
      <c r="BF206" s="154"/>
      <c r="BG206" s="151">
        <f t="shared" si="554"/>
        <v>9</v>
      </c>
      <c r="BH206" s="37" t="str">
        <f t="shared" si="542"/>
        <v>N/A</v>
      </c>
      <c r="BI206" s="154"/>
      <c r="BJ206" s="151">
        <f t="shared" si="444"/>
        <v>9</v>
      </c>
      <c r="BK206" s="37" t="str">
        <f t="shared" si="543"/>
        <v>N/A</v>
      </c>
      <c r="BL206" s="154"/>
      <c r="BO206" s="35"/>
      <c r="BP206" s="35"/>
      <c r="BQ206" s="35" t="str">
        <f t="shared" si="551"/>
        <v/>
      </c>
      <c r="BR206" s="35">
        <f t="shared" si="396"/>
        <v>9</v>
      </c>
      <c r="BS206" s="35">
        <f t="shared" si="397"/>
        <v>9</v>
      </c>
      <c r="BT206" s="35">
        <f t="shared" si="398"/>
        <v>9</v>
      </c>
      <c r="BW206" s="35"/>
      <c r="BX206" s="35"/>
      <c r="BY206" s="53"/>
      <c r="BZ206" s="35"/>
      <c r="CA206" s="529"/>
      <c r="CB206" s="35"/>
      <c r="CG206" s="54"/>
    </row>
    <row r="207" spans="1:85">
      <c r="A207">
        <v>199</v>
      </c>
      <c r="D207" s="548" t="s">
        <v>819</v>
      </c>
      <c r="E207" s="547"/>
      <c r="F207" s="749"/>
      <c r="G207" s="749"/>
      <c r="H207" s="749"/>
      <c r="I207" s="749"/>
      <c r="J207" s="749"/>
      <c r="K207" s="749"/>
      <c r="L207" s="749"/>
      <c r="M207" s="749"/>
      <c r="N207" s="749"/>
      <c r="O207" s="749"/>
      <c r="P207" s="749"/>
      <c r="Q207" s="749"/>
      <c r="R207" s="749"/>
      <c r="T207" s="761"/>
      <c r="U207" s="548"/>
      <c r="V207" s="760"/>
      <c r="W207" s="761"/>
      <c r="X207" s="852"/>
      <c r="Y207" s="894"/>
      <c r="Z207" s="138"/>
      <c r="AA207" s="761"/>
      <c r="AB207" s="762"/>
      <c r="AD207" s="141">
        <f t="shared" si="539"/>
        <v>0</v>
      </c>
      <c r="AE207" s="765"/>
      <c r="AF207" s="765"/>
      <c r="AG207" s="765"/>
      <c r="AI207" s="562"/>
      <c r="AJ207" s="562"/>
      <c r="AK207" s="562"/>
      <c r="AM207" s="243"/>
      <c r="AN207" s="244"/>
      <c r="AO207" s="244"/>
      <c r="AP207" s="244"/>
      <c r="AQ207" s="245"/>
      <c r="AR207" s="114"/>
      <c r="AS207" s="243"/>
      <c r="AT207" s="244"/>
      <c r="AU207" s="244"/>
      <c r="AV207" s="244"/>
      <c r="AW207" s="245"/>
      <c r="AY207" s="137"/>
      <c r="AZ207" s="35"/>
      <c r="BA207" s="35"/>
      <c r="BB207" s="35"/>
      <c r="BC207" s="138">
        <f t="shared" si="540"/>
        <v>0</v>
      </c>
      <c r="BD207" s="151">
        <f t="shared" si="461"/>
        <v>9</v>
      </c>
      <c r="BE207" s="37" t="str">
        <f t="shared" si="541"/>
        <v>N/A</v>
      </c>
      <c r="BF207" s="154"/>
      <c r="BG207" s="151">
        <f t="shared" si="554"/>
        <v>9</v>
      </c>
      <c r="BH207" s="37" t="str">
        <f t="shared" si="542"/>
        <v>N/A</v>
      </c>
      <c r="BI207" s="154"/>
      <c r="BJ207" s="151">
        <f t="shared" si="444"/>
        <v>9</v>
      </c>
      <c r="BK207" s="37" t="str">
        <f t="shared" si="543"/>
        <v>N/A</v>
      </c>
      <c r="BL207" s="154"/>
      <c r="BO207" s="35"/>
      <c r="BP207" s="35"/>
      <c r="BQ207" s="35" t="str">
        <f t="shared" si="551"/>
        <v/>
      </c>
      <c r="BR207" s="35">
        <f t="shared" si="396"/>
        <v>9</v>
      </c>
      <c r="BS207" s="35">
        <f t="shared" si="397"/>
        <v>9</v>
      </c>
      <c r="BT207" s="35">
        <f t="shared" si="398"/>
        <v>9</v>
      </c>
      <c r="BW207" s="35" t="str">
        <f>D207</f>
        <v>POL 03</v>
      </c>
      <c r="BX207" s="35" t="str">
        <f>IFERROR(VLOOKUP($E207,'Pre-Assessment Estimator'!$E$11:$AB$227,'Pre-Assessment Estimator'!AB$2,FALSE),"")</f>
        <v/>
      </c>
      <c r="BY207" s="35" t="str">
        <f>IFERROR(VLOOKUP($E207,'Pre-Assessment Estimator'!$E$11:$AI$227,'Pre-Assessment Estimator'!AI$2,FALSE),"")</f>
        <v/>
      </c>
      <c r="BZ207" s="35" t="str">
        <f>IFERROR(VLOOKUP($BX207,$E$293:$H$326,F$291,FALSE),"")</f>
        <v/>
      </c>
      <c r="CA207" s="35" t="str">
        <f>IFERROR(VLOOKUP($BX207,$E$293:$H$326,G$291,FALSE),"")</f>
        <v/>
      </c>
      <c r="CB207" s="35"/>
      <c r="CC207" t="str">
        <f>IFERROR(VLOOKUP($BX207,$E$293:$H$326,I$291,FALSE),"")</f>
        <v/>
      </c>
    </row>
    <row r="208" spans="1:85">
      <c r="A208">
        <v>200</v>
      </c>
      <c r="B208" s="112" t="str">
        <f>D208</f>
        <v>POL 04</v>
      </c>
      <c r="C208" s="112" t="str">
        <f>B208</f>
        <v>POL 04</v>
      </c>
      <c r="D208" s="663" t="s">
        <v>512</v>
      </c>
      <c r="E208" s="661" t="s">
        <v>513</v>
      </c>
      <c r="F208" s="758">
        <v>1</v>
      </c>
      <c r="G208" s="758">
        <v>1</v>
      </c>
      <c r="H208" s="758">
        <v>1</v>
      </c>
      <c r="I208" s="758">
        <v>1</v>
      </c>
      <c r="J208" s="758">
        <v>1</v>
      </c>
      <c r="K208" s="758">
        <v>1</v>
      </c>
      <c r="L208" s="758">
        <v>1</v>
      </c>
      <c r="M208" s="758">
        <v>1</v>
      </c>
      <c r="N208" s="758">
        <v>1</v>
      </c>
      <c r="O208" s="758">
        <v>1</v>
      </c>
      <c r="P208" s="758">
        <v>1</v>
      </c>
      <c r="Q208" s="758">
        <v>1</v>
      </c>
      <c r="R208" s="758">
        <v>1</v>
      </c>
      <c r="T208" s="768">
        <f t="shared" ref="T208:T214" si="555">HLOOKUP($E$6,$F$9:$R$231,$A208,FALSE)</f>
        <v>1</v>
      </c>
      <c r="U208" s="182"/>
      <c r="V208" s="849"/>
      <c r="W208" s="768"/>
      <c r="X208" s="850">
        <f>'Manuell filtrering og justering'!E89</f>
        <v>0</v>
      </c>
      <c r="Y208" s="895"/>
      <c r="Z208" s="782">
        <f>SUM(AB209:AB210)</f>
        <v>1</v>
      </c>
      <c r="AA208" s="768">
        <f t="shared" ref="AA208:AA213" si="556">IF(SUM(U208:Y208)&gt;T208,T208,SUM(U208:Y208))</f>
        <v>0</v>
      </c>
      <c r="AB208" s="820">
        <f>SUM(AB209:AB210)</f>
        <v>1</v>
      </c>
      <c r="AD208" s="141">
        <f t="shared" si="539"/>
        <v>5.7142857142857143E-3</v>
      </c>
      <c r="AE208" s="736">
        <f>IF(SUM(AE209:AE210)&gt;$AD$208,$AD$208,SUM(AE209:AE210))</f>
        <v>0</v>
      </c>
      <c r="AF208" s="736">
        <f>IF(SUM(AF209:AF210)&gt;$AD$208,$AD$208,SUM(AF209:AF210))</f>
        <v>0</v>
      </c>
      <c r="AG208" s="736">
        <f>IF(SUM(AG209:AG210)&gt;$AD$208,$AD$208,SUM(AG209:AG210))</f>
        <v>0</v>
      </c>
      <c r="AI208" s="763">
        <f>IF(SUM(AI209:AI210)&gt;Pol04_credits,Pol04_credits,SUM(AI209:AI210))</f>
        <v>0</v>
      </c>
      <c r="AJ208" s="763">
        <f>IF(SUM(AJ209:AJ210)&gt;Pol04_credits,Pol04_credits,SUM(AJ209:AJ210))</f>
        <v>0</v>
      </c>
      <c r="AK208" s="763">
        <f>IF(SUM(AK209:AK210)&gt;Pol04_credits,Pol04_credits,SUM(AK209:AK210))</f>
        <v>0</v>
      </c>
      <c r="AL208" t="s">
        <v>223</v>
      </c>
      <c r="AM208" s="243"/>
      <c r="AN208" s="244"/>
      <c r="AO208" s="244"/>
      <c r="AP208" s="244"/>
      <c r="AQ208" s="245"/>
      <c r="AR208" s="114"/>
      <c r="AS208" s="243"/>
      <c r="AT208" s="244"/>
      <c r="AU208" s="244"/>
      <c r="AV208" s="244"/>
      <c r="AW208" s="245"/>
      <c r="AY208" s="137"/>
      <c r="AZ208" s="35"/>
      <c r="BA208" s="35"/>
      <c r="BB208" s="35"/>
      <c r="BC208" s="138">
        <f t="shared" si="540"/>
        <v>0</v>
      </c>
      <c r="BD208" s="151">
        <f t="shared" ref="BD208:BD210" si="557">IF(BC208=0,9,IF(AI208&gt;=BC208,5,IF(AI208&gt;=BB208,4,IF(AI208&gt;=BA208,3,IF(AI208&gt;=AZ208,2,IF(AI208&lt;AY208,0,1))))))</f>
        <v>9</v>
      </c>
      <c r="BE208" s="37" t="str">
        <f t="shared" si="541"/>
        <v>N/A</v>
      </c>
      <c r="BF208" s="154"/>
      <c r="BG208" s="151">
        <f t="shared" si="554"/>
        <v>9</v>
      </c>
      <c r="BH208" s="37" t="str">
        <f t="shared" si="542"/>
        <v>N/A</v>
      </c>
      <c r="BI208" s="154"/>
      <c r="BJ208" s="151">
        <f t="shared" ref="BJ208:BJ210" si="558">IF(BC208=0,9,IF(AK208&gt;=BC208,5,IF(AK208&gt;=BB208,4,IF(AK208&gt;=BA208,3,IF(AK208&gt;=AZ208,2,IF(AK208&lt;AY208,0,1))))))</f>
        <v>9</v>
      </c>
      <c r="BK208" s="37" t="str">
        <f t="shared" si="543"/>
        <v>N/A</v>
      </c>
      <c r="BL208" s="154"/>
      <c r="BO208" s="35"/>
      <c r="BP208" s="35"/>
      <c r="BQ208" s="35" t="str">
        <f t="shared" si="551"/>
        <v/>
      </c>
      <c r="BR208" s="35">
        <f t="shared" si="396"/>
        <v>9</v>
      </c>
      <c r="BS208" s="35">
        <f t="shared" si="397"/>
        <v>9</v>
      </c>
      <c r="BT208" s="35">
        <f t="shared" si="398"/>
        <v>9</v>
      </c>
      <c r="BW208" s="35" t="str">
        <f>D208</f>
        <v>POL 04</v>
      </c>
      <c r="BX208" s="35" t="str">
        <f>IFERROR(VLOOKUP($E208,'Pre-Assessment Estimator'!$E$11:$AB$227,'Pre-Assessment Estimator'!AB$2,FALSE),"")</f>
        <v>No</v>
      </c>
      <c r="BY208" s="53" t="str">
        <f>IFERROR(VLOOKUP($E208,'Pre-Assessment Estimator'!$E$11:$AI$227,'Pre-Assessment Estimator'!AI$2,FALSE),"")</f>
        <v>Ja</v>
      </c>
      <c r="BZ208" s="35">
        <f>IFERROR(VLOOKUP($BX208,$E$293:$H$326,F$291,FALSE),"")</f>
        <v>1</v>
      </c>
      <c r="CA208" s="529" t="s">
        <v>851</v>
      </c>
      <c r="CB208" s="35"/>
      <c r="CC208" t="str">
        <f>IFERROR(VLOOKUP($BX208,$E$293:$H$326,I$291,FALSE),"")</f>
        <v/>
      </c>
      <c r="CD208" t="s">
        <v>898</v>
      </c>
      <c r="CE208" s="35">
        <f>VLOOKUP(CA208,$CA$4:$CB$5,2,FALSE)</f>
        <v>1</v>
      </c>
      <c r="CG208" s="54">
        <f>IF($BX$5=ais_nei,CE208,IF(AND(CA208=$CA$4,BX208=$CC$4),0,BZ208))</f>
        <v>1</v>
      </c>
    </row>
    <row r="209" spans="1:85">
      <c r="A209">
        <v>201</v>
      </c>
      <c r="B209" t="str">
        <f t="shared" ref="B209:B210" si="559">$D$208&amp;D209</f>
        <v>POL 04a</v>
      </c>
      <c r="C209" t="str">
        <f t="shared" si="553"/>
        <v>POL 04</v>
      </c>
      <c r="D209" s="137" t="s">
        <v>729</v>
      </c>
      <c r="E209" s="732" t="s">
        <v>820</v>
      </c>
      <c r="F209" s="607">
        <v>1</v>
      </c>
      <c r="G209" s="607">
        <v>1</v>
      </c>
      <c r="H209" s="607">
        <v>1</v>
      </c>
      <c r="I209" s="607">
        <v>1</v>
      </c>
      <c r="J209" s="607">
        <v>1</v>
      </c>
      <c r="K209" s="607">
        <v>1</v>
      </c>
      <c r="L209" s="607">
        <v>1</v>
      </c>
      <c r="M209" s="607">
        <v>1</v>
      </c>
      <c r="N209" s="607">
        <v>1</v>
      </c>
      <c r="O209" s="607">
        <v>1</v>
      </c>
      <c r="P209" s="607">
        <v>1</v>
      </c>
      <c r="Q209" s="607">
        <v>1</v>
      </c>
      <c r="R209" s="607">
        <v>1</v>
      </c>
      <c r="T209" s="139">
        <f t="shared" si="555"/>
        <v>1</v>
      </c>
      <c r="U209" s="182">
        <f>IF('Assessment Details'!F18=AD_Yes,Poeng!T209,0)</f>
        <v>0</v>
      </c>
      <c r="V209" s="138"/>
      <c r="W209" s="768">
        <f>IF('Assessment Details'!F18=AD_Yes,Poeng!Z209,0)</f>
        <v>0</v>
      </c>
      <c r="X209" s="195"/>
      <c r="Y209" s="894"/>
      <c r="Z209" s="138">
        <f>VLOOKUP(B209,'Manuell filtrering og justering'!$A$7:$H$253,'Manuell filtrering og justering'!$H$1,FALSE)</f>
        <v>1</v>
      </c>
      <c r="AA209" s="139">
        <f t="shared" si="556"/>
        <v>0</v>
      </c>
      <c r="AB209" s="813">
        <f>IF($AC$5='Manuell filtrering og justering'!$J$2,Z209-W209,(T209-AA209))</f>
        <v>1</v>
      </c>
      <c r="AD209" s="141">
        <f t="shared" si="539"/>
        <v>5.7142857142857143E-3</v>
      </c>
      <c r="AE209" s="141">
        <f t="shared" si="545"/>
        <v>0</v>
      </c>
      <c r="AF209" s="141">
        <f t="shared" si="546"/>
        <v>0</v>
      </c>
      <c r="AG209" s="141">
        <f t="shared" si="547"/>
        <v>0</v>
      </c>
      <c r="AI209" s="142">
        <f>IF(VLOOKUP(E209,'Pre-Assessment Estimator'!$E$11:$Z$227,'Pre-Assessment Estimator'!$G$2,FALSE)&gt;AB209,AB209,VLOOKUP(E209,'Pre-Assessment Estimator'!$E$11:$Z$227,'Pre-Assessment Estimator'!$G$2,FALSE))</f>
        <v>0</v>
      </c>
      <c r="AJ209" s="142">
        <f>IF(VLOOKUP(E209,'Pre-Assessment Estimator'!$E$11:$Z$227,'Pre-Assessment Estimator'!$N$2,FALSE)&gt;AB209,AB209,VLOOKUP(E209,'Pre-Assessment Estimator'!$E$11:$Z$227,'Pre-Assessment Estimator'!$N$2,FALSE))</f>
        <v>0</v>
      </c>
      <c r="AK209" s="142">
        <f>IF(VLOOKUP(E209,'Pre-Assessment Estimator'!$E$11:$Z$227,'Pre-Assessment Estimator'!$U$2,FALSE)&gt;AB209,AB209,VLOOKUP(E209,'Pre-Assessment Estimator'!$E$11:$Z$227,'Pre-Assessment Estimator'!$U$2,FALSE))</f>
        <v>0</v>
      </c>
      <c r="AM209" s="678"/>
      <c r="AN209" s="679"/>
      <c r="AO209" s="679"/>
      <c r="AP209" s="679"/>
      <c r="AQ209" s="671"/>
      <c r="AR209" s="114"/>
      <c r="AS209" s="678"/>
      <c r="AT209" s="679"/>
      <c r="AU209" s="679"/>
      <c r="AV209" s="679"/>
      <c r="AW209" s="671"/>
      <c r="AY209" s="158"/>
      <c r="AZ209" s="40"/>
      <c r="BA209" s="40"/>
      <c r="BB209" s="40"/>
      <c r="BC209" s="680"/>
      <c r="BD209" s="151">
        <f t="shared" si="557"/>
        <v>9</v>
      </c>
      <c r="BE209" s="37" t="str">
        <f t="shared" si="541"/>
        <v>N/A</v>
      </c>
      <c r="BF209" s="154"/>
      <c r="BG209" s="151">
        <f t="shared" si="554"/>
        <v>9</v>
      </c>
      <c r="BH209" s="37" t="str">
        <f t="shared" si="542"/>
        <v>N/A</v>
      </c>
      <c r="BI209" s="154"/>
      <c r="BJ209" s="151">
        <f t="shared" si="558"/>
        <v>9</v>
      </c>
      <c r="BK209" s="37" t="str">
        <f t="shared" si="543"/>
        <v>N/A</v>
      </c>
      <c r="BL209" s="675"/>
      <c r="BO209" s="35"/>
      <c r="BP209" s="35"/>
      <c r="BQ209" s="35" t="str">
        <f t="shared" si="551"/>
        <v/>
      </c>
      <c r="BR209" s="35">
        <f t="shared" si="396"/>
        <v>9</v>
      </c>
      <c r="BS209" s="35">
        <f t="shared" si="397"/>
        <v>9</v>
      </c>
      <c r="BT209" s="35">
        <f t="shared" si="398"/>
        <v>9</v>
      </c>
      <c r="BW209" s="35"/>
      <c r="BX209" s="35"/>
      <c r="BY209" s="53"/>
      <c r="BZ209" s="35"/>
      <c r="CA209" s="529"/>
      <c r="CB209" s="35"/>
      <c r="CE209" s="35"/>
      <c r="CG209" s="54"/>
    </row>
    <row r="210" spans="1:85">
      <c r="A210">
        <v>202</v>
      </c>
      <c r="B210" t="str">
        <f t="shared" si="559"/>
        <v>POL 04b</v>
      </c>
      <c r="C210" t="str">
        <f t="shared" si="553"/>
        <v>POL 04</v>
      </c>
      <c r="D210" s="137" t="s">
        <v>730</v>
      </c>
      <c r="E210" s="732" t="s">
        <v>821</v>
      </c>
      <c r="F210" s="607">
        <v>1</v>
      </c>
      <c r="G210" s="607">
        <v>1</v>
      </c>
      <c r="H210" s="607">
        <v>1</v>
      </c>
      <c r="I210" s="607">
        <v>1</v>
      </c>
      <c r="J210" s="607">
        <v>1</v>
      </c>
      <c r="K210" s="607">
        <v>1</v>
      </c>
      <c r="L210" s="607">
        <v>1</v>
      </c>
      <c r="M210" s="607">
        <v>1</v>
      </c>
      <c r="N210" s="607">
        <v>1</v>
      </c>
      <c r="O210" s="607">
        <v>1</v>
      </c>
      <c r="P210" s="607">
        <v>1</v>
      </c>
      <c r="Q210" s="607">
        <v>1</v>
      </c>
      <c r="R210" s="607">
        <v>1</v>
      </c>
      <c r="T210" s="139">
        <f t="shared" si="555"/>
        <v>1</v>
      </c>
      <c r="U210" s="182">
        <f>IF(U209=1,0,T210)</f>
        <v>1</v>
      </c>
      <c r="V210" s="138"/>
      <c r="W210" s="768">
        <f>IF(W209=1,0,Z210)</f>
        <v>1</v>
      </c>
      <c r="X210" s="195"/>
      <c r="Y210" s="894"/>
      <c r="Z210" s="138">
        <f>VLOOKUP(B210,'Manuell filtrering og justering'!$A$7:$H$253,'Manuell filtrering og justering'!$H$1,FALSE)</f>
        <v>1</v>
      </c>
      <c r="AA210" s="139">
        <f t="shared" si="556"/>
        <v>1</v>
      </c>
      <c r="AB210" s="813">
        <f>IF($AC$5='Manuell filtrering og justering'!$J$2,Z210-W210,(T210-AA210))</f>
        <v>0</v>
      </c>
      <c r="AD210" s="141">
        <f t="shared" si="539"/>
        <v>0</v>
      </c>
      <c r="AE210" s="141">
        <f t="shared" si="545"/>
        <v>0</v>
      </c>
      <c r="AF210" s="141">
        <f t="shared" si="546"/>
        <v>0</v>
      </c>
      <c r="AG210" s="141">
        <f t="shared" si="547"/>
        <v>0</v>
      </c>
      <c r="AI210" s="142">
        <f>IF(VLOOKUP(E210,'Pre-Assessment Estimator'!$E$11:$Z$227,'Pre-Assessment Estimator'!$G$2,FALSE)&gt;AB210,AB210,VLOOKUP(E210,'Pre-Assessment Estimator'!$E$11:$Z$227,'Pre-Assessment Estimator'!$G$2,FALSE))</f>
        <v>0</v>
      </c>
      <c r="AJ210" s="142">
        <f>IF(VLOOKUP(E210,'Pre-Assessment Estimator'!$E$11:$Z$227,'Pre-Assessment Estimator'!$N$2,FALSE)&gt;AB210,AB210,VLOOKUP(E210,'Pre-Assessment Estimator'!$E$11:$Z$227,'Pre-Assessment Estimator'!$N$2,FALSE))</f>
        <v>0</v>
      </c>
      <c r="AK210" s="142">
        <f>IF(VLOOKUP(E210,'Pre-Assessment Estimator'!$E$11:$Z$227,'Pre-Assessment Estimator'!$U$2,FALSE)&gt;AB210,AB210,VLOOKUP(E210,'Pre-Assessment Estimator'!$E$11:$Z$227,'Pre-Assessment Estimator'!$U$2,FALSE))</f>
        <v>0</v>
      </c>
      <c r="AM210" s="678"/>
      <c r="AN210" s="679"/>
      <c r="AO210" s="679"/>
      <c r="AP210" s="679"/>
      <c r="AQ210" s="671"/>
      <c r="AR210" s="114"/>
      <c r="AS210" s="678"/>
      <c r="AT210" s="679"/>
      <c r="AU210" s="679"/>
      <c r="AV210" s="679"/>
      <c r="AW210" s="671"/>
      <c r="AY210" s="158"/>
      <c r="AZ210" s="40"/>
      <c r="BA210" s="40"/>
      <c r="BB210" s="40"/>
      <c r="BC210" s="680"/>
      <c r="BD210" s="151">
        <f t="shared" si="557"/>
        <v>9</v>
      </c>
      <c r="BE210" s="37" t="str">
        <f t="shared" si="541"/>
        <v>N/A</v>
      </c>
      <c r="BF210" s="154"/>
      <c r="BG210" s="151">
        <f t="shared" si="554"/>
        <v>9</v>
      </c>
      <c r="BH210" s="37" t="str">
        <f t="shared" si="542"/>
        <v>N/A</v>
      </c>
      <c r="BI210" s="154"/>
      <c r="BJ210" s="151">
        <f t="shared" si="558"/>
        <v>9</v>
      </c>
      <c r="BK210" s="37" t="str">
        <f t="shared" si="543"/>
        <v>N/A</v>
      </c>
      <c r="BL210" s="675"/>
      <c r="BO210" s="35"/>
      <c r="BP210" s="35"/>
      <c r="BQ210" s="35" t="str">
        <f t="shared" si="551"/>
        <v/>
      </c>
      <c r="BR210" s="35">
        <f t="shared" si="396"/>
        <v>9</v>
      </c>
      <c r="BS210" s="35">
        <f t="shared" si="397"/>
        <v>9</v>
      </c>
      <c r="BT210" s="35">
        <f t="shared" si="398"/>
        <v>9</v>
      </c>
      <c r="BW210" s="35"/>
      <c r="BX210" s="35"/>
      <c r="BY210" s="53"/>
      <c r="BZ210" s="35"/>
      <c r="CA210" s="529"/>
      <c r="CB210" s="35"/>
      <c r="CE210" s="35"/>
      <c r="CG210" s="54"/>
    </row>
    <row r="211" spans="1:85" ht="15.75" thickBot="1">
      <c r="A211">
        <v>203</v>
      </c>
      <c r="B211" s="112" t="str">
        <f>D211</f>
        <v>POL 05</v>
      </c>
      <c r="C211" s="112" t="str">
        <f>B211</f>
        <v>POL 05</v>
      </c>
      <c r="D211" s="663" t="s">
        <v>516</v>
      </c>
      <c r="E211" s="661" t="s">
        <v>822</v>
      </c>
      <c r="F211" s="758">
        <v>1</v>
      </c>
      <c r="G211" s="758">
        <v>1</v>
      </c>
      <c r="H211" s="956">
        <v>0</v>
      </c>
      <c r="I211" s="758">
        <v>1</v>
      </c>
      <c r="J211" s="758">
        <v>1</v>
      </c>
      <c r="K211" s="758">
        <v>1</v>
      </c>
      <c r="L211" s="758">
        <v>1</v>
      </c>
      <c r="M211" s="758">
        <v>1</v>
      </c>
      <c r="N211" s="758">
        <v>1</v>
      </c>
      <c r="O211" s="758">
        <v>1</v>
      </c>
      <c r="P211" s="758">
        <v>1</v>
      </c>
      <c r="Q211" s="758">
        <v>1</v>
      </c>
      <c r="R211" s="758">
        <v>1</v>
      </c>
      <c r="T211" s="768">
        <f t="shared" si="555"/>
        <v>1</v>
      </c>
      <c r="U211" s="182">
        <f>IF(ADIND_option02n=AD_no,Poeng!T211,0)</f>
        <v>0</v>
      </c>
      <c r="V211" s="849"/>
      <c r="W211" s="768"/>
      <c r="X211" s="850">
        <f>'Manuell filtrering og justering'!E90</f>
        <v>0</v>
      </c>
      <c r="Y211" s="895"/>
      <c r="Z211" s="782">
        <f>SUM(AB212:AB213)</f>
        <v>1</v>
      </c>
      <c r="AA211" s="768">
        <f t="shared" si="556"/>
        <v>0</v>
      </c>
      <c r="AB211" s="820">
        <f>SUM(AB212:AB213)</f>
        <v>1</v>
      </c>
      <c r="AD211" s="141">
        <f t="shared" si="539"/>
        <v>5.7142857142857143E-3</v>
      </c>
      <c r="AE211" s="736">
        <f>IF(SUM(AE212:AE213)&gt;$AD$211,$AD$211,SUM(AE212:AE213))</f>
        <v>0</v>
      </c>
      <c r="AF211" s="736">
        <f>IF(SUM(AF212:AF213)&gt;$AD$211,$AD$211,SUM(AF212:AF213))</f>
        <v>0</v>
      </c>
      <c r="AG211" s="736">
        <f>IF(SUM(AG212:AG213)&gt;$AD$211,$AD$211,SUM(AG212:AG213))</f>
        <v>0</v>
      </c>
      <c r="AI211" s="763">
        <f>IF(SUM(AI212:AI213)&gt;Pol05_credits,Pol05_credits,SUM(AI212:AI213))</f>
        <v>0</v>
      </c>
      <c r="AJ211" s="763">
        <f>IF(SUM(AJ212:AJ213)&gt;Pol05_credits,Pol05_credits,SUM(AJ212:AJ213))</f>
        <v>0</v>
      </c>
      <c r="AK211" s="763">
        <f>IF(SUM(AK212:AK213)&gt;Pol05_credits,Pol05_credits,SUM(AK212:AK213))</f>
        <v>0</v>
      </c>
      <c r="AL211" t="s">
        <v>223</v>
      </c>
      <c r="AM211" s="246"/>
      <c r="AN211" s="247"/>
      <c r="AO211" s="247"/>
      <c r="AP211" s="247"/>
      <c r="AQ211" s="248"/>
      <c r="AR211" s="114"/>
      <c r="AS211" s="246"/>
      <c r="AT211" s="247"/>
      <c r="AU211" s="247"/>
      <c r="AV211" s="247"/>
      <c r="AW211" s="248"/>
      <c r="AY211" s="159"/>
      <c r="AZ211" s="161"/>
      <c r="BA211" s="161"/>
      <c r="BB211" s="161"/>
      <c r="BC211" s="162">
        <f t="shared" si="540"/>
        <v>0</v>
      </c>
      <c r="BD211" s="163">
        <f t="shared" si="461"/>
        <v>9</v>
      </c>
      <c r="BE211" s="37" t="str">
        <f t="shared" si="541"/>
        <v>N/A</v>
      </c>
      <c r="BF211" s="164"/>
      <c r="BG211" s="163">
        <f>IF(BC211=0,9,IF(AJ211&gt;=BC211,5,IF(AJ211&gt;=BB211,4,IF(AJ211&gt;=BA211,3,IF(AJ211&gt;=AZ211,2,IF(AJ211&lt;AY211,0,1))))))</f>
        <v>9</v>
      </c>
      <c r="BH211" s="37" t="str">
        <f t="shared" si="542"/>
        <v>N/A</v>
      </c>
      <c r="BI211" s="164"/>
      <c r="BJ211" s="163">
        <f t="shared" si="444"/>
        <v>9</v>
      </c>
      <c r="BK211" s="37" t="str">
        <f t="shared" si="543"/>
        <v>N/A</v>
      </c>
      <c r="BL211" s="164"/>
      <c r="BO211" s="35"/>
      <c r="BP211" s="35"/>
      <c r="BQ211" s="35" t="str">
        <f t="shared" si="551"/>
        <v/>
      </c>
      <c r="BR211" s="35">
        <f t="shared" si="396"/>
        <v>9</v>
      </c>
      <c r="BS211" s="35">
        <f t="shared" si="397"/>
        <v>9</v>
      </c>
      <c r="BT211" s="35">
        <f t="shared" si="398"/>
        <v>9</v>
      </c>
      <c r="BW211" s="35" t="str">
        <f>D211</f>
        <v>POL 05</v>
      </c>
      <c r="BX211" s="35" t="str">
        <f>IFERROR(VLOOKUP($E211,'Pre-Assessment Estimator'!$E$11:$AB$227,'Pre-Assessment Estimator'!AB$2,FALSE),"")</f>
        <v>No</v>
      </c>
      <c r="BY211" s="53" t="str">
        <f>IFERROR(VLOOKUP($E211,'Pre-Assessment Estimator'!$E$11:$AI$227,'Pre-Assessment Estimator'!AI$2,FALSE),"")</f>
        <v>Ja</v>
      </c>
      <c r="BZ211" s="35">
        <f>IFERROR(VLOOKUP($BX211,$E$293:$H$326,F$291,FALSE),"")</f>
        <v>1</v>
      </c>
      <c r="CA211" s="529" t="s">
        <v>851</v>
      </c>
      <c r="CB211" s="35"/>
      <c r="CC211" t="str">
        <f>IFERROR(VLOOKUP($BX211,$E$293:$H$326,I$291,FALSE),"")</f>
        <v/>
      </c>
      <c r="CD211" t="s">
        <v>844</v>
      </c>
      <c r="CE211" s="35">
        <f>VLOOKUP(CA211,$CA$4:$CB$5,2,FALSE)</f>
        <v>1</v>
      </c>
      <c r="CG211" s="54">
        <f>IF($BX$5=ais_nei,CE211,IF(AND(CA211=$CA$4,BX211=$CC$4),0,BZ211))</f>
        <v>1</v>
      </c>
    </row>
    <row r="212" spans="1:85">
      <c r="A212">
        <v>204</v>
      </c>
      <c r="B212" t="str">
        <f t="shared" ref="B212:B213" si="560">$D$211&amp;D212</f>
        <v>POL 05a</v>
      </c>
      <c r="C212" t="str">
        <f t="shared" si="553"/>
        <v>POL 05</v>
      </c>
      <c r="D212" s="137" t="s">
        <v>729</v>
      </c>
      <c r="E212" s="732" t="s">
        <v>823</v>
      </c>
      <c r="F212" s="607">
        <v>1</v>
      </c>
      <c r="G212" s="607">
        <v>1</v>
      </c>
      <c r="H212" s="801">
        <v>0</v>
      </c>
      <c r="I212" s="607">
        <v>1</v>
      </c>
      <c r="J212" s="607">
        <v>1</v>
      </c>
      <c r="K212" s="607">
        <v>1</v>
      </c>
      <c r="L212" s="607">
        <v>1</v>
      </c>
      <c r="M212" s="607">
        <v>1</v>
      </c>
      <c r="N212" s="607">
        <v>1</v>
      </c>
      <c r="O212" s="607">
        <v>1</v>
      </c>
      <c r="P212" s="607">
        <v>1</v>
      </c>
      <c r="Q212" s="607">
        <v>1</v>
      </c>
      <c r="R212" s="607">
        <v>1</v>
      </c>
      <c r="T212" s="139">
        <f t="shared" si="555"/>
        <v>1</v>
      </c>
      <c r="U212" s="570">
        <f>IF('Assessment Details'!F27=AD_Yes,Poeng!T212,0)</f>
        <v>0</v>
      </c>
      <c r="V212" s="851">
        <f>IF(ADIND_option02n=AD_no,T212,0)</f>
        <v>0</v>
      </c>
      <c r="W212" s="856">
        <f>IF('Assessment Details'!F27=AD_Yes,Poeng!Z212,0)</f>
        <v>0</v>
      </c>
      <c r="X212" s="853"/>
      <c r="Y212" s="139">
        <f>IF($Y$4=$Y$6,T212,0)</f>
        <v>0</v>
      </c>
      <c r="Z212" s="138">
        <f>VLOOKUP(B212,'Manuell filtrering og justering'!$A$7:$H$253,'Manuell filtrering og justering'!$H$1,FALSE)</f>
        <v>1</v>
      </c>
      <c r="AA212" s="139">
        <f t="shared" si="556"/>
        <v>0</v>
      </c>
      <c r="AB212" s="813">
        <f>IF($AC$5='Manuell filtrering og justering'!$J$2,Z212-W212,(T212-AA212))</f>
        <v>1</v>
      </c>
      <c r="AD212" s="141">
        <f t="shared" si="539"/>
        <v>5.7142857142857143E-3</v>
      </c>
      <c r="AE212" s="141">
        <f t="shared" si="545"/>
        <v>0</v>
      </c>
      <c r="AF212" s="141">
        <f t="shared" si="546"/>
        <v>0</v>
      </c>
      <c r="AG212" s="141">
        <f t="shared" si="547"/>
        <v>0</v>
      </c>
      <c r="AI212" s="142">
        <f>IF(VLOOKUP(E212,'Pre-Assessment Estimator'!$E$11:$Z$227,'Pre-Assessment Estimator'!$G$2,FALSE)&gt;AB212,AB212,VLOOKUP(E212,'Pre-Assessment Estimator'!$E$11:$Z$227,'Pre-Assessment Estimator'!$G$2,FALSE))</f>
        <v>0</v>
      </c>
      <c r="AJ212" s="142">
        <f>IF(VLOOKUP(E212,'Pre-Assessment Estimator'!$E$11:$Z$227,'Pre-Assessment Estimator'!$N$2,FALSE)&gt;AB212,AB212,VLOOKUP(E212,'Pre-Assessment Estimator'!$E$11:$Z$227,'Pre-Assessment Estimator'!$N$2,FALSE))</f>
        <v>0</v>
      </c>
      <c r="AK212" s="142">
        <f>IF(VLOOKUP(E212,'Pre-Assessment Estimator'!$E$11:$Z$227,'Pre-Assessment Estimator'!$U$2,FALSE)&gt;AB212,AB212,VLOOKUP(E212,'Pre-Assessment Estimator'!$E$11:$Z$227,'Pre-Assessment Estimator'!$U$2,FALSE))</f>
        <v>0</v>
      </c>
      <c r="AM212" s="678"/>
      <c r="AN212" s="679"/>
      <c r="AO212" s="679"/>
      <c r="AP212" s="679"/>
      <c r="AQ212" s="671"/>
      <c r="AR212" s="114"/>
      <c r="AS212" s="678"/>
      <c r="AT212" s="679"/>
      <c r="AU212" s="679"/>
      <c r="AV212" s="679"/>
      <c r="AW212" s="671"/>
      <c r="AY212" s="158"/>
      <c r="AZ212" s="40"/>
      <c r="BA212" s="40"/>
      <c r="BB212" s="40"/>
      <c r="BC212" s="680"/>
      <c r="BD212" s="151">
        <f t="shared" si="461"/>
        <v>9</v>
      </c>
      <c r="BE212" s="37" t="str">
        <f t="shared" si="541"/>
        <v>N/A</v>
      </c>
      <c r="BF212" s="154"/>
      <c r="BG212" s="151">
        <f t="shared" ref="BG212:BG213" si="561">IF(BC212=0,9,IF(AJ212&gt;=BC212,5,IF(AJ212&gt;=BB212,4,IF(AJ212&gt;=BA212,3,IF(AJ212&gt;=AZ212,2,IF(AJ212&lt;AY212,0,1))))))</f>
        <v>9</v>
      </c>
      <c r="BH212" s="37" t="str">
        <f t="shared" si="542"/>
        <v>N/A</v>
      </c>
      <c r="BI212" s="154"/>
      <c r="BJ212" s="151">
        <f t="shared" si="444"/>
        <v>9</v>
      </c>
      <c r="BK212" s="37" t="str">
        <f t="shared" si="543"/>
        <v>N/A</v>
      </c>
      <c r="BL212" s="675"/>
      <c r="BO212" s="35"/>
      <c r="BP212" s="35"/>
      <c r="BQ212" s="35" t="str">
        <f t="shared" si="551"/>
        <v/>
      </c>
      <c r="BR212" s="35">
        <f t="shared" si="396"/>
        <v>9</v>
      </c>
      <c r="BS212" s="35">
        <f t="shared" si="397"/>
        <v>9</v>
      </c>
      <c r="BT212" s="35">
        <f t="shared" si="398"/>
        <v>9</v>
      </c>
      <c r="BW212" s="55"/>
      <c r="BX212" s="55"/>
      <c r="BY212" s="681"/>
      <c r="BZ212" s="55"/>
      <c r="CA212" s="529"/>
      <c r="CB212" s="55"/>
      <c r="CG212" s="54"/>
    </row>
    <row r="213" spans="1:85" ht="15.75" thickBot="1">
      <c r="A213">
        <v>205</v>
      </c>
      <c r="B213" t="str">
        <f t="shared" si="560"/>
        <v>POL 05b</v>
      </c>
      <c r="C213" t="str">
        <f t="shared" si="553"/>
        <v>POL 05</v>
      </c>
      <c r="D213" s="159" t="s">
        <v>730</v>
      </c>
      <c r="E213" s="732" t="s">
        <v>824</v>
      </c>
      <c r="F213" s="615">
        <v>1</v>
      </c>
      <c r="G213" s="615">
        <v>1</v>
      </c>
      <c r="H213" s="955">
        <v>0</v>
      </c>
      <c r="I213" s="615">
        <v>1</v>
      </c>
      <c r="J213" s="615">
        <v>1</v>
      </c>
      <c r="K213" s="615">
        <v>1</v>
      </c>
      <c r="L213" s="615">
        <v>1</v>
      </c>
      <c r="M213" s="615">
        <v>1</v>
      </c>
      <c r="N213" s="615">
        <v>1</v>
      </c>
      <c r="O213" s="615">
        <v>1</v>
      </c>
      <c r="P213" s="615">
        <v>1</v>
      </c>
      <c r="Q213" s="615">
        <v>1</v>
      </c>
      <c r="R213" s="615">
        <v>1</v>
      </c>
      <c r="T213" s="139">
        <f t="shared" si="555"/>
        <v>1</v>
      </c>
      <c r="U213" s="182">
        <f>IF(U212=1,0,T213)</f>
        <v>1</v>
      </c>
      <c r="V213" s="851">
        <f>IF(ADIND_option02n=AD_no,T213,0)</f>
        <v>0</v>
      </c>
      <c r="W213" s="856">
        <f>IF(W212=1,0,Z213)</f>
        <v>1</v>
      </c>
      <c r="X213" s="853"/>
      <c r="Y213" s="139">
        <f>IF($Y$4=$Y$6,T213,0)</f>
        <v>0</v>
      </c>
      <c r="Z213" s="138">
        <f>VLOOKUP(B213,'Manuell filtrering og justering'!$A$7:$H$253,'Manuell filtrering og justering'!$H$1,FALSE)</f>
        <v>1</v>
      </c>
      <c r="AA213" s="139">
        <f t="shared" si="556"/>
        <v>1</v>
      </c>
      <c r="AB213" s="813">
        <f>IF($AC$5='Manuell filtrering og justering'!$J$2,Z213-W213,(T213-AA213))</f>
        <v>0</v>
      </c>
      <c r="AD213" s="141">
        <f t="shared" si="539"/>
        <v>0</v>
      </c>
      <c r="AE213" s="141">
        <f t="shared" si="545"/>
        <v>0</v>
      </c>
      <c r="AF213" s="141">
        <f t="shared" si="546"/>
        <v>0</v>
      </c>
      <c r="AG213" s="141">
        <f t="shared" si="547"/>
        <v>0</v>
      </c>
      <c r="AI213" s="142">
        <f>IF(VLOOKUP(E213,'Pre-Assessment Estimator'!$E$11:$Z$227,'Pre-Assessment Estimator'!$G$2,FALSE)&gt;AB213,AB213,VLOOKUP(E213,'Pre-Assessment Estimator'!$E$11:$Z$227,'Pre-Assessment Estimator'!$G$2,FALSE))</f>
        <v>0</v>
      </c>
      <c r="AJ213" s="142">
        <f>IF(VLOOKUP(E213,'Pre-Assessment Estimator'!$E$11:$Z$227,'Pre-Assessment Estimator'!$N$2,FALSE)&gt;AB213,AB213,VLOOKUP(E213,'Pre-Assessment Estimator'!$E$11:$Z$227,'Pre-Assessment Estimator'!$N$2,FALSE))</f>
        <v>0</v>
      </c>
      <c r="AK213" s="142">
        <f>IF(VLOOKUP(E213,'Pre-Assessment Estimator'!$E$11:$Z$227,'Pre-Assessment Estimator'!$U$2,FALSE)&gt;AB213,AB213,VLOOKUP(E213,'Pre-Assessment Estimator'!$E$11:$Z$227,'Pre-Assessment Estimator'!$U$2,FALSE))</f>
        <v>0</v>
      </c>
      <c r="AM213" s="678"/>
      <c r="AN213" s="679"/>
      <c r="AO213" s="679"/>
      <c r="AP213" s="679"/>
      <c r="AQ213" s="671"/>
      <c r="AR213" s="114"/>
      <c r="AS213" s="678"/>
      <c r="AT213" s="679"/>
      <c r="AU213" s="679"/>
      <c r="AV213" s="679"/>
      <c r="AW213" s="671"/>
      <c r="AY213" s="158"/>
      <c r="AZ213" s="40"/>
      <c r="BA213" s="40"/>
      <c r="BB213" s="40"/>
      <c r="BC213" s="680"/>
      <c r="BD213" s="151">
        <f t="shared" si="461"/>
        <v>9</v>
      </c>
      <c r="BE213" s="37" t="str">
        <f t="shared" si="541"/>
        <v>N/A</v>
      </c>
      <c r="BF213" s="154"/>
      <c r="BG213" s="151">
        <f t="shared" si="561"/>
        <v>9</v>
      </c>
      <c r="BH213" s="37" t="str">
        <f t="shared" si="542"/>
        <v>N/A</v>
      </c>
      <c r="BI213" s="154"/>
      <c r="BJ213" s="151">
        <f t="shared" si="444"/>
        <v>9</v>
      </c>
      <c r="BK213" s="37" t="str">
        <f t="shared" si="543"/>
        <v>N/A</v>
      </c>
      <c r="BL213" s="675"/>
      <c r="BO213" s="35"/>
      <c r="BP213" s="35"/>
      <c r="BQ213" s="35" t="str">
        <f t="shared" si="551"/>
        <v/>
      </c>
      <c r="BR213" s="35">
        <f t="shared" si="396"/>
        <v>9</v>
      </c>
      <c r="BS213" s="35">
        <f t="shared" si="397"/>
        <v>9</v>
      </c>
      <c r="BT213" s="35">
        <f t="shared" si="398"/>
        <v>9</v>
      </c>
      <c r="BW213" s="55"/>
      <c r="BX213" s="55"/>
      <c r="BY213" s="681"/>
      <c r="BZ213" s="55"/>
      <c r="CA213" s="529"/>
      <c r="CB213" s="55"/>
      <c r="CG213" s="54"/>
    </row>
    <row r="214" spans="1:85" ht="15.75" thickBot="1">
      <c r="A214">
        <v>206</v>
      </c>
      <c r="B214" t="s">
        <v>520</v>
      </c>
      <c r="D214" s="556"/>
      <c r="E214" s="555" t="s">
        <v>725</v>
      </c>
      <c r="F214" s="612">
        <f t="shared" ref="F214:R214" si="562">F200+F204+F208+F211</f>
        <v>7</v>
      </c>
      <c r="G214" s="612">
        <f t="shared" si="562"/>
        <v>7</v>
      </c>
      <c r="H214" s="612">
        <f t="shared" si="562"/>
        <v>6</v>
      </c>
      <c r="I214" s="612">
        <f t="shared" si="562"/>
        <v>7</v>
      </c>
      <c r="J214" s="612">
        <f t="shared" si="562"/>
        <v>7</v>
      </c>
      <c r="K214" s="612">
        <f t="shared" si="562"/>
        <v>7</v>
      </c>
      <c r="L214" s="612">
        <f t="shared" si="562"/>
        <v>7</v>
      </c>
      <c r="M214" s="612">
        <f t="shared" si="562"/>
        <v>7</v>
      </c>
      <c r="N214" s="612">
        <f t="shared" si="562"/>
        <v>7</v>
      </c>
      <c r="O214" s="612">
        <f t="shared" si="562"/>
        <v>7</v>
      </c>
      <c r="P214" s="612">
        <f t="shared" si="562"/>
        <v>7</v>
      </c>
      <c r="Q214" s="612">
        <f t="shared" ref="Q214" si="563">Q200+Q204+Q208+Q211</f>
        <v>7</v>
      </c>
      <c r="R214" s="612">
        <f t="shared" si="562"/>
        <v>7</v>
      </c>
      <c r="T214" s="186">
        <f t="shared" si="555"/>
        <v>7</v>
      </c>
      <c r="U214" s="167"/>
      <c r="V214" s="169"/>
      <c r="W214" s="170"/>
      <c r="X214" s="854"/>
      <c r="Y214" s="897"/>
      <c r="Z214" s="169"/>
      <c r="AA214" s="612">
        <f>AA200+AA204+AA208+AA211</f>
        <v>0</v>
      </c>
      <c r="AB214" s="612">
        <f>AB200+AB204+AB208+AB211</f>
        <v>7</v>
      </c>
      <c r="AD214" s="171">
        <f>AD200+AD204+AD208+AD211</f>
        <v>0.04</v>
      </c>
      <c r="AE214" s="171">
        <f>AE200+AE204+AE208+AE211</f>
        <v>0</v>
      </c>
      <c r="AF214" s="171">
        <f>AF200+AF204+AF208+AF211</f>
        <v>0</v>
      </c>
      <c r="AG214" s="171">
        <f>AG200+AG204+AG208+AG211</f>
        <v>0</v>
      </c>
      <c r="AI214" s="30">
        <f>AI200+AI204+AI208+AI211</f>
        <v>0</v>
      </c>
      <c r="AJ214" s="30">
        <f>AJ200+AJ204+AJ208+AJ211</f>
        <v>0</v>
      </c>
      <c r="AK214" s="30">
        <f>AK200+AK204+AK208+AK211</f>
        <v>0</v>
      </c>
      <c r="AM214" s="114"/>
      <c r="AN214" s="114"/>
      <c r="AO214" s="114"/>
      <c r="AP214" s="114"/>
      <c r="AQ214" s="114"/>
      <c r="AR214" s="114"/>
      <c r="AS214" s="114"/>
      <c r="AT214" s="114"/>
      <c r="AU214" s="114"/>
      <c r="AV214" s="114"/>
      <c r="AW214" s="114"/>
      <c r="AZ214" s="172"/>
      <c r="BW214" s="42"/>
      <c r="BX214" s="42" t="str">
        <f>IFERROR(VLOOKUP($E214,'Pre-Assessment Estimator'!$E$11:$AB$227,'Pre-Assessment Estimator'!AB$2,FALSE),"")</f>
        <v/>
      </c>
      <c r="BY214" s="42" t="str">
        <f>IFERROR(VLOOKUP($E214,'Pre-Assessment Estimator'!$E$11:$AI$227,'Pre-Assessment Estimator'!AI$2,FALSE),"")</f>
        <v/>
      </c>
      <c r="BZ214" s="42" t="str">
        <f t="shared" ref="BZ214:BZ225" si="564">IFERROR(VLOOKUP($BX214,$E$293:$H$326,F$291,FALSE),"")</f>
        <v/>
      </c>
      <c r="CA214" s="42" t="str">
        <f t="shared" ref="CA214:CA225" si="565">IFERROR(VLOOKUP($BX214,$E$293:$H$326,G$291,FALSE),"")</f>
        <v/>
      </c>
      <c r="CB214" s="42"/>
      <c r="CC214" t="str">
        <f t="shared" ref="CC214:CC225" si="566">IFERROR(VLOOKUP($BX214,$E$293:$H$326,I$291,FALSE),"")</f>
        <v/>
      </c>
    </row>
    <row r="215" spans="1:85" ht="15.75" thickBot="1">
      <c r="A215">
        <v>207</v>
      </c>
      <c r="AI215" s="1"/>
      <c r="AJ215" s="1"/>
      <c r="AK215" s="1"/>
      <c r="AM215" s="114"/>
      <c r="AN215" s="114"/>
      <c r="AO215" s="114"/>
      <c r="AP215" s="114"/>
      <c r="AQ215" s="114"/>
      <c r="AR215" s="114"/>
      <c r="AS215" s="114"/>
      <c r="AT215" s="114"/>
      <c r="AU215" s="114"/>
      <c r="AV215" s="114"/>
      <c r="AW215" s="114"/>
      <c r="BX215" t="str">
        <f>IFERROR(VLOOKUP($E215,'Pre-Assessment Estimator'!$E$11:$AB$227,'Pre-Assessment Estimator'!AB$2,FALSE),"")</f>
        <v/>
      </c>
      <c r="BY215" t="str">
        <f>IFERROR(VLOOKUP($E215,'Pre-Assessment Estimator'!$E$11:$AI$227,'Pre-Assessment Estimator'!AI$2,FALSE),"")</f>
        <v/>
      </c>
      <c r="BZ215" t="str">
        <f t="shared" si="564"/>
        <v/>
      </c>
      <c r="CA215" t="str">
        <f t="shared" si="565"/>
        <v/>
      </c>
      <c r="CC215" t="str">
        <f t="shared" si="566"/>
        <v/>
      </c>
    </row>
    <row r="216" spans="1:85" ht="60.75" thickBot="1">
      <c r="A216">
        <v>208</v>
      </c>
      <c r="D216" s="123"/>
      <c r="E216" s="124" t="s">
        <v>825</v>
      </c>
      <c r="F216" s="964" t="str">
        <f>$F$9</f>
        <v>Office</v>
      </c>
      <c r="G216" s="964" t="str">
        <f>$G$9</f>
        <v>Retail</v>
      </c>
      <c r="H216" s="968" t="str">
        <f>$H$9</f>
        <v>Residential</v>
      </c>
      <c r="I216" s="964" t="str">
        <f>$I$9</f>
        <v>Industrial</v>
      </c>
      <c r="J216" s="966" t="str">
        <f>$J$9</f>
        <v>Healthcare</v>
      </c>
      <c r="K216" s="966" t="str">
        <f>$K$9</f>
        <v>Prison</v>
      </c>
      <c r="L216" s="966" t="str">
        <f>$L$9</f>
        <v>Law Court</v>
      </c>
      <c r="M216" s="970" t="str">
        <f>$M$9</f>
        <v>Residential institution (long term stay)</v>
      </c>
      <c r="N216" s="733" t="str">
        <f>$N$9</f>
        <v>Residential institution (short term stay)</v>
      </c>
      <c r="O216" s="733" t="str">
        <f>$O$9</f>
        <v>Non-residential institution</v>
      </c>
      <c r="P216" s="733" t="str">
        <f>$P$9</f>
        <v>Assembly and leisure</v>
      </c>
      <c r="Q216" s="966" t="str">
        <f>$Q$9</f>
        <v>Education</v>
      </c>
      <c r="R216" s="683" t="str">
        <f>$R$9</f>
        <v>Other</v>
      </c>
      <c r="T216" s="113" t="str">
        <f>$E$6</f>
        <v>Office</v>
      </c>
      <c r="U216" s="173"/>
      <c r="V216" s="174"/>
      <c r="W216" s="174"/>
      <c r="X216" s="899"/>
      <c r="Y216" s="910" t="s">
        <v>871</v>
      </c>
      <c r="Z216" s="908" t="s">
        <v>25</v>
      </c>
      <c r="AA216" s="122" t="s">
        <v>725</v>
      </c>
      <c r="AB216" s="45" t="s">
        <v>860</v>
      </c>
      <c r="AI216" s="28"/>
      <c r="AJ216" s="46"/>
      <c r="AK216" s="46"/>
      <c r="AM216" s="114"/>
      <c r="AN216" s="114"/>
      <c r="AO216" s="114"/>
      <c r="AP216" s="114"/>
      <c r="AQ216" s="114"/>
      <c r="AR216" s="114"/>
      <c r="AS216" s="114"/>
      <c r="AT216" s="114"/>
      <c r="AU216" s="114"/>
      <c r="AV216" s="114"/>
      <c r="AW216" s="114"/>
      <c r="BO216" s="46"/>
      <c r="BP216" s="46"/>
      <c r="BQ216" s="46"/>
      <c r="BR216" s="46"/>
      <c r="BS216" s="46"/>
      <c r="BT216" s="46"/>
      <c r="BW216" s="39"/>
      <c r="BX216" s="39" t="str">
        <f>E216</f>
        <v>BREEAM innovation credits</v>
      </c>
      <c r="BY216" s="39" t="str">
        <f>IFERROR(VLOOKUP($E216,'Pre-Assessment Estimator'!$E$11:$AI$227,'Pre-Assessment Estimator'!AI$2,FALSE),"")</f>
        <v/>
      </c>
      <c r="BZ216" s="39" t="str">
        <f t="shared" si="564"/>
        <v/>
      </c>
      <c r="CA216" s="39" t="str">
        <f t="shared" si="565"/>
        <v/>
      </c>
      <c r="CB216" s="39"/>
      <c r="CC216" t="str">
        <f t="shared" si="566"/>
        <v/>
      </c>
    </row>
    <row r="217" spans="1:85">
      <c r="A217">
        <v>209</v>
      </c>
      <c r="B217" t="str">
        <f>D217</f>
        <v>Inn 01</v>
      </c>
      <c r="C217" t="s">
        <v>188</v>
      </c>
      <c r="D217" s="180" t="s">
        <v>524</v>
      </c>
      <c r="E217" s="147" t="str">
        <f t="shared" ref="E217:E230" si="567">D217&amp;" - "&amp;E261</f>
        <v xml:space="preserve">Inn 01 - Man 03: Reduction of direct emissions from construction sites </v>
      </c>
      <c r="F217" s="613">
        <v>1</v>
      </c>
      <c r="G217" s="613">
        <v>1</v>
      </c>
      <c r="H217" s="613">
        <v>1</v>
      </c>
      <c r="I217" s="613">
        <v>1</v>
      </c>
      <c r="J217" s="613">
        <v>1</v>
      </c>
      <c r="K217" s="613">
        <v>1</v>
      </c>
      <c r="L217" s="613">
        <v>1</v>
      </c>
      <c r="M217" s="613">
        <v>1</v>
      </c>
      <c r="N217" s="613">
        <v>1</v>
      </c>
      <c r="O217" s="613">
        <v>1</v>
      </c>
      <c r="P217" s="613">
        <v>1</v>
      </c>
      <c r="Q217" s="614">
        <v>1</v>
      </c>
      <c r="R217" s="614">
        <v>1</v>
      </c>
      <c r="T217" s="175">
        <f t="shared" ref="T217:T231" si="568">HLOOKUP($E$6,$F$9:$R$231,$A217,FALSE)</f>
        <v>1</v>
      </c>
      <c r="U217" s="137"/>
      <c r="V217" s="35"/>
      <c r="W217" s="35"/>
      <c r="X217" s="138">
        <f>'Manuell filtrering og justering'!E94</f>
        <v>0</v>
      </c>
      <c r="Y217" s="139"/>
      <c r="Z217" s="894">
        <f>VLOOKUP(B217,'Manuell filtrering og justering'!$A$7:$H$253,'Manuell filtrering og justering'!$H$1,FALSE)</f>
        <v>1</v>
      </c>
      <c r="AA217" s="139">
        <f t="shared" ref="AA217:AA230" si="569">IF(SUM(U217:Y217)&gt;T217,T217,SUM(U217:Y217))</f>
        <v>0</v>
      </c>
      <c r="AB217" s="140">
        <f>IF($AC$5='Manuell filtrering og justering'!$J$2,Z217,(T217-AA217))</f>
        <v>1</v>
      </c>
      <c r="AD217" s="141">
        <f>(Inn_Weight/Inn_Credits)*Inn01_credits</f>
        <v>0.01</v>
      </c>
      <c r="AE217" s="141">
        <f t="shared" ref="AE217:AE230" si="570">IF(AB217=0,0,(AD217/AB217)*AI217)</f>
        <v>0</v>
      </c>
      <c r="AF217" s="141">
        <f t="shared" ref="AF217:AF230" si="571">IF(AB217=0,0,(AD217/AB217)*AJ217)</f>
        <v>0</v>
      </c>
      <c r="AG217" s="141">
        <f t="shared" ref="AG217:AG230" si="572">IF(AB217=0,0,(AD217/AB217)*AK217)</f>
        <v>0</v>
      </c>
      <c r="AI217" s="176">
        <f>IF(VLOOKUP(E217,'Pre-Assessment Estimator'!$E$11:$Z$227,'Pre-Assessment Estimator'!$G$2,FALSE)&gt;AB217,AB217,VLOOKUP(E217,'Pre-Assessment Estimator'!$E$11:$Z$227,'Pre-Assessment Estimator'!$G$2,FALSE))</f>
        <v>0</v>
      </c>
      <c r="AJ217" s="142">
        <f>IF(VLOOKUP(E217,'Pre-Assessment Estimator'!$E$11:$Z$227,'Pre-Assessment Estimator'!$N$2,FALSE)&gt;AB217,AB217,VLOOKUP(E217,'Pre-Assessment Estimator'!$E$11:$Z$227,'Pre-Assessment Estimator'!$N$2,FALSE))</f>
        <v>0</v>
      </c>
      <c r="AK217" s="142">
        <f>IF(VLOOKUP(E217,'Pre-Assessment Estimator'!$E$11:$Z$227,'Pre-Assessment Estimator'!$U$2,FALSE)&gt;AB217,AB217,VLOOKUP(E217,'Pre-Assessment Estimator'!$E$11:$Z$227,'Pre-Assessment Estimator'!$U$2,FALSE))</f>
        <v>0</v>
      </c>
      <c r="AM217" s="249"/>
      <c r="AN217" s="250"/>
      <c r="AO217" s="250"/>
      <c r="AP217" s="250"/>
      <c r="AQ217" s="563"/>
      <c r="AR217" s="114"/>
      <c r="AS217" s="249"/>
      <c r="AT217" s="250"/>
      <c r="AU217" s="250"/>
      <c r="AV217" s="250"/>
      <c r="AW217" s="251"/>
      <c r="AY217" s="180"/>
      <c r="AZ217" s="147"/>
      <c r="BA217" s="147"/>
      <c r="BB217" s="147"/>
      <c r="BC217" s="148">
        <f t="shared" si="540"/>
        <v>0</v>
      </c>
      <c r="BD217" s="144">
        <f t="shared" si="461"/>
        <v>9</v>
      </c>
      <c r="BE217" s="37" t="str">
        <f t="shared" ref="BE217:BE230" si="573">VLOOKUP(BD217,$BO$284:$BT$290,6,FALSE)</f>
        <v>N/A</v>
      </c>
      <c r="BF217" s="148"/>
      <c r="BG217" s="144">
        <f t="shared" ref="BG217:BG225" si="574">IF(BC217=0,9,IF(AJ217&gt;=BC217,5,IF(AJ217&gt;=BB217,4,IF(AJ217&gt;=BA217,3,IF(AJ217&gt;=AZ217,2,IF(AJ217&lt;AY217,0,1))))))</f>
        <v>9</v>
      </c>
      <c r="BH217" s="37" t="str">
        <f t="shared" ref="BH217:BH230" si="575">VLOOKUP(BG217,$BO$284:$BT$290,6,FALSE)</f>
        <v>N/A</v>
      </c>
      <c r="BI217" s="148"/>
      <c r="BJ217" s="144">
        <f t="shared" si="444"/>
        <v>9</v>
      </c>
      <c r="BK217" s="37" t="str">
        <f t="shared" ref="BK217:BK230" si="576">VLOOKUP(BJ217,$BO$284:$BT$290,6,FALSE)</f>
        <v>N/A</v>
      </c>
      <c r="BL217" s="148"/>
      <c r="BO217" s="35"/>
      <c r="BP217" s="35"/>
      <c r="BQ217" s="35" t="str">
        <f t="shared" si="551"/>
        <v/>
      </c>
      <c r="BR217" s="35">
        <f t="shared" si="396"/>
        <v>9</v>
      </c>
      <c r="BS217" s="35">
        <f t="shared" si="397"/>
        <v>9</v>
      </c>
      <c r="BT217" s="35">
        <f t="shared" si="398"/>
        <v>9</v>
      </c>
      <c r="BW217" s="37" t="str">
        <f t="shared" ref="BW217:BW225" si="577">D217</f>
        <v>Inn 01</v>
      </c>
      <c r="BX217" s="37" t="str">
        <f>IFERROR(VLOOKUP($E217,'Pre-Assessment Estimator'!$E$11:$AB$227,'Pre-Assessment Estimator'!AB$2,FALSE),"")</f>
        <v>N/A</v>
      </c>
      <c r="BY217" s="37">
        <f>IFERROR(VLOOKUP($E217,'Pre-Assessment Estimator'!$E$11:$AI$227,'Pre-Assessment Estimator'!AI$2,FALSE),"")</f>
        <v>0</v>
      </c>
      <c r="BZ217" s="37">
        <f t="shared" si="564"/>
        <v>1</v>
      </c>
      <c r="CA217" s="37">
        <f t="shared" si="565"/>
        <v>0</v>
      </c>
      <c r="CB217" s="37"/>
      <c r="CC217" t="str">
        <f t="shared" si="566"/>
        <v/>
      </c>
    </row>
    <row r="218" spans="1:85">
      <c r="A218">
        <v>210</v>
      </c>
      <c r="B218" t="str">
        <f t="shared" ref="B218:B230" si="578">D218</f>
        <v>Inn 02</v>
      </c>
      <c r="C218" t="s">
        <v>288</v>
      </c>
      <c r="D218" s="137" t="s">
        <v>526</v>
      </c>
      <c r="E218" s="915" t="str">
        <f t="shared" si="567"/>
        <v xml:space="preserve">Inn 02 - Hea 01: View out, high level </v>
      </c>
      <c r="F218" s="607">
        <v>1</v>
      </c>
      <c r="G218" s="607">
        <v>1</v>
      </c>
      <c r="H218" s="607">
        <v>1</v>
      </c>
      <c r="I218" s="607">
        <v>1</v>
      </c>
      <c r="J218" s="607">
        <v>1</v>
      </c>
      <c r="K218" s="607">
        <v>1</v>
      </c>
      <c r="L218" s="607">
        <v>1</v>
      </c>
      <c r="M218" s="607">
        <v>1</v>
      </c>
      <c r="N218" s="607">
        <v>1</v>
      </c>
      <c r="O218" s="607">
        <v>1</v>
      </c>
      <c r="P218" s="607">
        <v>1</v>
      </c>
      <c r="Q218" s="608">
        <v>1</v>
      </c>
      <c r="R218" s="608">
        <v>1</v>
      </c>
      <c r="T218" s="139">
        <f t="shared" si="568"/>
        <v>1</v>
      </c>
      <c r="U218" s="137"/>
      <c r="V218" s="35"/>
      <c r="W218" s="35"/>
      <c r="X218" s="138">
        <f>'Manuell filtrering og justering'!E95</f>
        <v>0</v>
      </c>
      <c r="Y218" s="139"/>
      <c r="Z218" s="894">
        <f>VLOOKUP(B218,'Manuell filtrering og justering'!$A$7:$H$253,'Manuell filtrering og justering'!$H$1,FALSE)</f>
        <v>0</v>
      </c>
      <c r="AA218" s="139">
        <f t="shared" si="569"/>
        <v>0</v>
      </c>
      <c r="AB218" s="140">
        <f>IF($AC$5='Manuell filtrering og justering'!$J$2,Z218,(T218-AA218))</f>
        <v>1</v>
      </c>
      <c r="AD218" s="141">
        <f>(Inn_Weight/Inn_Credits)*Inn02_credits</f>
        <v>0.01</v>
      </c>
      <c r="AE218" s="141">
        <f t="shared" si="570"/>
        <v>0</v>
      </c>
      <c r="AF218" s="141">
        <f t="shared" si="571"/>
        <v>0</v>
      </c>
      <c r="AG218" s="141">
        <f t="shared" si="572"/>
        <v>0</v>
      </c>
      <c r="AI218" s="176">
        <f>IF(VLOOKUP(E218,'Pre-Assessment Estimator'!$E$11:$Z$227,'Pre-Assessment Estimator'!$G$2,FALSE)&gt;AB218,AB218,VLOOKUP(E218,'Pre-Assessment Estimator'!$E$11:$Z$227,'Pre-Assessment Estimator'!$G$2,FALSE))</f>
        <v>0</v>
      </c>
      <c r="AJ218" s="142">
        <f>IF(VLOOKUP(E218,'Pre-Assessment Estimator'!$E$11:$Z$227,'Pre-Assessment Estimator'!$N$2,FALSE)&gt;AB218,AB218,VLOOKUP(E218,'Pre-Assessment Estimator'!$E$11:$Z$227,'Pre-Assessment Estimator'!$N$2,FALSE))</f>
        <v>0</v>
      </c>
      <c r="AK218" s="142">
        <f>IF(VLOOKUP(E218,'Pre-Assessment Estimator'!$E$11:$Z$227,'Pre-Assessment Estimator'!$U$2,FALSE)&gt;AB218,AB218,VLOOKUP(E218,'Pre-Assessment Estimator'!$E$11:$Z$227,'Pre-Assessment Estimator'!$U$2,FALSE))</f>
        <v>0</v>
      </c>
      <c r="AM218" s="243"/>
      <c r="AN218" s="244"/>
      <c r="AO218" s="244"/>
      <c r="AP218" s="244"/>
      <c r="AQ218" s="564"/>
      <c r="AR218" s="114"/>
      <c r="AS218" s="243"/>
      <c r="AT218" s="244"/>
      <c r="AU218" s="244"/>
      <c r="AV218" s="244"/>
      <c r="AW218" s="245"/>
      <c r="AY218" s="137"/>
      <c r="AZ218" s="35"/>
      <c r="BA218" s="35"/>
      <c r="BB218" s="35"/>
      <c r="BC218" s="154">
        <f t="shared" si="540"/>
        <v>0</v>
      </c>
      <c r="BD218" s="151">
        <f t="shared" si="461"/>
        <v>9</v>
      </c>
      <c r="BE218" s="37" t="str">
        <f t="shared" si="573"/>
        <v>N/A</v>
      </c>
      <c r="BF218" s="154"/>
      <c r="BG218" s="151">
        <f t="shared" si="574"/>
        <v>9</v>
      </c>
      <c r="BH218" s="37" t="str">
        <f t="shared" si="575"/>
        <v>N/A</v>
      </c>
      <c r="BI218" s="154"/>
      <c r="BJ218" s="151">
        <f t="shared" si="444"/>
        <v>9</v>
      </c>
      <c r="BK218" s="37" t="str">
        <f t="shared" si="576"/>
        <v>N/A</v>
      </c>
      <c r="BL218" s="154"/>
      <c r="BO218" s="35"/>
      <c r="BP218" s="35"/>
      <c r="BQ218" s="35" t="str">
        <f t="shared" si="551"/>
        <v/>
      </c>
      <c r="BR218" s="35">
        <f t="shared" si="396"/>
        <v>9</v>
      </c>
      <c r="BS218" s="35">
        <f t="shared" si="397"/>
        <v>9</v>
      </c>
      <c r="BT218" s="35">
        <f t="shared" si="398"/>
        <v>9</v>
      </c>
      <c r="BW218" s="35" t="str">
        <f t="shared" si="577"/>
        <v>Inn 02</v>
      </c>
      <c r="BX218" s="35" t="str">
        <f>IFERROR(VLOOKUP($E218,'Pre-Assessment Estimator'!$E$11:$AB$227,'Pre-Assessment Estimator'!AB$2,FALSE),"")</f>
        <v>N/A</v>
      </c>
      <c r="BY218" s="35">
        <f>IFERROR(VLOOKUP($E218,'Pre-Assessment Estimator'!$E$11:$AI$227,'Pre-Assessment Estimator'!AI$2,FALSE),"")</f>
        <v>0</v>
      </c>
      <c r="BZ218" s="35">
        <f t="shared" si="564"/>
        <v>1</v>
      </c>
      <c r="CA218" s="35">
        <f t="shared" si="565"/>
        <v>0</v>
      </c>
      <c r="CB218" s="35"/>
      <c r="CC218" t="str">
        <f t="shared" si="566"/>
        <v/>
      </c>
    </row>
    <row r="219" spans="1:85">
      <c r="A219">
        <v>211</v>
      </c>
      <c r="B219" t="str">
        <f t="shared" si="578"/>
        <v>Inn 03</v>
      </c>
      <c r="C219" t="s">
        <v>187</v>
      </c>
      <c r="D219" s="137" t="s">
        <v>528</v>
      </c>
      <c r="E219" s="35" t="str">
        <f t="shared" si="567"/>
        <v>Inn 03 - Hea 02: Emissions from construction products</v>
      </c>
      <c r="F219" s="607">
        <v>1</v>
      </c>
      <c r="G219" s="607">
        <v>1</v>
      </c>
      <c r="H219" s="607">
        <v>1</v>
      </c>
      <c r="I219" s="607">
        <v>1</v>
      </c>
      <c r="J219" s="607">
        <v>1</v>
      </c>
      <c r="K219" s="607">
        <v>1</v>
      </c>
      <c r="L219" s="607">
        <v>1</v>
      </c>
      <c r="M219" s="607">
        <v>1</v>
      </c>
      <c r="N219" s="607">
        <v>1</v>
      </c>
      <c r="O219" s="607">
        <v>1</v>
      </c>
      <c r="P219" s="607">
        <v>1</v>
      </c>
      <c r="Q219" s="608">
        <v>1</v>
      </c>
      <c r="R219" s="608">
        <v>1</v>
      </c>
      <c r="T219" s="139">
        <f t="shared" si="568"/>
        <v>1</v>
      </c>
      <c r="U219" s="137">
        <f>IF(Hea02_credits=0,T219,0)</f>
        <v>0</v>
      </c>
      <c r="V219" s="35"/>
      <c r="W219" s="35"/>
      <c r="X219" s="138">
        <f>'Manuell filtrering og justering'!E96</f>
        <v>0</v>
      </c>
      <c r="Y219" s="139">
        <f>IF($Y$4=$Y$6,T219,0)</f>
        <v>0</v>
      </c>
      <c r="Z219" s="894">
        <f>VLOOKUP(B219,'Manuell filtrering og justering'!$A$7:$H$253,'Manuell filtrering og justering'!$H$1,FALSE)</f>
        <v>1</v>
      </c>
      <c r="AA219" s="139">
        <f t="shared" si="569"/>
        <v>0</v>
      </c>
      <c r="AB219" s="140">
        <f>IF($AC$5='Manuell filtrering og justering'!$J$2,Z219,(T219-AA219))</f>
        <v>1</v>
      </c>
      <c r="AD219" s="141">
        <f>(Inn_Weight/Inn_Credits)*Inn03_credits</f>
        <v>0.01</v>
      </c>
      <c r="AE219" s="141">
        <f t="shared" si="570"/>
        <v>0</v>
      </c>
      <c r="AF219" s="141">
        <f t="shared" si="571"/>
        <v>0</v>
      </c>
      <c r="AG219" s="141">
        <f t="shared" si="572"/>
        <v>0</v>
      </c>
      <c r="AI219" s="176">
        <f>IF(VLOOKUP(E219,'Pre-Assessment Estimator'!$E$11:$Z$227,'Pre-Assessment Estimator'!$G$2,FALSE)&gt;AB219,AB219,VLOOKUP(E219,'Pre-Assessment Estimator'!$E$11:$Z$227,'Pre-Assessment Estimator'!$G$2,FALSE))</f>
        <v>0</v>
      </c>
      <c r="AJ219" s="142">
        <f>IF(VLOOKUP(E219,'Pre-Assessment Estimator'!$E$11:$Z$227,'Pre-Assessment Estimator'!$N$2,FALSE)&gt;AB219,AB219,VLOOKUP(E219,'Pre-Assessment Estimator'!$E$11:$Z$227,'Pre-Assessment Estimator'!$N$2,FALSE))</f>
        <v>0</v>
      </c>
      <c r="AK219" s="142">
        <f>IF(VLOOKUP(E219,'Pre-Assessment Estimator'!$E$11:$Z$227,'Pre-Assessment Estimator'!$U$2,FALSE)&gt;AB219,AB219,VLOOKUP(E219,'Pre-Assessment Estimator'!$E$11:$Z$227,'Pre-Assessment Estimator'!$U$2,FALSE))</f>
        <v>0</v>
      </c>
      <c r="AM219" s="243"/>
      <c r="AN219" s="244"/>
      <c r="AO219" s="244"/>
      <c r="AP219" s="244"/>
      <c r="AQ219" s="564"/>
      <c r="AR219" s="114"/>
      <c r="AS219" s="243"/>
      <c r="AT219" s="244"/>
      <c r="AU219" s="244"/>
      <c r="AV219" s="244"/>
      <c r="AW219" s="245"/>
      <c r="AY219" s="137"/>
      <c r="AZ219" s="35"/>
      <c r="BA219" s="35"/>
      <c r="BB219" s="35"/>
      <c r="BC219" s="154">
        <f t="shared" si="540"/>
        <v>0</v>
      </c>
      <c r="BD219" s="151">
        <f t="shared" si="461"/>
        <v>9</v>
      </c>
      <c r="BE219" s="37" t="str">
        <f t="shared" si="573"/>
        <v>N/A</v>
      </c>
      <c r="BF219" s="154"/>
      <c r="BG219" s="151">
        <f t="shared" si="574"/>
        <v>9</v>
      </c>
      <c r="BH219" s="37" t="str">
        <f t="shared" si="575"/>
        <v>N/A</v>
      </c>
      <c r="BI219" s="154"/>
      <c r="BJ219" s="151">
        <f t="shared" si="444"/>
        <v>9</v>
      </c>
      <c r="BK219" s="37" t="str">
        <f t="shared" si="576"/>
        <v>N/A</v>
      </c>
      <c r="BL219" s="154"/>
      <c r="BO219" s="35"/>
      <c r="BP219" s="35"/>
      <c r="BQ219" s="35" t="str">
        <f t="shared" si="551"/>
        <v/>
      </c>
      <c r="BR219" s="35">
        <f t="shared" si="396"/>
        <v>9</v>
      </c>
      <c r="BS219" s="35">
        <f t="shared" si="397"/>
        <v>9</v>
      </c>
      <c r="BT219" s="35">
        <f t="shared" si="398"/>
        <v>9</v>
      </c>
      <c r="BW219" s="35" t="str">
        <f t="shared" si="577"/>
        <v>Inn 03</v>
      </c>
      <c r="BX219" s="35" t="str">
        <f>IFERROR(VLOOKUP($E219,'Pre-Assessment Estimator'!$E$11:$AB$227,'Pre-Assessment Estimator'!AB$2,FALSE),"")</f>
        <v>N/A</v>
      </c>
      <c r="BY219" s="35">
        <f>IFERROR(VLOOKUP($E219,'Pre-Assessment Estimator'!$E$11:$AI$227,'Pre-Assessment Estimator'!AI$2,FALSE),"")</f>
        <v>0</v>
      </c>
      <c r="BZ219" s="35">
        <f t="shared" si="564"/>
        <v>1</v>
      </c>
      <c r="CA219" s="35">
        <f t="shared" si="565"/>
        <v>0</v>
      </c>
      <c r="CB219" s="35"/>
      <c r="CC219" t="str">
        <f t="shared" si="566"/>
        <v/>
      </c>
    </row>
    <row r="220" spans="1:85">
      <c r="A220">
        <v>212</v>
      </c>
      <c r="B220" t="str">
        <f t="shared" si="578"/>
        <v>Inn 04</v>
      </c>
      <c r="C220" t="s">
        <v>323</v>
      </c>
      <c r="D220" s="137" t="s">
        <v>530</v>
      </c>
      <c r="E220" s="35" t="str">
        <f t="shared" si="567"/>
        <v xml:space="preserve">Inn 04 - Hea 06: Biofilik design </v>
      </c>
      <c r="F220" s="607">
        <v>1</v>
      </c>
      <c r="G220" s="607">
        <v>1</v>
      </c>
      <c r="H220" s="607">
        <v>1</v>
      </c>
      <c r="I220" s="607">
        <v>1</v>
      </c>
      <c r="J220" s="607">
        <v>1</v>
      </c>
      <c r="K220" s="607">
        <v>1</v>
      </c>
      <c r="L220" s="607">
        <v>1</v>
      </c>
      <c r="M220" s="607">
        <v>1</v>
      </c>
      <c r="N220" s="607">
        <v>1</v>
      </c>
      <c r="O220" s="607">
        <v>1</v>
      </c>
      <c r="P220" s="607">
        <v>1</v>
      </c>
      <c r="Q220" s="608">
        <v>1</v>
      </c>
      <c r="R220" s="608">
        <v>1</v>
      </c>
      <c r="T220" s="139">
        <f t="shared" si="568"/>
        <v>1</v>
      </c>
      <c r="U220" s="137"/>
      <c r="V220" s="35"/>
      <c r="W220" s="35"/>
      <c r="X220" s="138">
        <f>'Manuell filtrering og justering'!E97</f>
        <v>0</v>
      </c>
      <c r="Y220" s="139">
        <f>IF(OR($Y$4=$Y$5,$Y$4=$Y$6),T220,0)</f>
        <v>0</v>
      </c>
      <c r="Z220" s="894">
        <f>VLOOKUP(B220,'Manuell filtrering og justering'!$A$7:$H$253,'Manuell filtrering og justering'!$H$1,FALSE)</f>
        <v>1</v>
      </c>
      <c r="AA220" s="139">
        <f t="shared" si="569"/>
        <v>0</v>
      </c>
      <c r="AB220" s="140">
        <f>IF($AC$5='Manuell filtrering og justering'!$J$2,Z220,(T220-AA220))</f>
        <v>1</v>
      </c>
      <c r="AD220" s="141">
        <f>(Inn_Weight/Inn_Credits)*Inn04_credits</f>
        <v>0.01</v>
      </c>
      <c r="AE220" s="141">
        <f t="shared" si="570"/>
        <v>0</v>
      </c>
      <c r="AF220" s="141">
        <f t="shared" si="571"/>
        <v>0</v>
      </c>
      <c r="AG220" s="141">
        <f t="shared" si="572"/>
        <v>0</v>
      </c>
      <c r="AI220" s="176">
        <f>IF(VLOOKUP(E220,'Pre-Assessment Estimator'!$E$11:$Z$227,'Pre-Assessment Estimator'!$G$2,FALSE)&gt;AB220,AB220,VLOOKUP(E220,'Pre-Assessment Estimator'!$E$11:$Z$227,'Pre-Assessment Estimator'!$G$2,FALSE))</f>
        <v>0</v>
      </c>
      <c r="AJ220" s="142">
        <f>IF(VLOOKUP(E220,'Pre-Assessment Estimator'!$E$11:$Z$227,'Pre-Assessment Estimator'!$N$2,FALSE)&gt;AB220,AB220,VLOOKUP(E220,'Pre-Assessment Estimator'!$E$11:$Z$227,'Pre-Assessment Estimator'!$N$2,FALSE))</f>
        <v>0</v>
      </c>
      <c r="AK220" s="142">
        <f>IF(VLOOKUP(E220,'Pre-Assessment Estimator'!$E$11:$Z$227,'Pre-Assessment Estimator'!$U$2,FALSE)&gt;AB220,AB220,VLOOKUP(E220,'Pre-Assessment Estimator'!$E$11:$Z$227,'Pre-Assessment Estimator'!$U$2,FALSE))</f>
        <v>0</v>
      </c>
      <c r="AM220" s="243"/>
      <c r="AN220" s="244"/>
      <c r="AO220" s="244"/>
      <c r="AP220" s="244"/>
      <c r="AQ220" s="564"/>
      <c r="AR220" s="114"/>
      <c r="AS220" s="243"/>
      <c r="AT220" s="244"/>
      <c r="AU220" s="244"/>
      <c r="AV220" s="244"/>
      <c r="AW220" s="245"/>
      <c r="AY220" s="137"/>
      <c r="AZ220" s="35"/>
      <c r="BA220" s="35"/>
      <c r="BB220" s="35"/>
      <c r="BC220" s="154">
        <f t="shared" si="540"/>
        <v>0</v>
      </c>
      <c r="BD220" s="151">
        <f t="shared" si="461"/>
        <v>9</v>
      </c>
      <c r="BE220" s="37" t="str">
        <f t="shared" si="573"/>
        <v>N/A</v>
      </c>
      <c r="BF220" s="154"/>
      <c r="BG220" s="151">
        <f t="shared" si="574"/>
        <v>9</v>
      </c>
      <c r="BH220" s="37" t="str">
        <f t="shared" si="575"/>
        <v>N/A</v>
      </c>
      <c r="BI220" s="154"/>
      <c r="BJ220" s="151">
        <f t="shared" si="444"/>
        <v>9</v>
      </c>
      <c r="BK220" s="37" t="str">
        <f t="shared" si="576"/>
        <v>N/A</v>
      </c>
      <c r="BL220" s="154"/>
      <c r="BO220" s="35"/>
      <c r="BP220" s="35"/>
      <c r="BQ220" s="35" t="str">
        <f t="shared" si="551"/>
        <v/>
      </c>
      <c r="BR220" s="35">
        <f t="shared" si="396"/>
        <v>9</v>
      </c>
      <c r="BS220" s="35">
        <f t="shared" si="397"/>
        <v>9</v>
      </c>
      <c r="BT220" s="35">
        <f t="shared" si="398"/>
        <v>9</v>
      </c>
      <c r="BW220" s="35" t="str">
        <f t="shared" si="577"/>
        <v>Inn 04</v>
      </c>
      <c r="BX220" s="35" t="str">
        <f>IFERROR(VLOOKUP($E220,'Pre-Assessment Estimator'!$E$11:$AB$227,'Pre-Assessment Estimator'!AB$2,FALSE),"")</f>
        <v>N/A</v>
      </c>
      <c r="BY220" s="35">
        <f>IFERROR(VLOOKUP($E220,'Pre-Assessment Estimator'!$E$11:$AI$227,'Pre-Assessment Estimator'!AI$2,FALSE),"")</f>
        <v>0</v>
      </c>
      <c r="BZ220" s="35">
        <f t="shared" si="564"/>
        <v>1</v>
      </c>
      <c r="CA220" s="35">
        <f t="shared" si="565"/>
        <v>0</v>
      </c>
      <c r="CB220" s="35"/>
      <c r="CC220" t="str">
        <f t="shared" si="566"/>
        <v/>
      </c>
    </row>
    <row r="221" spans="1:85">
      <c r="A221">
        <v>213</v>
      </c>
      <c r="B221" t="str">
        <f t="shared" si="578"/>
        <v>Inn 05</v>
      </c>
      <c r="C221" t="s">
        <v>334</v>
      </c>
      <c r="D221" s="137" t="s">
        <v>532</v>
      </c>
      <c r="E221" s="876" t="str">
        <f t="shared" si="567"/>
        <v xml:space="preserve">Inn 05 - Ene 01: Post-occupancy stage </v>
      </c>
      <c r="F221" s="605">
        <v>2</v>
      </c>
      <c r="G221" s="605">
        <v>2</v>
      </c>
      <c r="H221" s="605">
        <v>2</v>
      </c>
      <c r="I221" s="605">
        <v>2</v>
      </c>
      <c r="J221" s="605">
        <v>2</v>
      </c>
      <c r="K221" s="605">
        <v>2</v>
      </c>
      <c r="L221" s="605">
        <v>2</v>
      </c>
      <c r="M221" s="605">
        <v>2</v>
      </c>
      <c r="N221" s="605">
        <v>2</v>
      </c>
      <c r="O221" s="605">
        <v>2</v>
      </c>
      <c r="P221" s="605">
        <v>2</v>
      </c>
      <c r="Q221" s="606">
        <v>2</v>
      </c>
      <c r="R221" s="606">
        <v>2</v>
      </c>
      <c r="T221" s="139">
        <f t="shared" si="568"/>
        <v>2</v>
      </c>
      <c r="U221" s="137"/>
      <c r="V221" s="35"/>
      <c r="W221" s="35"/>
      <c r="X221" s="138">
        <f>'Manuell filtrering og justering'!E98</f>
        <v>0</v>
      </c>
      <c r="Y221" s="139">
        <f>IF($Y$4=$Y$6,T221,0)</f>
        <v>0</v>
      </c>
      <c r="Z221" s="894">
        <f>VLOOKUP(B221,'Manuell filtrering og justering'!$A$7:$H$253,'Manuell filtrering og justering'!$H$1,FALSE)</f>
        <v>4</v>
      </c>
      <c r="AA221" s="139">
        <f t="shared" si="569"/>
        <v>0</v>
      </c>
      <c r="AB221" s="140">
        <f>IF($AC$5='Manuell filtrering og justering'!$J$2,Z221,(T221-AA221))</f>
        <v>2</v>
      </c>
      <c r="AD221" s="141">
        <f>(Inn_Weight/Inn_Credits)*Inn05_credits</f>
        <v>0.02</v>
      </c>
      <c r="AE221" s="141">
        <f t="shared" si="570"/>
        <v>0</v>
      </c>
      <c r="AF221" s="141">
        <f t="shared" si="571"/>
        <v>0</v>
      </c>
      <c r="AG221" s="141">
        <f t="shared" si="572"/>
        <v>0</v>
      </c>
      <c r="AI221" s="824">
        <f>IF(OR(AI74&lt;&gt;AB74,Ene02_user&lt;&gt;Ene02_credits),0,IF(VLOOKUP(E221,'Pre-Assessment Estimator'!$E$11:$Z$227,'Pre-Assessment Estimator'!$G$2,FALSE)&gt;AB221,AB221,VLOOKUP(E221,'Pre-Assessment Estimator'!$E$11:$Z$227,'Pre-Assessment Estimator'!$G$2,FALSE)))</f>
        <v>0</v>
      </c>
      <c r="AJ221" s="821">
        <f>IF(OR(AJ74&lt;&gt;AB74,AJ75&lt;&gt;Ene02_credits),0,IF(VLOOKUP(E221,'Pre-Assessment Estimator'!$E$11:$Z$227,'Pre-Assessment Estimator'!$N$2,FALSE)&gt;AB221,AB221,VLOOKUP(E221,'Pre-Assessment Estimator'!$E$11:$Z$227,'Pre-Assessment Estimator'!$N$2,FALSE)))</f>
        <v>0</v>
      </c>
      <c r="AK221" s="821">
        <f>IF(OR(AK74&lt;&gt;AB74,AK75&lt;&gt;Ene02_credits),0,IF(VLOOKUP(E221,'Pre-Assessment Estimator'!$E$11:$Z$227,'Pre-Assessment Estimator'!$U$2,FALSE)&gt;AB221,AB221,VLOOKUP(E221,'Pre-Assessment Estimator'!$E$11:$Z$227,'Pre-Assessment Estimator'!$U$2,FALSE)))</f>
        <v>0</v>
      </c>
      <c r="AM221" s="243"/>
      <c r="AN221" s="244"/>
      <c r="AO221" s="244"/>
      <c r="AP221" s="244"/>
      <c r="AQ221" s="564"/>
      <c r="AR221" s="114"/>
      <c r="AS221" s="243"/>
      <c r="AT221" s="244"/>
      <c r="AU221" s="244"/>
      <c r="AV221" s="244"/>
      <c r="AW221" s="245"/>
      <c r="AY221" s="137"/>
      <c r="AZ221" s="35"/>
      <c r="BA221" s="35"/>
      <c r="BB221" s="35"/>
      <c r="BC221" s="154">
        <f t="shared" si="540"/>
        <v>0</v>
      </c>
      <c r="BD221" s="151">
        <f t="shared" si="461"/>
        <v>9</v>
      </c>
      <c r="BE221" s="37" t="str">
        <f t="shared" si="573"/>
        <v>N/A</v>
      </c>
      <c r="BF221" s="154"/>
      <c r="BG221" s="151">
        <f t="shared" si="574"/>
        <v>9</v>
      </c>
      <c r="BH221" s="37" t="str">
        <f t="shared" si="575"/>
        <v>N/A</v>
      </c>
      <c r="BI221" s="154"/>
      <c r="BJ221" s="151">
        <f t="shared" si="444"/>
        <v>9</v>
      </c>
      <c r="BK221" s="37" t="str">
        <f t="shared" si="576"/>
        <v>N/A</v>
      </c>
      <c r="BL221" s="154"/>
      <c r="BO221" s="35"/>
      <c r="BP221" s="35"/>
      <c r="BQ221" s="35" t="str">
        <f t="shared" si="551"/>
        <v/>
      </c>
      <c r="BR221" s="35">
        <f t="shared" si="396"/>
        <v>9</v>
      </c>
      <c r="BS221" s="35">
        <f t="shared" si="397"/>
        <v>9</v>
      </c>
      <c r="BT221" s="35">
        <f t="shared" si="398"/>
        <v>9</v>
      </c>
      <c r="BW221" s="35" t="str">
        <f t="shared" si="577"/>
        <v>Inn 05</v>
      </c>
      <c r="BX221" s="35" t="str">
        <f>IFERROR(VLOOKUP($E221,'Pre-Assessment Estimator'!$E$11:$AB$227,'Pre-Assessment Estimator'!AB$2,FALSE),"")</f>
        <v>N/A</v>
      </c>
      <c r="BY221" s="35">
        <f>IFERROR(VLOOKUP($E221,'Pre-Assessment Estimator'!$E$11:$AI$227,'Pre-Assessment Estimator'!AI$2,FALSE),"")</f>
        <v>0</v>
      </c>
      <c r="BZ221" s="35">
        <f t="shared" si="564"/>
        <v>1</v>
      </c>
      <c r="CA221" s="35">
        <f t="shared" si="565"/>
        <v>0</v>
      </c>
      <c r="CB221" s="35"/>
      <c r="CC221" t="str">
        <f t="shared" si="566"/>
        <v/>
      </c>
    </row>
    <row r="222" spans="1:85">
      <c r="A222">
        <v>214</v>
      </c>
      <c r="B222" t="str">
        <f t="shared" si="578"/>
        <v>Inn 06</v>
      </c>
      <c r="C222" t="s">
        <v>334</v>
      </c>
      <c r="D222" s="137" t="s">
        <v>534</v>
      </c>
      <c r="E222" s="876" t="str">
        <f t="shared" si="567"/>
        <v xml:space="preserve">Inn 06 - Ene 01: Plus house </v>
      </c>
      <c r="F222" s="605">
        <v>1</v>
      </c>
      <c r="G222" s="605">
        <v>1</v>
      </c>
      <c r="H222" s="605">
        <v>1</v>
      </c>
      <c r="I222" s="605">
        <v>1</v>
      </c>
      <c r="J222" s="605">
        <v>1</v>
      </c>
      <c r="K222" s="605">
        <v>1</v>
      </c>
      <c r="L222" s="605">
        <v>1</v>
      </c>
      <c r="M222" s="605">
        <v>1</v>
      </c>
      <c r="N222" s="605">
        <v>1</v>
      </c>
      <c r="O222" s="605">
        <v>1</v>
      </c>
      <c r="P222" s="605">
        <v>1</v>
      </c>
      <c r="Q222" s="606">
        <v>1</v>
      </c>
      <c r="R222" s="606">
        <v>1</v>
      </c>
      <c r="T222" s="139">
        <f t="shared" si="568"/>
        <v>1</v>
      </c>
      <c r="U222" s="137"/>
      <c r="V222" s="35"/>
      <c r="W222" s="35"/>
      <c r="X222" s="138">
        <f>'Manuell filtrering og justering'!E99</f>
        <v>0</v>
      </c>
      <c r="Y222" s="139">
        <f>IF($Y$4=$Y$6,T222,0)</f>
        <v>0</v>
      </c>
      <c r="Z222" s="894">
        <f>VLOOKUP(B222,'Manuell filtrering og justering'!$A$7:$H$253,'Manuell filtrering og justering'!$H$1,FALSE)</f>
        <v>1</v>
      </c>
      <c r="AA222" s="139">
        <f t="shared" si="569"/>
        <v>0</v>
      </c>
      <c r="AB222" s="140">
        <f>IF($AC$5='Manuell filtrering og justering'!$J$2,Z222,(T222-AA222))</f>
        <v>1</v>
      </c>
      <c r="AD222" s="141">
        <f>(Inn_Weight/Inn_Credits)*Inn06_credits</f>
        <v>0.01</v>
      </c>
      <c r="AE222" s="141">
        <f t="shared" si="570"/>
        <v>0</v>
      </c>
      <c r="AF222" s="141">
        <f t="shared" si="571"/>
        <v>0</v>
      </c>
      <c r="AG222" s="141">
        <f t="shared" si="572"/>
        <v>0</v>
      </c>
      <c r="AI222" s="176">
        <f>IF(VLOOKUP(E222,'Pre-Assessment Estimator'!$E$11:$Z$227,'Pre-Assessment Estimator'!$G$2,FALSE)&gt;AB222,AB222,VLOOKUP(E222,'Pre-Assessment Estimator'!$E$11:$Z$227,'Pre-Assessment Estimator'!$G$2,FALSE))</f>
        <v>0</v>
      </c>
      <c r="AJ222" s="142">
        <f>IF(VLOOKUP(E222,'Pre-Assessment Estimator'!$E$11:$Z$227,'Pre-Assessment Estimator'!$N$2,FALSE)&gt;AB222,AB222,VLOOKUP(E222,'Pre-Assessment Estimator'!$E$11:$Z$227,'Pre-Assessment Estimator'!$N$2,FALSE))</f>
        <v>0</v>
      </c>
      <c r="AK222" s="142">
        <f>IF(VLOOKUP(E222,'Pre-Assessment Estimator'!$E$11:$Z$227,'Pre-Assessment Estimator'!$U$2,FALSE)&gt;AB222,AB222,VLOOKUP(E222,'Pre-Assessment Estimator'!$E$11:$Z$227,'Pre-Assessment Estimator'!$U$2,FALSE))</f>
        <v>0</v>
      </c>
      <c r="AM222" s="243"/>
      <c r="AN222" s="244"/>
      <c r="AO222" s="244"/>
      <c r="AP222" s="244"/>
      <c r="AQ222" s="564"/>
      <c r="AR222" s="114"/>
      <c r="AS222" s="243"/>
      <c r="AT222" s="244"/>
      <c r="AU222" s="244"/>
      <c r="AV222" s="244"/>
      <c r="AW222" s="245"/>
      <c r="AY222" s="137"/>
      <c r="AZ222" s="35"/>
      <c r="BA222" s="35"/>
      <c r="BB222" s="35"/>
      <c r="BC222" s="154">
        <f t="shared" si="540"/>
        <v>0</v>
      </c>
      <c r="BD222" s="151">
        <f t="shared" si="461"/>
        <v>9</v>
      </c>
      <c r="BE222" s="37" t="str">
        <f t="shared" si="573"/>
        <v>N/A</v>
      </c>
      <c r="BF222" s="154"/>
      <c r="BG222" s="151">
        <f t="shared" si="574"/>
        <v>9</v>
      </c>
      <c r="BH222" s="37" t="str">
        <f t="shared" si="575"/>
        <v>N/A</v>
      </c>
      <c r="BI222" s="154"/>
      <c r="BJ222" s="151">
        <f t="shared" si="444"/>
        <v>9</v>
      </c>
      <c r="BK222" s="37" t="str">
        <f t="shared" si="576"/>
        <v>N/A</v>
      </c>
      <c r="BL222" s="154"/>
      <c r="BO222" s="35"/>
      <c r="BP222" s="35"/>
      <c r="BQ222" s="35" t="str">
        <f t="shared" si="551"/>
        <v/>
      </c>
      <c r="BR222" s="35">
        <f t="shared" si="396"/>
        <v>9</v>
      </c>
      <c r="BS222" s="35">
        <f t="shared" si="397"/>
        <v>9</v>
      </c>
      <c r="BT222" s="35">
        <f t="shared" si="398"/>
        <v>9</v>
      </c>
      <c r="BW222" s="35" t="str">
        <f t="shared" si="577"/>
        <v>Inn 06</v>
      </c>
      <c r="BX222" s="35" t="str">
        <f>IFERROR(VLOOKUP($E222,'Pre-Assessment Estimator'!$E$11:$AB$227,'Pre-Assessment Estimator'!AB$2,FALSE),"")</f>
        <v>N/A</v>
      </c>
      <c r="BY222" s="35">
        <f>IFERROR(VLOOKUP($E222,'Pre-Assessment Estimator'!$E$11:$AI$227,'Pre-Assessment Estimator'!AI$2,FALSE),"")</f>
        <v>0</v>
      </c>
      <c r="BZ222" s="35">
        <f t="shared" si="564"/>
        <v>1</v>
      </c>
      <c r="CA222" s="35">
        <f t="shared" si="565"/>
        <v>0</v>
      </c>
      <c r="CB222" s="35"/>
      <c r="CC222" t="str">
        <f t="shared" si="566"/>
        <v/>
      </c>
    </row>
    <row r="223" spans="1:85">
      <c r="A223">
        <v>215</v>
      </c>
      <c r="B223" t="str">
        <f t="shared" si="578"/>
        <v>Inn 07</v>
      </c>
      <c r="C223" t="s">
        <v>387</v>
      </c>
      <c r="D223" s="137" t="s">
        <v>536</v>
      </c>
      <c r="E223" s="35" t="str">
        <f t="shared" si="567"/>
        <v>Inn 07 - Wat 01: Highly water efficient components</v>
      </c>
      <c r="F223" s="607">
        <v>1</v>
      </c>
      <c r="G223" s="607">
        <v>1</v>
      </c>
      <c r="H223" s="607">
        <v>1</v>
      </c>
      <c r="I223" s="607">
        <v>1</v>
      </c>
      <c r="J223" s="607">
        <v>1</v>
      </c>
      <c r="K223" s="607">
        <v>1</v>
      </c>
      <c r="L223" s="607">
        <v>1</v>
      </c>
      <c r="M223" s="607">
        <v>1</v>
      </c>
      <c r="N223" s="607">
        <v>1</v>
      </c>
      <c r="O223" s="607">
        <v>1</v>
      </c>
      <c r="P223" s="607">
        <v>1</v>
      </c>
      <c r="Q223" s="608">
        <v>1</v>
      </c>
      <c r="R223" s="608">
        <v>1</v>
      </c>
      <c r="T223" s="139">
        <f t="shared" si="568"/>
        <v>1</v>
      </c>
      <c r="U223" s="137"/>
      <c r="V223" s="35"/>
      <c r="W223" s="35"/>
      <c r="X223" s="138">
        <f>'Manuell filtrering og justering'!E100</f>
        <v>0</v>
      </c>
      <c r="Y223" s="139"/>
      <c r="Z223" s="894">
        <f>VLOOKUP(B223,'Manuell filtrering og justering'!$A$7:$H$253,'Manuell filtrering og justering'!$H$1,FALSE)</f>
        <v>1</v>
      </c>
      <c r="AA223" s="139">
        <f t="shared" si="569"/>
        <v>0</v>
      </c>
      <c r="AB223" s="140">
        <f>IF($AC$5='Manuell filtrering og justering'!$J$2,Z223,(T223-AA223))</f>
        <v>1</v>
      </c>
      <c r="AD223" s="141">
        <f>(Inn_Weight/Inn_Credits)*Inn07_credits</f>
        <v>0.01</v>
      </c>
      <c r="AE223" s="141">
        <f t="shared" si="570"/>
        <v>0</v>
      </c>
      <c r="AF223" s="141">
        <f t="shared" si="571"/>
        <v>0</v>
      </c>
      <c r="AG223" s="141">
        <f t="shared" si="572"/>
        <v>0</v>
      </c>
      <c r="AI223" s="176">
        <f>IF(VLOOKUP(E223,'Pre-Assessment Estimator'!$E$11:$Z$227,'Pre-Assessment Estimator'!$G$2,FALSE)&gt;AB223,AB223,VLOOKUP(E223,'Pre-Assessment Estimator'!$E$11:$Z$227,'Pre-Assessment Estimator'!$G$2,FALSE))</f>
        <v>0</v>
      </c>
      <c r="AJ223" s="142">
        <f>IF(VLOOKUP(E223,'Pre-Assessment Estimator'!$E$11:$Z$227,'Pre-Assessment Estimator'!$N$2,FALSE)&gt;AB223,AB223,VLOOKUP(E223,'Pre-Assessment Estimator'!$E$11:$Z$227,'Pre-Assessment Estimator'!$N$2,FALSE))</f>
        <v>0</v>
      </c>
      <c r="AK223" s="142">
        <f>IF(VLOOKUP(E223,'Pre-Assessment Estimator'!$E$11:$Z$227,'Pre-Assessment Estimator'!$U$2,FALSE)&gt;AB223,AB223,VLOOKUP(E223,'Pre-Assessment Estimator'!$E$11:$Z$227,'Pre-Assessment Estimator'!$U$2,FALSE))</f>
        <v>0</v>
      </c>
      <c r="AM223" s="243"/>
      <c r="AN223" s="244"/>
      <c r="AO223" s="244"/>
      <c r="AP223" s="244"/>
      <c r="AQ223" s="564"/>
      <c r="AR223" s="114"/>
      <c r="AS223" s="243"/>
      <c r="AT223" s="244"/>
      <c r="AU223" s="244"/>
      <c r="AV223" s="244"/>
      <c r="AW223" s="245"/>
      <c r="AY223" s="137"/>
      <c r="AZ223" s="35"/>
      <c r="BA223" s="35"/>
      <c r="BB223" s="35"/>
      <c r="BC223" s="154">
        <f t="shared" si="540"/>
        <v>0</v>
      </c>
      <c r="BD223" s="151">
        <f t="shared" si="461"/>
        <v>9</v>
      </c>
      <c r="BE223" s="37" t="str">
        <f t="shared" si="573"/>
        <v>N/A</v>
      </c>
      <c r="BF223" s="154"/>
      <c r="BG223" s="151">
        <f t="shared" si="574"/>
        <v>9</v>
      </c>
      <c r="BH223" s="37" t="str">
        <f t="shared" si="575"/>
        <v>N/A</v>
      </c>
      <c r="BI223" s="154"/>
      <c r="BJ223" s="151">
        <f t="shared" si="444"/>
        <v>9</v>
      </c>
      <c r="BK223" s="37" t="str">
        <f t="shared" si="576"/>
        <v>N/A</v>
      </c>
      <c r="BL223" s="154"/>
      <c r="BO223" s="35"/>
      <c r="BP223" s="35"/>
      <c r="BQ223" s="35" t="str">
        <f t="shared" si="551"/>
        <v/>
      </c>
      <c r="BR223" s="35">
        <f t="shared" ref="BR223:BR230" si="579">IF(BQ223="",9,(IF(AI223&gt;=BQ223,5,0)))</f>
        <v>9</v>
      </c>
      <c r="BS223" s="35">
        <f t="shared" ref="BS223:BS230" si="580">IF(BQ223="",9,(IF(AJ223&gt;=BQ223,5,0)))</f>
        <v>9</v>
      </c>
      <c r="BT223" s="35">
        <f t="shared" ref="BT223:BT230" si="581">IF(BQ223="",9,(IF(AK223&gt;=BQ223,5,0)))</f>
        <v>9</v>
      </c>
      <c r="BW223" s="35" t="str">
        <f t="shared" si="577"/>
        <v>Inn 07</v>
      </c>
      <c r="BX223" s="35" t="str">
        <f>IFERROR(VLOOKUP($E223,'Pre-Assessment Estimator'!$E$11:$AB$227,'Pre-Assessment Estimator'!AB$2,FALSE),"")</f>
        <v>N/A</v>
      </c>
      <c r="BY223" s="35">
        <f>IFERROR(VLOOKUP($E223,'Pre-Assessment Estimator'!$E$11:$AI$227,'Pre-Assessment Estimator'!AI$2,FALSE),"")</f>
        <v>0</v>
      </c>
      <c r="BZ223" s="35">
        <f t="shared" si="564"/>
        <v>1</v>
      </c>
      <c r="CA223" s="35">
        <f t="shared" si="565"/>
        <v>0</v>
      </c>
      <c r="CB223" s="35"/>
      <c r="CC223" t="str">
        <f t="shared" si="566"/>
        <v/>
      </c>
    </row>
    <row r="224" spans="1:85">
      <c r="A224">
        <v>216</v>
      </c>
      <c r="B224" t="str">
        <f t="shared" si="578"/>
        <v>Inn 08</v>
      </c>
      <c r="C224" t="s">
        <v>410</v>
      </c>
      <c r="D224" s="137" t="s">
        <v>538</v>
      </c>
      <c r="E224" s="35" t="str">
        <f t="shared" si="567"/>
        <v xml:space="preserve">Inn 08 - Mat 01: 60% reduction of greenhouse gas emission </v>
      </c>
      <c r="F224" s="607">
        <v>1</v>
      </c>
      <c r="G224" s="607">
        <v>1</v>
      </c>
      <c r="H224" s="607">
        <v>1</v>
      </c>
      <c r="I224" s="607">
        <v>1</v>
      </c>
      <c r="J224" s="607">
        <v>1</v>
      </c>
      <c r="K224" s="607">
        <v>1</v>
      </c>
      <c r="L224" s="607">
        <v>1</v>
      </c>
      <c r="M224" s="607">
        <v>1</v>
      </c>
      <c r="N224" s="607">
        <v>1</v>
      </c>
      <c r="O224" s="607">
        <v>1</v>
      </c>
      <c r="P224" s="607">
        <v>1</v>
      </c>
      <c r="Q224" s="608">
        <v>1</v>
      </c>
      <c r="R224" s="608">
        <v>1</v>
      </c>
      <c r="T224" s="139">
        <f t="shared" si="568"/>
        <v>1</v>
      </c>
      <c r="U224" s="137"/>
      <c r="V224" s="35"/>
      <c r="W224" s="35"/>
      <c r="X224" s="138">
        <f>'Manuell filtrering og justering'!E101</f>
        <v>0</v>
      </c>
      <c r="Y224" s="139"/>
      <c r="Z224" s="894">
        <f>VLOOKUP(B224,'Manuell filtrering og justering'!$A$7:$H$253,'Manuell filtrering og justering'!$H$1,FALSE)</f>
        <v>1</v>
      </c>
      <c r="AA224" s="139">
        <f t="shared" si="569"/>
        <v>0</v>
      </c>
      <c r="AB224" s="140">
        <f>IF($AC$5='Manuell filtrering og justering'!$J$2,Z224,(T224-AA224))</f>
        <v>1</v>
      </c>
      <c r="AD224" s="141">
        <f>(Inn_Weight/Inn_Credits)*Inn08_credits</f>
        <v>0.01</v>
      </c>
      <c r="AE224" s="141">
        <f t="shared" si="570"/>
        <v>0</v>
      </c>
      <c r="AF224" s="141">
        <f t="shared" si="571"/>
        <v>0</v>
      </c>
      <c r="AG224" s="141">
        <f t="shared" si="572"/>
        <v>0</v>
      </c>
      <c r="AI224" s="176">
        <f>IF(VLOOKUP(E224,'Pre-Assessment Estimator'!$E$11:$Z$227,'Pre-Assessment Estimator'!$G$2,FALSE)&gt;AB224,AB224,VLOOKUP(E224,'Pre-Assessment Estimator'!$E$11:$Z$227,'Pre-Assessment Estimator'!$G$2,FALSE))</f>
        <v>0</v>
      </c>
      <c r="AJ224" s="142">
        <f>IF(VLOOKUP(E224,'Pre-Assessment Estimator'!$E$11:$Z$227,'Pre-Assessment Estimator'!$N$2,FALSE)&gt;AB224,AB224,VLOOKUP(E224,'Pre-Assessment Estimator'!$E$11:$Z$227,'Pre-Assessment Estimator'!$N$2,FALSE))</f>
        <v>0</v>
      </c>
      <c r="AK224" s="142">
        <f>IF(VLOOKUP(E224,'Pre-Assessment Estimator'!$E$11:$Z$227,'Pre-Assessment Estimator'!$U$2,FALSE)&gt;AB224,AB224,VLOOKUP(E224,'Pre-Assessment Estimator'!$E$11:$Z$227,'Pre-Assessment Estimator'!$U$2,FALSE))</f>
        <v>0</v>
      </c>
      <c r="AM224" s="243"/>
      <c r="AN224" s="244"/>
      <c r="AO224" s="244"/>
      <c r="AP224" s="244"/>
      <c r="AQ224" s="564"/>
      <c r="AR224" s="114"/>
      <c r="AS224" s="243"/>
      <c r="AT224" s="244"/>
      <c r="AU224" s="244"/>
      <c r="AV224" s="244"/>
      <c r="AW224" s="245"/>
      <c r="AY224" s="137"/>
      <c r="AZ224" s="35"/>
      <c r="BA224" s="35"/>
      <c r="BB224" s="35"/>
      <c r="BC224" s="154">
        <f>IF($E$6=$H$9,AW224,AQ224)</f>
        <v>0</v>
      </c>
      <c r="BD224" s="151">
        <f t="shared" si="461"/>
        <v>9</v>
      </c>
      <c r="BE224" s="37" t="str">
        <f t="shared" si="573"/>
        <v>N/A</v>
      </c>
      <c r="BF224" s="154"/>
      <c r="BG224" s="151">
        <f t="shared" si="574"/>
        <v>9</v>
      </c>
      <c r="BH224" s="37" t="str">
        <f t="shared" si="575"/>
        <v>N/A</v>
      </c>
      <c r="BI224" s="154"/>
      <c r="BJ224" s="151">
        <f t="shared" si="444"/>
        <v>9</v>
      </c>
      <c r="BK224" s="37" t="str">
        <f t="shared" si="576"/>
        <v>N/A</v>
      </c>
      <c r="BL224" s="154"/>
      <c r="BO224" s="35"/>
      <c r="BP224" s="35"/>
      <c r="BQ224" s="35" t="str">
        <f t="shared" si="551"/>
        <v/>
      </c>
      <c r="BR224" s="35">
        <f t="shared" si="579"/>
        <v>9</v>
      </c>
      <c r="BS224" s="35">
        <f t="shared" si="580"/>
        <v>9</v>
      </c>
      <c r="BT224" s="35">
        <f t="shared" si="581"/>
        <v>9</v>
      </c>
      <c r="BW224" s="35" t="str">
        <f t="shared" si="577"/>
        <v>Inn 08</v>
      </c>
      <c r="BX224" s="35" t="str">
        <f>IFERROR(VLOOKUP($E224,'Pre-Assessment Estimator'!$E$11:$AB$227,'Pre-Assessment Estimator'!AB$2,FALSE),"")</f>
        <v>N/A</v>
      </c>
      <c r="BY224" s="35">
        <f>IFERROR(VLOOKUP($E224,'Pre-Assessment Estimator'!$E$11:$AI$227,'Pre-Assessment Estimator'!AI$2,FALSE),"")</f>
        <v>0</v>
      </c>
      <c r="BZ224" s="35">
        <f t="shared" si="564"/>
        <v>1</v>
      </c>
      <c r="CA224" s="35">
        <f t="shared" si="565"/>
        <v>0</v>
      </c>
      <c r="CB224" s="35"/>
      <c r="CC224" t="str">
        <f t="shared" si="566"/>
        <v/>
      </c>
    </row>
    <row r="225" spans="1:81">
      <c r="A225">
        <v>217</v>
      </c>
      <c r="B225" t="str">
        <f t="shared" si="578"/>
        <v>Inn 09</v>
      </c>
      <c r="C225" t="s">
        <v>431</v>
      </c>
      <c r="D225" s="137" t="s">
        <v>540</v>
      </c>
      <c r="E225" s="35" t="str">
        <f t="shared" si="567"/>
        <v>Inn 09 - Mat 06: FutureBuilt criteria set for circular buildings, point 2.3 reuse of building components</v>
      </c>
      <c r="F225" s="607">
        <v>1</v>
      </c>
      <c r="G225" s="607">
        <v>1</v>
      </c>
      <c r="H225" s="607">
        <v>1</v>
      </c>
      <c r="I225" s="607">
        <v>1</v>
      </c>
      <c r="J225" s="607">
        <v>1</v>
      </c>
      <c r="K225" s="607">
        <v>1</v>
      </c>
      <c r="L225" s="607">
        <v>1</v>
      </c>
      <c r="M225" s="607">
        <v>1</v>
      </c>
      <c r="N225" s="607">
        <v>1</v>
      </c>
      <c r="O225" s="607">
        <v>1</v>
      </c>
      <c r="P225" s="607">
        <v>1</v>
      </c>
      <c r="Q225" s="608">
        <v>1</v>
      </c>
      <c r="R225" s="608">
        <v>1</v>
      </c>
      <c r="T225" s="139">
        <f t="shared" si="568"/>
        <v>1</v>
      </c>
      <c r="U225" s="158"/>
      <c r="V225" s="40"/>
      <c r="W225" s="40"/>
      <c r="X225" s="138">
        <f>'Manuell filtrering og justering'!E102</f>
        <v>0</v>
      </c>
      <c r="Y225" s="139"/>
      <c r="Z225" s="894">
        <f>VLOOKUP(B225,'Manuell filtrering og justering'!$A$7:$H$253,'Manuell filtrering og justering'!$H$1,FALSE)</f>
        <v>1</v>
      </c>
      <c r="AA225" s="139">
        <f t="shared" si="569"/>
        <v>0</v>
      </c>
      <c r="AB225" s="140">
        <f>IF($AC$5='Manuell filtrering og justering'!$J$2,Z225,(T225-AA225))</f>
        <v>1</v>
      </c>
      <c r="AD225" s="141">
        <f>(Inn_Weight/Inn_Credits)*Inn09_credits</f>
        <v>0.01</v>
      </c>
      <c r="AE225" s="141">
        <f t="shared" si="570"/>
        <v>0</v>
      </c>
      <c r="AF225" s="141">
        <f t="shared" si="571"/>
        <v>0</v>
      </c>
      <c r="AG225" s="141">
        <f t="shared" si="572"/>
        <v>0</v>
      </c>
      <c r="AI225" s="176">
        <f>IF(VLOOKUP(E225,'Pre-Assessment Estimator'!$E$11:$Z$227,'Pre-Assessment Estimator'!$G$2,FALSE)&gt;AB225,AB225,VLOOKUP(E225,'Pre-Assessment Estimator'!$E$11:$Z$227,'Pre-Assessment Estimator'!$G$2,FALSE))</f>
        <v>0</v>
      </c>
      <c r="AJ225" s="142">
        <f>IF(VLOOKUP(E225,'Pre-Assessment Estimator'!$E$11:$Z$227,'Pre-Assessment Estimator'!$N$2,FALSE)&gt;AB225,AB225,VLOOKUP(E225,'Pre-Assessment Estimator'!$E$11:$Z$227,'Pre-Assessment Estimator'!$N$2,FALSE))</f>
        <v>0</v>
      </c>
      <c r="AK225" s="142">
        <f>IF(VLOOKUP(E225,'Pre-Assessment Estimator'!$E$11:$Z$227,'Pre-Assessment Estimator'!$U$2,FALSE)&gt;AB225,AB225,VLOOKUP(E225,'Pre-Assessment Estimator'!$E$11:$Z$227,'Pre-Assessment Estimator'!$U$2,FALSE))</f>
        <v>0</v>
      </c>
      <c r="AM225" s="243"/>
      <c r="AN225" s="244"/>
      <c r="AO225" s="244"/>
      <c r="AP225" s="244"/>
      <c r="AQ225" s="564"/>
      <c r="AR225" s="114"/>
      <c r="AS225" s="243"/>
      <c r="AT225" s="244"/>
      <c r="AU225" s="244"/>
      <c r="AV225" s="244"/>
      <c r="AW225" s="245"/>
      <c r="AY225" s="137"/>
      <c r="AZ225" s="35"/>
      <c r="BA225" s="35"/>
      <c r="BB225" s="35"/>
      <c r="BC225" s="154">
        <f>IF($E$6=$H$9,AW225,AQ225)</f>
        <v>0</v>
      </c>
      <c r="BD225" s="151">
        <f t="shared" si="461"/>
        <v>9</v>
      </c>
      <c r="BE225" s="37" t="str">
        <f t="shared" si="573"/>
        <v>N/A</v>
      </c>
      <c r="BF225" s="154"/>
      <c r="BG225" s="151">
        <f t="shared" si="574"/>
        <v>9</v>
      </c>
      <c r="BH225" s="37" t="str">
        <f t="shared" si="575"/>
        <v>N/A</v>
      </c>
      <c r="BI225" s="154"/>
      <c r="BJ225" s="151">
        <f t="shared" si="444"/>
        <v>9</v>
      </c>
      <c r="BK225" s="37" t="str">
        <f t="shared" si="576"/>
        <v>N/A</v>
      </c>
      <c r="BL225" s="154"/>
      <c r="BO225" s="35"/>
      <c r="BP225" s="35"/>
      <c r="BQ225" s="35" t="str">
        <f t="shared" si="551"/>
        <v/>
      </c>
      <c r="BR225" s="35">
        <f t="shared" si="579"/>
        <v>9</v>
      </c>
      <c r="BS225" s="35">
        <f t="shared" si="580"/>
        <v>9</v>
      </c>
      <c r="BT225" s="35">
        <f t="shared" si="581"/>
        <v>9</v>
      </c>
      <c r="BW225" s="35" t="str">
        <f t="shared" si="577"/>
        <v>Inn 09</v>
      </c>
      <c r="BX225" s="35" t="str">
        <f>IFERROR(VLOOKUP($E225,'Pre-Assessment Estimator'!$E$11:$AB$227,'Pre-Assessment Estimator'!AB$2,FALSE),"")</f>
        <v>N/A</v>
      </c>
      <c r="BY225" s="35">
        <f>IFERROR(VLOOKUP($E225,'Pre-Assessment Estimator'!$E$11:$AI$227,'Pre-Assessment Estimator'!AI$2,FALSE),"")</f>
        <v>0</v>
      </c>
      <c r="BZ225" s="35">
        <f t="shared" si="564"/>
        <v>1</v>
      </c>
      <c r="CA225" s="35">
        <f t="shared" si="565"/>
        <v>0</v>
      </c>
      <c r="CB225" s="35"/>
      <c r="CC225" t="str">
        <f t="shared" si="566"/>
        <v/>
      </c>
    </row>
    <row r="226" spans="1:81">
      <c r="A226">
        <v>218</v>
      </c>
      <c r="B226" t="str">
        <f t="shared" si="578"/>
        <v>Inn 10</v>
      </c>
      <c r="C226" t="s">
        <v>444</v>
      </c>
      <c r="D226" s="182" t="s">
        <v>542</v>
      </c>
      <c r="E226" s="35" t="str">
        <f t="shared" si="567"/>
        <v xml:space="preserve">Inn 10 - Wst 01: Especially low amount of construction waste </v>
      </c>
      <c r="F226" s="607">
        <v>1</v>
      </c>
      <c r="G226" s="607">
        <v>1</v>
      </c>
      <c r="H226" s="607">
        <v>1</v>
      </c>
      <c r="I226" s="607">
        <v>1</v>
      </c>
      <c r="J226" s="607">
        <v>1</v>
      </c>
      <c r="K226" s="607">
        <v>1</v>
      </c>
      <c r="L226" s="607">
        <v>1</v>
      </c>
      <c r="M226" s="607">
        <v>1</v>
      </c>
      <c r="N226" s="607">
        <v>1</v>
      </c>
      <c r="O226" s="607">
        <v>1</v>
      </c>
      <c r="P226" s="607">
        <v>1</v>
      </c>
      <c r="Q226" s="608">
        <v>1</v>
      </c>
      <c r="R226" s="608">
        <v>1</v>
      </c>
      <c r="T226" s="139">
        <f t="shared" si="568"/>
        <v>1</v>
      </c>
      <c r="U226" s="158"/>
      <c r="V226" s="40"/>
      <c r="W226" s="40"/>
      <c r="X226" s="138">
        <f>'Manuell filtrering og justering'!E103</f>
        <v>0</v>
      </c>
      <c r="Y226" s="139"/>
      <c r="Z226" s="894">
        <f>VLOOKUP(B226,'Manuell filtrering og justering'!$A$7:$H$253,'Manuell filtrering og justering'!$H$1,FALSE)</f>
        <v>1</v>
      </c>
      <c r="AA226" s="139">
        <f t="shared" si="569"/>
        <v>0</v>
      </c>
      <c r="AB226" s="140">
        <f>IF($AC$5='Manuell filtrering og justering'!$J$2,Z226,(T226-AA226))</f>
        <v>1</v>
      </c>
      <c r="AD226" s="141">
        <f>(Inn_Weight/Inn_Credits)*Inn10_credits</f>
        <v>0.01</v>
      </c>
      <c r="AE226" s="141">
        <f t="shared" si="570"/>
        <v>0</v>
      </c>
      <c r="AF226" s="141">
        <f t="shared" si="571"/>
        <v>0</v>
      </c>
      <c r="AG226" s="141">
        <f t="shared" si="572"/>
        <v>0</v>
      </c>
      <c r="AI226" s="176">
        <f>IF(VLOOKUP(E226,'Pre-Assessment Estimator'!$E$11:$Z$227,'Pre-Assessment Estimator'!$G$2,FALSE)&gt;AB226,AB226,VLOOKUP(E226,'Pre-Assessment Estimator'!$E$11:$Z$227,'Pre-Assessment Estimator'!$G$2,FALSE))</f>
        <v>0</v>
      </c>
      <c r="AJ226" s="142">
        <f>IF(VLOOKUP(E226,'Pre-Assessment Estimator'!$E$11:$Z$227,'Pre-Assessment Estimator'!$N$2,FALSE)&gt;AB226,AB226,VLOOKUP(E226,'Pre-Assessment Estimator'!$E$11:$Z$227,'Pre-Assessment Estimator'!$N$2,FALSE))</f>
        <v>0</v>
      </c>
      <c r="AK226" s="142">
        <f>IF(VLOOKUP(E226,'Pre-Assessment Estimator'!$E$11:$Z$227,'Pre-Assessment Estimator'!$U$2,FALSE)&gt;AB226,AB226,VLOOKUP(E226,'Pre-Assessment Estimator'!$E$11:$Z$227,'Pre-Assessment Estimator'!$U$2,FALSE))</f>
        <v>0</v>
      </c>
      <c r="AM226" s="243"/>
      <c r="AN226" s="244"/>
      <c r="AO226" s="244"/>
      <c r="AP226" s="244"/>
      <c r="AQ226" s="564"/>
      <c r="AR226" s="114"/>
      <c r="AS226" s="243"/>
      <c r="AT226" s="244"/>
      <c r="AU226" s="244"/>
      <c r="AV226" s="244"/>
      <c r="AW226" s="245"/>
      <c r="AY226" s="137"/>
      <c r="AZ226" s="35"/>
      <c r="BA226" s="35"/>
      <c r="BB226" s="35"/>
      <c r="BC226" s="154">
        <f t="shared" ref="BC226:BC229" si="582">IF($E$6=$H$9,AW226,AQ226)</f>
        <v>0</v>
      </c>
      <c r="BD226" s="151">
        <f t="shared" ref="BD226:BD229" si="583">IF(BC226=0,9,IF(AI226&gt;=BC226,5,IF(AI226&gt;=BB226,4,IF(AI226&gt;=BA226,3,IF(AI226&gt;=AZ226,2,IF(AI226&lt;AY226,0,1))))))</f>
        <v>9</v>
      </c>
      <c r="BE226" s="37" t="str">
        <f t="shared" si="573"/>
        <v>N/A</v>
      </c>
      <c r="BF226" s="154"/>
      <c r="BG226" s="151">
        <f t="shared" ref="BG226:BG229" si="584">IF(BC226=0,9,IF(AJ226&gt;=BC226,5,IF(AJ226&gt;=BB226,4,IF(AJ226&gt;=BA226,3,IF(AJ226&gt;=AZ226,2,IF(AJ226&lt;AY226,0,1))))))</f>
        <v>9</v>
      </c>
      <c r="BH226" s="37" t="str">
        <f t="shared" si="575"/>
        <v>N/A</v>
      </c>
      <c r="BI226" s="154"/>
      <c r="BJ226" s="151">
        <f t="shared" ref="BJ226:BJ229" si="585">IF(BC226=0,9,IF(AK226&gt;=BC226,5,IF(AK226&gt;=BB226,4,IF(AK226&gt;=BA226,3,IF(AK226&gt;=AZ226,2,IF(AK226&lt;AY226,0,1))))))</f>
        <v>9</v>
      </c>
      <c r="BK226" s="37" t="str">
        <f t="shared" si="576"/>
        <v>N/A</v>
      </c>
      <c r="BL226" s="154"/>
      <c r="BO226" s="35"/>
      <c r="BP226" s="35"/>
      <c r="BQ226" s="35" t="str">
        <f t="shared" si="551"/>
        <v/>
      </c>
      <c r="BR226" s="35">
        <f t="shared" si="579"/>
        <v>9</v>
      </c>
      <c r="BS226" s="35">
        <f t="shared" si="580"/>
        <v>9</v>
      </c>
      <c r="BT226" s="35">
        <f t="shared" si="581"/>
        <v>9</v>
      </c>
      <c r="BW226" s="55"/>
      <c r="BX226" s="55"/>
      <c r="BY226" s="55"/>
      <c r="BZ226" s="55"/>
      <c r="CA226" s="55"/>
      <c r="CB226" s="55"/>
    </row>
    <row r="227" spans="1:81">
      <c r="A227">
        <v>219</v>
      </c>
      <c r="B227" t="str">
        <f t="shared" si="578"/>
        <v>Inn 11</v>
      </c>
      <c r="C227" t="s">
        <v>467</v>
      </c>
      <c r="D227" s="182" t="s">
        <v>543</v>
      </c>
      <c r="E227" s="35" t="str">
        <f t="shared" si="567"/>
        <v>Inn 11 - LE 02: Wider sustainability for the site</v>
      </c>
      <c r="F227" s="607">
        <v>1</v>
      </c>
      <c r="G227" s="607">
        <v>1</v>
      </c>
      <c r="H227" s="607">
        <v>1</v>
      </c>
      <c r="I227" s="607">
        <v>1</v>
      </c>
      <c r="J227" s="607">
        <v>1</v>
      </c>
      <c r="K227" s="607">
        <v>1</v>
      </c>
      <c r="L227" s="607">
        <v>1</v>
      </c>
      <c r="M227" s="607">
        <v>1</v>
      </c>
      <c r="N227" s="607">
        <v>1</v>
      </c>
      <c r="O227" s="607">
        <v>1</v>
      </c>
      <c r="P227" s="607">
        <v>1</v>
      </c>
      <c r="Q227" s="608">
        <v>1</v>
      </c>
      <c r="R227" s="608">
        <v>1</v>
      </c>
      <c r="T227" s="139">
        <f t="shared" si="568"/>
        <v>1</v>
      </c>
      <c r="U227" s="158"/>
      <c r="V227" s="40"/>
      <c r="W227" s="40"/>
      <c r="X227" s="138">
        <f>'Manuell filtrering og justering'!E104</f>
        <v>0</v>
      </c>
      <c r="Y227" s="139"/>
      <c r="Z227" s="894">
        <f>VLOOKUP(B227,'Manuell filtrering og justering'!$A$7:$H$253,'Manuell filtrering og justering'!$H$1,FALSE)</f>
        <v>1</v>
      </c>
      <c r="AA227" s="139">
        <f t="shared" si="569"/>
        <v>0</v>
      </c>
      <c r="AB227" s="140">
        <f>IF($AC$5='Manuell filtrering og justering'!$J$2,Z227,(T227-AA227))</f>
        <v>1</v>
      </c>
      <c r="AD227" s="141">
        <f>(Inn_Weight/Inn_Credits)*Inn11_credits</f>
        <v>0.01</v>
      </c>
      <c r="AE227" s="141">
        <f t="shared" si="570"/>
        <v>0</v>
      </c>
      <c r="AF227" s="141">
        <f t="shared" si="571"/>
        <v>0</v>
      </c>
      <c r="AG227" s="141">
        <f t="shared" si="572"/>
        <v>0</v>
      </c>
      <c r="AI227" s="176">
        <f>IF(VLOOKUP(E227,'Pre-Assessment Estimator'!$E$11:$Z$227,'Pre-Assessment Estimator'!$G$2,FALSE)&gt;AB227,AB227,VLOOKUP(E227,'Pre-Assessment Estimator'!$E$11:$Z$227,'Pre-Assessment Estimator'!$G$2,FALSE))</f>
        <v>0</v>
      </c>
      <c r="AJ227" s="142">
        <f>IF(VLOOKUP(E227,'Pre-Assessment Estimator'!$E$11:$Z$227,'Pre-Assessment Estimator'!$N$2,FALSE)&gt;AB227,AB227,VLOOKUP(E227,'Pre-Assessment Estimator'!$E$11:$Z$227,'Pre-Assessment Estimator'!$N$2,FALSE))</f>
        <v>0</v>
      </c>
      <c r="AK227" s="142">
        <f>IF(VLOOKUP(E227,'Pre-Assessment Estimator'!$E$11:$Z$227,'Pre-Assessment Estimator'!$U$2,FALSE)&gt;AB227,AB227,VLOOKUP(E227,'Pre-Assessment Estimator'!$E$11:$Z$227,'Pre-Assessment Estimator'!$U$2,FALSE))</f>
        <v>0</v>
      </c>
      <c r="AM227" s="243"/>
      <c r="AN227" s="244"/>
      <c r="AO227" s="244"/>
      <c r="AP227" s="244"/>
      <c r="AQ227" s="564"/>
      <c r="AR227" s="114"/>
      <c r="AS227" s="243"/>
      <c r="AT227" s="244"/>
      <c r="AU227" s="244"/>
      <c r="AV227" s="244"/>
      <c r="AW227" s="245"/>
      <c r="AY227" s="137"/>
      <c r="AZ227" s="35"/>
      <c r="BA227" s="35"/>
      <c r="BB227" s="35"/>
      <c r="BC227" s="154">
        <f t="shared" si="582"/>
        <v>0</v>
      </c>
      <c r="BD227" s="151">
        <f t="shared" si="583"/>
        <v>9</v>
      </c>
      <c r="BE227" s="37" t="str">
        <f t="shared" si="573"/>
        <v>N/A</v>
      </c>
      <c r="BF227" s="154"/>
      <c r="BG227" s="151">
        <f t="shared" si="584"/>
        <v>9</v>
      </c>
      <c r="BH227" s="37" t="str">
        <f t="shared" si="575"/>
        <v>N/A</v>
      </c>
      <c r="BI227" s="154"/>
      <c r="BJ227" s="151">
        <f t="shared" si="585"/>
        <v>9</v>
      </c>
      <c r="BK227" s="37" t="str">
        <f t="shared" si="576"/>
        <v>N/A</v>
      </c>
      <c r="BL227" s="154"/>
      <c r="BO227" s="35"/>
      <c r="BP227" s="35"/>
      <c r="BQ227" s="35" t="str">
        <f t="shared" si="551"/>
        <v/>
      </c>
      <c r="BR227" s="35">
        <f t="shared" si="579"/>
        <v>9</v>
      </c>
      <c r="BS227" s="35">
        <f t="shared" si="580"/>
        <v>9</v>
      </c>
      <c r="BT227" s="35">
        <f t="shared" si="581"/>
        <v>9</v>
      </c>
      <c r="BW227" s="55"/>
      <c r="BX227" s="55"/>
      <c r="BY227" s="55"/>
      <c r="BZ227" s="55"/>
      <c r="CA227" s="55"/>
      <c r="CB227" s="55"/>
    </row>
    <row r="228" spans="1:81">
      <c r="A228">
        <v>220</v>
      </c>
      <c r="B228" t="str">
        <f t="shared" si="578"/>
        <v>Inn 12</v>
      </c>
      <c r="C228" t="s">
        <v>476</v>
      </c>
      <c r="D228" s="182" t="s">
        <v>544</v>
      </c>
      <c r="E228" s="35" t="str">
        <f t="shared" si="567"/>
        <v>Inn 12 - LE 04: Significant net gain of biodiversity</v>
      </c>
      <c r="F228" s="607">
        <v>1</v>
      </c>
      <c r="G228" s="607">
        <v>1</v>
      </c>
      <c r="H228" s="607">
        <v>1</v>
      </c>
      <c r="I228" s="607">
        <v>1</v>
      </c>
      <c r="J228" s="607">
        <v>1</v>
      </c>
      <c r="K228" s="607">
        <v>1</v>
      </c>
      <c r="L228" s="607">
        <v>1</v>
      </c>
      <c r="M228" s="607">
        <v>1</v>
      </c>
      <c r="N228" s="607">
        <v>1</v>
      </c>
      <c r="O228" s="607">
        <v>1</v>
      </c>
      <c r="P228" s="607">
        <v>1</v>
      </c>
      <c r="Q228" s="608">
        <v>1</v>
      </c>
      <c r="R228" s="608">
        <v>1</v>
      </c>
      <c r="T228" s="139">
        <f t="shared" si="568"/>
        <v>1</v>
      </c>
      <c r="U228" s="158"/>
      <c r="V228" s="40"/>
      <c r="W228" s="40"/>
      <c r="X228" s="138">
        <f>'Manuell filtrering og justering'!E105</f>
        <v>0</v>
      </c>
      <c r="Y228" s="139"/>
      <c r="Z228" s="894">
        <f>VLOOKUP(B228,'Manuell filtrering og justering'!$A$7:$H$253,'Manuell filtrering og justering'!$H$1,FALSE)</f>
        <v>1</v>
      </c>
      <c r="AA228" s="139">
        <f t="shared" si="569"/>
        <v>0</v>
      </c>
      <c r="AB228" s="140">
        <f>IF($AC$5='Manuell filtrering og justering'!$J$2,Z228,(T228-AA228))</f>
        <v>1</v>
      </c>
      <c r="AD228" s="141">
        <f>(Inn_Weight/Inn_Credits)*Inn12_credits</f>
        <v>0.01</v>
      </c>
      <c r="AE228" s="141">
        <f t="shared" si="570"/>
        <v>0</v>
      </c>
      <c r="AF228" s="141">
        <f t="shared" si="571"/>
        <v>0</v>
      </c>
      <c r="AG228" s="141">
        <f t="shared" si="572"/>
        <v>0</v>
      </c>
      <c r="AI228" s="176">
        <f>IF(VLOOKUP(E228,'Pre-Assessment Estimator'!$E$11:$Z$227,'Pre-Assessment Estimator'!$G$2,FALSE)&gt;AB228,AB228,VLOOKUP(E228,'Pre-Assessment Estimator'!$E$11:$Z$227,'Pre-Assessment Estimator'!$G$2,FALSE))</f>
        <v>0</v>
      </c>
      <c r="AJ228" s="142">
        <f>IF(VLOOKUP(E228,'Pre-Assessment Estimator'!$E$11:$Z$227,'Pre-Assessment Estimator'!$N$2,FALSE)&gt;AB228,AB228,VLOOKUP(E228,'Pre-Assessment Estimator'!$E$11:$Z$227,'Pre-Assessment Estimator'!$N$2,FALSE))</f>
        <v>0</v>
      </c>
      <c r="AK228" s="142">
        <f>IF(VLOOKUP(E228,'Pre-Assessment Estimator'!$E$11:$Z$227,'Pre-Assessment Estimator'!$U$2,FALSE)&gt;AB228,AB228,VLOOKUP(E228,'Pre-Assessment Estimator'!$E$11:$Z$227,'Pre-Assessment Estimator'!$U$2,FALSE))</f>
        <v>0</v>
      </c>
      <c r="AM228" s="243"/>
      <c r="AN228" s="244"/>
      <c r="AO228" s="244"/>
      <c r="AP228" s="244"/>
      <c r="AQ228" s="564"/>
      <c r="AR228" s="114"/>
      <c r="AS228" s="243"/>
      <c r="AT228" s="244"/>
      <c r="AU228" s="244"/>
      <c r="AV228" s="244"/>
      <c r="AW228" s="245"/>
      <c r="AY228" s="137"/>
      <c r="AZ228" s="35"/>
      <c r="BA228" s="35"/>
      <c r="BB228" s="35"/>
      <c r="BC228" s="154">
        <f t="shared" si="582"/>
        <v>0</v>
      </c>
      <c r="BD228" s="151">
        <f t="shared" si="583"/>
        <v>9</v>
      </c>
      <c r="BE228" s="37" t="str">
        <f t="shared" si="573"/>
        <v>N/A</v>
      </c>
      <c r="BF228" s="154"/>
      <c r="BG228" s="151">
        <f t="shared" si="584"/>
        <v>9</v>
      </c>
      <c r="BH228" s="37" t="str">
        <f t="shared" si="575"/>
        <v>N/A</v>
      </c>
      <c r="BI228" s="154"/>
      <c r="BJ228" s="151">
        <f t="shared" si="585"/>
        <v>9</v>
      </c>
      <c r="BK228" s="37" t="str">
        <f t="shared" si="576"/>
        <v>N/A</v>
      </c>
      <c r="BL228" s="154"/>
      <c r="BO228" s="35"/>
      <c r="BP228" s="35"/>
      <c r="BQ228" s="35" t="str">
        <f t="shared" si="551"/>
        <v/>
      </c>
      <c r="BR228" s="35">
        <f t="shared" si="579"/>
        <v>9</v>
      </c>
      <c r="BS228" s="35">
        <f t="shared" si="580"/>
        <v>9</v>
      </c>
      <c r="BT228" s="35">
        <f t="shared" si="581"/>
        <v>9</v>
      </c>
      <c r="BW228" s="55"/>
      <c r="BX228" s="55"/>
      <c r="BY228" s="55"/>
      <c r="BZ228" s="55"/>
      <c r="CA228" s="55"/>
      <c r="CB228" s="55"/>
    </row>
    <row r="229" spans="1:81" ht="15.75" thickBot="1">
      <c r="A229">
        <v>221</v>
      </c>
      <c r="B229" t="str">
        <f t="shared" si="578"/>
        <v>Inn 13</v>
      </c>
      <c r="C229" t="s">
        <v>486</v>
      </c>
      <c r="D229" s="182" t="s">
        <v>545</v>
      </c>
      <c r="E229" s="35" t="str">
        <f t="shared" si="567"/>
        <v>Inn 13 - LE 06: Responding to climate change</v>
      </c>
      <c r="F229" s="607">
        <v>1</v>
      </c>
      <c r="G229" s="607">
        <v>1</v>
      </c>
      <c r="H229" s="607">
        <v>1</v>
      </c>
      <c r="I229" s="607">
        <v>1</v>
      </c>
      <c r="J229" s="607">
        <v>1</v>
      </c>
      <c r="K229" s="607">
        <v>1</v>
      </c>
      <c r="L229" s="607">
        <v>1</v>
      </c>
      <c r="M229" s="607">
        <v>1</v>
      </c>
      <c r="N229" s="607">
        <v>1</v>
      </c>
      <c r="O229" s="607">
        <v>1</v>
      </c>
      <c r="P229" s="607">
        <v>1</v>
      </c>
      <c r="Q229" s="608">
        <v>1</v>
      </c>
      <c r="R229" s="608">
        <v>1</v>
      </c>
      <c r="T229" s="139">
        <f t="shared" si="568"/>
        <v>1</v>
      </c>
      <c r="U229" s="158"/>
      <c r="V229" s="40"/>
      <c r="W229" s="40"/>
      <c r="X229" s="138">
        <f>'Manuell filtrering og justering'!E106</f>
        <v>0</v>
      </c>
      <c r="Y229" s="139"/>
      <c r="Z229" s="894">
        <f>VLOOKUP(B229,'Manuell filtrering og justering'!$A$7:$H$253,'Manuell filtrering og justering'!$H$1,FALSE)</f>
        <v>1</v>
      </c>
      <c r="AA229" s="139">
        <f t="shared" si="569"/>
        <v>0</v>
      </c>
      <c r="AB229" s="140">
        <f>IF($AC$5='Manuell filtrering og justering'!$J$2,Z229,(T229-AA229))</f>
        <v>1</v>
      </c>
      <c r="AD229" s="141">
        <f>(Inn_Weight/Inn_Credits)*Inn13_credits</f>
        <v>0.01</v>
      </c>
      <c r="AE229" s="141">
        <f t="shared" si="570"/>
        <v>0</v>
      </c>
      <c r="AF229" s="141">
        <f t="shared" si="571"/>
        <v>0</v>
      </c>
      <c r="AG229" s="141">
        <f t="shared" si="572"/>
        <v>0</v>
      </c>
      <c r="AI229" s="176">
        <f>IF(VLOOKUP(E229,'Pre-Assessment Estimator'!$E$11:$Z$227,'Pre-Assessment Estimator'!$G$2,FALSE)&gt;AB229,AB229,VLOOKUP(E229,'Pre-Assessment Estimator'!$E$11:$Z$227,'Pre-Assessment Estimator'!$G$2,FALSE))</f>
        <v>0</v>
      </c>
      <c r="AJ229" s="142">
        <f>IF(VLOOKUP(E229,'Pre-Assessment Estimator'!$E$11:$Z$227,'Pre-Assessment Estimator'!$N$2,FALSE)&gt;AB229,AB229,VLOOKUP(E229,'Pre-Assessment Estimator'!$E$11:$Z$227,'Pre-Assessment Estimator'!$N$2,FALSE))</f>
        <v>0</v>
      </c>
      <c r="AK229" s="142">
        <f>IF(VLOOKUP(E229,'Pre-Assessment Estimator'!$E$11:$Z$227,'Pre-Assessment Estimator'!$U$2,FALSE)&gt;AB229,AB229,VLOOKUP(E229,'Pre-Assessment Estimator'!$E$11:$Z$227,'Pre-Assessment Estimator'!$U$2,FALSE))</f>
        <v>0</v>
      </c>
      <c r="AM229" s="246"/>
      <c r="AN229" s="247"/>
      <c r="AO229" s="247"/>
      <c r="AP229" s="247"/>
      <c r="AQ229" s="565"/>
      <c r="AR229" s="114"/>
      <c r="AS229" s="246"/>
      <c r="AT229" s="247"/>
      <c r="AU229" s="247"/>
      <c r="AV229" s="247"/>
      <c r="AW229" s="248"/>
      <c r="AY229" s="159"/>
      <c r="AZ229" s="161"/>
      <c r="BA229" s="161"/>
      <c r="BB229" s="161"/>
      <c r="BC229" s="164">
        <f t="shared" si="582"/>
        <v>0</v>
      </c>
      <c r="BD229" s="163">
        <f t="shared" si="583"/>
        <v>9</v>
      </c>
      <c r="BE229" s="37" t="str">
        <f t="shared" si="573"/>
        <v>N/A</v>
      </c>
      <c r="BF229" s="164"/>
      <c r="BG229" s="163">
        <f t="shared" si="584"/>
        <v>9</v>
      </c>
      <c r="BH229" s="37" t="str">
        <f t="shared" si="575"/>
        <v>N/A</v>
      </c>
      <c r="BI229" s="164"/>
      <c r="BJ229" s="163">
        <f t="shared" si="585"/>
        <v>9</v>
      </c>
      <c r="BK229" s="37" t="str">
        <f t="shared" si="576"/>
        <v>N/A</v>
      </c>
      <c r="BL229" s="164"/>
      <c r="BO229" s="35"/>
      <c r="BP229" s="35"/>
      <c r="BQ229" s="35" t="str">
        <f t="shared" si="551"/>
        <v/>
      </c>
      <c r="BR229" s="35">
        <f t="shared" si="579"/>
        <v>9</v>
      </c>
      <c r="BS229" s="35">
        <f t="shared" si="580"/>
        <v>9</v>
      </c>
      <c r="BT229" s="35">
        <f t="shared" si="581"/>
        <v>9</v>
      </c>
      <c r="BW229" s="55"/>
      <c r="BX229" s="55"/>
      <c r="BY229" s="55"/>
      <c r="BZ229" s="55"/>
      <c r="CA229" s="55"/>
      <c r="CB229" s="55"/>
    </row>
    <row r="230" spans="1:81" ht="15.75" thickBot="1">
      <c r="A230">
        <v>222</v>
      </c>
      <c r="B230" t="str">
        <f t="shared" si="578"/>
        <v>Inn 14</v>
      </c>
      <c r="C230" t="s">
        <v>492</v>
      </c>
      <c r="D230" s="561" t="s">
        <v>546</v>
      </c>
      <c r="E230" s="161" t="str">
        <f t="shared" si="567"/>
        <v>Inn 14 - LE 08: Wider approach to surface water management</v>
      </c>
      <c r="F230" s="615">
        <v>1</v>
      </c>
      <c r="G230" s="615">
        <v>1</v>
      </c>
      <c r="H230" s="615">
        <v>1</v>
      </c>
      <c r="I230" s="615">
        <v>1</v>
      </c>
      <c r="J230" s="615">
        <v>1</v>
      </c>
      <c r="K230" s="615">
        <v>1</v>
      </c>
      <c r="L230" s="615">
        <v>1</v>
      </c>
      <c r="M230" s="615">
        <v>1</v>
      </c>
      <c r="N230" s="615">
        <v>1</v>
      </c>
      <c r="O230" s="615">
        <v>1</v>
      </c>
      <c r="P230" s="615">
        <v>1</v>
      </c>
      <c r="Q230" s="616">
        <v>1</v>
      </c>
      <c r="R230" s="616">
        <v>1</v>
      </c>
      <c r="T230" s="682">
        <f t="shared" si="568"/>
        <v>1</v>
      </c>
      <c r="U230" s="158"/>
      <c r="V230" s="40"/>
      <c r="W230" s="40"/>
      <c r="X230" s="680"/>
      <c r="Y230" s="914"/>
      <c r="Z230" s="894">
        <f>VLOOKUP(B230,'Manuell filtrering og justering'!$A$7:$H$253,'Manuell filtrering og justering'!$H$1,FALSE)</f>
        <v>1</v>
      </c>
      <c r="AA230" s="139">
        <f t="shared" si="569"/>
        <v>0</v>
      </c>
      <c r="AB230" s="140">
        <f>IF($AC$5='Manuell filtrering og justering'!$J$2,Z230,(T230-AA230))</f>
        <v>1</v>
      </c>
      <c r="AD230" s="141">
        <f>(Inn_Weight/Inn_Credits)*AB230</f>
        <v>0.01</v>
      </c>
      <c r="AE230" s="141">
        <f t="shared" si="570"/>
        <v>0</v>
      </c>
      <c r="AF230" s="141">
        <f t="shared" si="571"/>
        <v>0</v>
      </c>
      <c r="AG230" s="141">
        <f t="shared" si="572"/>
        <v>0</v>
      </c>
      <c r="AI230" s="176">
        <f>IF(VLOOKUP(E230,'Pre-Assessment Estimator'!$E$11:$Z$227,'Pre-Assessment Estimator'!$G$2,FALSE)&gt;AB230,AB230,VLOOKUP(E230,'Pre-Assessment Estimator'!$E$11:$Z$227,'Pre-Assessment Estimator'!$G$2,FALSE))</f>
        <v>0</v>
      </c>
      <c r="AJ230" s="142">
        <f>IF(VLOOKUP(E230,'Pre-Assessment Estimator'!$E$11:$Z$227,'Pre-Assessment Estimator'!$N$2,FALSE)&gt;AB230,AB230,VLOOKUP(E230,'Pre-Assessment Estimator'!$E$11:$Z$227,'Pre-Assessment Estimator'!$N$2,FALSE))</f>
        <v>0</v>
      </c>
      <c r="AK230" s="142">
        <f>IF(VLOOKUP(E230,'Pre-Assessment Estimator'!$E$11:$Z$227,'Pre-Assessment Estimator'!$U$2,FALSE)&gt;AB230,AB230,VLOOKUP(E230,'Pre-Assessment Estimator'!$E$11:$Z$227,'Pre-Assessment Estimator'!$U$2,FALSE))</f>
        <v>0</v>
      </c>
      <c r="AM230" s="243"/>
      <c r="AN230" s="244"/>
      <c r="AO230" s="244"/>
      <c r="AP230" s="244"/>
      <c r="AQ230" s="564"/>
      <c r="AR230" s="114"/>
      <c r="AS230" s="243"/>
      <c r="AT230" s="244"/>
      <c r="AU230" s="244"/>
      <c r="AV230" s="244"/>
      <c r="AW230" s="245"/>
      <c r="AY230" s="137"/>
      <c r="AZ230" s="35"/>
      <c r="BA230" s="35"/>
      <c r="BB230" s="35"/>
      <c r="BC230" s="154">
        <f t="shared" ref="BC230" si="586">IF($E$6=$H$9,AW230,AQ230)</f>
        <v>0</v>
      </c>
      <c r="BD230" s="151">
        <f t="shared" ref="BD230" si="587">IF(BC230=0,9,IF(AI230&gt;=BC230,5,IF(AI230&gt;=BB230,4,IF(AI230&gt;=BA230,3,IF(AI230&gt;=AZ230,2,IF(AI230&lt;AY230,0,1))))))</f>
        <v>9</v>
      </c>
      <c r="BE230" s="37" t="str">
        <f t="shared" si="573"/>
        <v>N/A</v>
      </c>
      <c r="BF230" s="154"/>
      <c r="BG230" s="151">
        <f t="shared" ref="BG230" si="588">IF(BC230=0,9,IF(AJ230&gt;=BC230,5,IF(AJ230&gt;=BB230,4,IF(AJ230&gt;=BA230,3,IF(AJ230&gt;=AZ230,2,IF(AJ230&lt;AY230,0,1))))))</f>
        <v>9</v>
      </c>
      <c r="BH230" s="37" t="str">
        <f t="shared" si="575"/>
        <v>N/A</v>
      </c>
      <c r="BI230" s="154"/>
      <c r="BJ230" s="151">
        <f t="shared" ref="BJ230" si="589">IF(BC230=0,9,IF(AK230&gt;=BC230,5,IF(AK230&gt;=BB230,4,IF(AK230&gt;=BA230,3,IF(AK230&gt;=AZ230,2,IF(AK230&lt;AY230,0,1))))))</f>
        <v>9</v>
      </c>
      <c r="BK230" s="37" t="str">
        <f t="shared" si="576"/>
        <v>N/A</v>
      </c>
      <c r="BL230" s="154"/>
      <c r="BO230" s="35"/>
      <c r="BP230" s="35"/>
      <c r="BQ230" s="35" t="str">
        <f t="shared" si="551"/>
        <v/>
      </c>
      <c r="BR230" s="35">
        <f t="shared" si="579"/>
        <v>9</v>
      </c>
      <c r="BS230" s="35">
        <f t="shared" si="580"/>
        <v>9</v>
      </c>
      <c r="BT230" s="35">
        <f t="shared" si="581"/>
        <v>9</v>
      </c>
      <c r="BW230" s="55"/>
      <c r="BX230" s="55"/>
      <c r="BY230" s="55"/>
      <c r="BZ230" s="55"/>
      <c r="CA230" s="55"/>
      <c r="CB230" s="55"/>
    </row>
    <row r="231" spans="1:81" ht="15.75" thickBot="1">
      <c r="A231">
        <v>223</v>
      </c>
      <c r="B231" t="s">
        <v>547</v>
      </c>
      <c r="D231" s="556" t="s">
        <v>725</v>
      </c>
      <c r="E231" s="555"/>
      <c r="F231" s="612">
        <f>IF(SUM(F217:F230)&gt;10,10,SUM(F217:F230))</f>
        <v>10</v>
      </c>
      <c r="G231" s="612">
        <f t="shared" ref="G231:R231" si="590">IF(SUM(G217:G230)&gt;10,10,SUM(G217:G230))</f>
        <v>10</v>
      </c>
      <c r="H231" s="612">
        <f t="shared" si="590"/>
        <v>10</v>
      </c>
      <c r="I231" s="612">
        <f t="shared" si="590"/>
        <v>10</v>
      </c>
      <c r="J231" s="612">
        <f t="shared" si="590"/>
        <v>10</v>
      </c>
      <c r="K231" s="612">
        <f t="shared" si="590"/>
        <v>10</v>
      </c>
      <c r="L231" s="612">
        <f t="shared" si="590"/>
        <v>10</v>
      </c>
      <c r="M231" s="612">
        <f t="shared" si="590"/>
        <v>10</v>
      </c>
      <c r="N231" s="612">
        <f t="shared" si="590"/>
        <v>10</v>
      </c>
      <c r="O231" s="612">
        <f t="shared" si="590"/>
        <v>10</v>
      </c>
      <c r="P231" s="612">
        <f t="shared" si="590"/>
        <v>10</v>
      </c>
      <c r="Q231" s="612">
        <f t="shared" ref="Q231" si="591">IF(SUM(Q217:Q230)&gt;10,10,SUM(Q217:Q230))</f>
        <v>10</v>
      </c>
      <c r="R231" s="612">
        <f t="shared" si="590"/>
        <v>10</v>
      </c>
      <c r="T231" s="186">
        <f t="shared" si="568"/>
        <v>10</v>
      </c>
      <c r="U231" s="167"/>
      <c r="V231" s="168"/>
      <c r="W231" s="168"/>
      <c r="X231" s="169"/>
      <c r="Y231" s="170"/>
      <c r="Z231" s="897"/>
      <c r="AA231" s="170">
        <f>SUM(AA217:AA230)</f>
        <v>0</v>
      </c>
      <c r="AB231" s="187">
        <f>IF(SUM(AB217:AB230)&gt;10,10,SUM(AB217:AB230))</f>
        <v>10</v>
      </c>
      <c r="AD231" s="192">
        <f>IF(SUM(AD217:AD230)&gt;0.1,0.1,(SUM(AD217:AD230)))</f>
        <v>0.1</v>
      </c>
      <c r="AE231" s="192">
        <f>IF(SUM(AE217:AE230)&gt;0.1,0.1,(SUM(AE217:AE230)))</f>
        <v>0</v>
      </c>
      <c r="AF231" s="192">
        <f>IF(SUM(AF217:AF230)&gt;0.1,0.1,(SUM(AF217:AF230)))</f>
        <v>0</v>
      </c>
      <c r="AG231" s="192">
        <f>IF(SUM(AG217:AG230)&gt;0.1,0.1,(SUM(AG217:AG230)))</f>
        <v>0</v>
      </c>
      <c r="AI231" s="30">
        <f>IF(SUM(AI217:AI230)&gt;10,10,SUM(AI217:AI230))</f>
        <v>0</v>
      </c>
      <c r="AJ231" s="30">
        <f>IF(SUM(AJ217:AJ230)&gt;10,10,SUM(AJ217:AJ230))</f>
        <v>0</v>
      </c>
      <c r="AK231" s="30">
        <f>IF(SUM(AK217:AK230)&gt;10,10,SUM(AK217:AK230))</f>
        <v>0</v>
      </c>
      <c r="BC231" s="116"/>
      <c r="BD231" s="116"/>
      <c r="BW231" s="42"/>
      <c r="BX231" s="42" t="str">
        <f>IFERROR(VLOOKUP($E231,'Pre-Assessment Estimator'!$E$11:$AB$227,'Pre-Assessment Estimator'!AB$2,FALSE),"")</f>
        <v/>
      </c>
      <c r="BY231" s="42" t="str">
        <f>IFERROR(VLOOKUP($E231,'Pre-Assessment Estimator'!$E$11:$AI$227,'Pre-Assessment Estimator'!AI$2,FALSE),"")</f>
        <v/>
      </c>
      <c r="BZ231" s="42" t="str">
        <f t="shared" ref="BZ231:CA233" si="592">IFERROR(VLOOKUP($BX231,$E$293:$H$326,F$291,FALSE),"")</f>
        <v/>
      </c>
      <c r="CA231" s="42" t="str">
        <f t="shared" si="592"/>
        <v/>
      </c>
      <c r="CB231" s="42"/>
      <c r="CC231" t="str">
        <f>IFERROR(VLOOKUP($BX231,$E$293:$H$326,I$291,FALSE),"")</f>
        <v/>
      </c>
    </row>
    <row r="232" spans="1:81" ht="15.75" thickBot="1">
      <c r="A232">
        <v>224</v>
      </c>
      <c r="BC232" s="116"/>
      <c r="BD232" s="116"/>
      <c r="BX232" t="str">
        <f>IFERROR(VLOOKUP($E232,'Pre-Assessment Estimator'!$E$11:$AB$227,'Pre-Assessment Estimator'!AB$2,FALSE),"")</f>
        <v/>
      </c>
      <c r="BY232" t="str">
        <f>IFERROR(VLOOKUP($E232,'Pre-Assessment Estimator'!$E$11:$AI$227,'Pre-Assessment Estimator'!AI$2,FALSE),"")</f>
        <v/>
      </c>
      <c r="BZ232" t="str">
        <f t="shared" si="592"/>
        <v/>
      </c>
      <c r="CA232" t="str">
        <f t="shared" si="592"/>
        <v/>
      </c>
      <c r="CC232" t="str">
        <f>IFERROR(VLOOKUP($BX232,$E$293:$H$326,I$291,FALSE),"")</f>
        <v/>
      </c>
    </row>
    <row r="233" spans="1:81" ht="60.75" thickBot="1">
      <c r="A233">
        <v>225</v>
      </c>
      <c r="D233" s="123"/>
      <c r="E233" s="124" t="s">
        <v>840</v>
      </c>
      <c r="F233" s="964" t="str">
        <f>$F$9</f>
        <v>Office</v>
      </c>
      <c r="G233" s="964" t="str">
        <f>$G$9</f>
        <v>Retail</v>
      </c>
      <c r="H233" s="968" t="str">
        <f>$H$9</f>
        <v>Residential</v>
      </c>
      <c r="I233" s="964" t="str">
        <f>$I$9</f>
        <v>Industrial</v>
      </c>
      <c r="J233" s="966" t="str">
        <f>$J$9</f>
        <v>Healthcare</v>
      </c>
      <c r="K233" s="966" t="str">
        <f>$K$9</f>
        <v>Prison</v>
      </c>
      <c r="L233" s="966" t="str">
        <f>$L$9</f>
        <v>Law Court</v>
      </c>
      <c r="M233" s="970" t="str">
        <f>$M$9</f>
        <v>Residential institution (long term stay)</v>
      </c>
      <c r="N233" s="733" t="str">
        <f>$N$9</f>
        <v>Residential institution (short term stay)</v>
      </c>
      <c r="O233" s="733" t="str">
        <f>$O$9</f>
        <v>Non-residential institution</v>
      </c>
      <c r="P233" s="733" t="str">
        <f>$P$9</f>
        <v>Assembly and leisure</v>
      </c>
      <c r="Q233" s="966" t="str">
        <f>$Q$9</f>
        <v>Education</v>
      </c>
      <c r="R233" s="683" t="str">
        <f>$R$9</f>
        <v>Other</v>
      </c>
      <c r="T233" s="113" t="str">
        <f>$E$6</f>
        <v>Office</v>
      </c>
      <c r="U233" s="193"/>
      <c r="V233" s="194"/>
      <c r="W233" s="174"/>
      <c r="X233" s="174"/>
      <c r="Y233" s="900" t="s">
        <v>871</v>
      </c>
      <c r="Z233" s="295" t="s">
        <v>25</v>
      </c>
      <c r="AA233" s="122" t="s">
        <v>725</v>
      </c>
      <c r="AB233" s="45" t="s">
        <v>860</v>
      </c>
      <c r="AI233" s="28"/>
      <c r="AJ233" s="46"/>
      <c r="AK233" s="46"/>
      <c r="BC233" s="116"/>
      <c r="BD233" s="116"/>
      <c r="BO233" s="46"/>
      <c r="BP233" s="46"/>
      <c r="BQ233" s="46"/>
      <c r="BR233" s="46"/>
      <c r="BS233" s="46"/>
      <c r="BT233" s="46"/>
      <c r="BW233" s="39"/>
      <c r="BX233" s="39" t="str">
        <f>E233</f>
        <v>Spesialtilfeller</v>
      </c>
      <c r="BY233" s="39" t="str">
        <f>IFERROR(VLOOKUP($E233,'Pre-Assessment Estimator'!$E$11:$AI$227,'Pre-Assessment Estimator'!AI$2,FALSE),"")</f>
        <v/>
      </c>
      <c r="BZ233" s="39" t="str">
        <f t="shared" si="592"/>
        <v/>
      </c>
      <c r="CA233" s="39" t="str">
        <f t="shared" si="592"/>
        <v/>
      </c>
      <c r="CB233" s="39"/>
      <c r="CC233" t="str">
        <f>IFERROR(VLOOKUP($BX233,$E$293:$H$326,I$291,FALSE),"")</f>
        <v/>
      </c>
    </row>
    <row r="234" spans="1:81" ht="15.75" thickBot="1">
      <c r="A234">
        <v>226</v>
      </c>
      <c r="B234" t="s">
        <v>296</v>
      </c>
      <c r="C234" t="s">
        <v>288</v>
      </c>
      <c r="D234" s="573" t="s">
        <v>296</v>
      </c>
      <c r="E234" s="775" t="s">
        <v>927</v>
      </c>
      <c r="F234" s="613" t="s">
        <v>928</v>
      </c>
      <c r="G234" s="613" t="s">
        <v>928</v>
      </c>
      <c r="H234" s="613" t="s">
        <v>928</v>
      </c>
      <c r="I234" s="613" t="s">
        <v>928</v>
      </c>
      <c r="J234" s="613" t="s">
        <v>928</v>
      </c>
      <c r="K234" s="613" t="s">
        <v>928</v>
      </c>
      <c r="L234" s="613" t="s">
        <v>928</v>
      </c>
      <c r="M234" s="613" t="s">
        <v>928</v>
      </c>
      <c r="N234" s="613" t="s">
        <v>928</v>
      </c>
      <c r="O234" s="613" t="s">
        <v>928</v>
      </c>
      <c r="P234" s="613" t="s">
        <v>928</v>
      </c>
      <c r="Q234" s="614" t="s">
        <v>928</v>
      </c>
      <c r="R234" s="614" t="s">
        <v>928</v>
      </c>
      <c r="T234" s="175" t="str">
        <f t="shared" ref="T234:T252" si="593">HLOOKUP($E$6,$F$9:$R$252,$A234,FALSE)</f>
        <v>Yes/No</v>
      </c>
      <c r="U234" s="139"/>
      <c r="V234" s="195"/>
      <c r="W234" s="35"/>
      <c r="X234" s="35"/>
      <c r="Y234" s="138"/>
      <c r="Z234" s="138"/>
      <c r="AA234" s="139"/>
      <c r="AB234" s="175" t="str">
        <f t="shared" ref="AB234:AB248" si="594">T234</f>
        <v>Yes/No</v>
      </c>
      <c r="AD234" s="141"/>
      <c r="AE234" s="196" t="s">
        <v>586</v>
      </c>
      <c r="AF234" s="196" t="s">
        <v>586</v>
      </c>
      <c r="AG234" s="196" t="s">
        <v>586</v>
      </c>
      <c r="AI234" s="176">
        <f>IF(VLOOKUP(E234,'Pre-Assessment Estimator'!$E$11:$AB$227,'Pre-Assessment Estimator'!$G$2,FALSE)&gt;AB234,AB234,VLOOKUP(E234,'Pre-Assessment Estimator'!$E$11:$AB$227,'Pre-Assessment Estimator'!$G$2,FALSE))</f>
        <v>0</v>
      </c>
      <c r="AJ234" s="142">
        <f>IF(VLOOKUP(E234,'Pre-Assessment Estimator'!$E$11:$AB$227,'Pre-Assessment Estimator'!$N$2,FALSE)&gt;AB234,AB234,VLOOKUP(E234,'Pre-Assessment Estimator'!$E$11:$AB$227,'Pre-Assessment Estimator'!$N$2,FALSE))</f>
        <v>0</v>
      </c>
      <c r="AK234" s="142">
        <f>IF(VLOOKUP(E234,'Pre-Assessment Estimator'!$E$11:$AB$227,'Pre-Assessment Estimator'!$U$2,FALSE)&gt;AB234,AB234,VLOOKUP(E234,'Pre-Assessment Estimator'!$E$11:$AB$227,'Pre-Assessment Estimator'!$U$2,FALSE))</f>
        <v>0</v>
      </c>
      <c r="AM234" s="177" t="s">
        <v>123</v>
      </c>
      <c r="AN234" s="178" t="s">
        <v>123</v>
      </c>
      <c r="AO234" s="178" t="s">
        <v>123</v>
      </c>
      <c r="AP234" s="178" t="s">
        <v>123</v>
      </c>
      <c r="AQ234" s="179" t="s">
        <v>123</v>
      </c>
      <c r="AS234" s="177" t="s">
        <v>123</v>
      </c>
      <c r="AT234" s="178" t="s">
        <v>123</v>
      </c>
      <c r="AU234" s="178" t="s">
        <v>123</v>
      </c>
      <c r="AV234" s="178" t="s">
        <v>123</v>
      </c>
      <c r="AW234" s="179" t="s">
        <v>123</v>
      </c>
      <c r="AY234" s="144" t="str">
        <f t="shared" ref="AY234" si="595">IF($E$6=$H$9,AS234,AM234)</f>
        <v>Yes</v>
      </c>
      <c r="AZ234" s="145" t="str">
        <f t="shared" ref="AZ234" si="596">IF($E$6=$H$9,AT234,AN234)</f>
        <v>Yes</v>
      </c>
      <c r="BA234" s="145" t="str">
        <f t="shared" ref="BA234" si="597">IF($E$6=$H$9,AU234,AO234)</f>
        <v>Yes</v>
      </c>
      <c r="BB234" s="145" t="str">
        <f t="shared" ref="BB234" si="598">IF($E$6=$H$9,AV234,AP234)</f>
        <v>Yes</v>
      </c>
      <c r="BC234" s="866" t="str">
        <f t="shared" ref="BC234" si="599">IF($E$6=$H$9,AW234,AQ234)</f>
        <v>Yes</v>
      </c>
      <c r="BD234" s="151">
        <f>IF(AI234="Yes",5,0)</f>
        <v>0</v>
      </c>
      <c r="BE234" s="37" t="str">
        <f t="shared" ref="BE234:BE251" si="600">VLOOKUP(BD234,$BO$284:$BT$290,6,FALSE)</f>
        <v>Unclassified</v>
      </c>
      <c r="BF234" s="148"/>
      <c r="BG234" s="151">
        <f t="shared" ref="BG234" si="601">IF(AJ234="Yes",5,0)</f>
        <v>0</v>
      </c>
      <c r="BH234" s="37" t="str">
        <f t="shared" ref="BH234:BH251" si="602">VLOOKUP(BG234,$BO$284:$BT$290,6,FALSE)</f>
        <v>Unclassified</v>
      </c>
      <c r="BI234" s="148"/>
      <c r="BJ234" s="151">
        <f t="shared" ref="BJ234" si="603">IF(AK234="Yes",5,0)</f>
        <v>0</v>
      </c>
      <c r="BK234" s="37" t="str">
        <f t="shared" ref="BK234:BK251" si="604">VLOOKUP(BJ234,$BO$284:$BT$290,6,FALSE)</f>
        <v>Unclassified</v>
      </c>
      <c r="BL234" s="148"/>
      <c r="BO234" s="35"/>
      <c r="BP234" s="35"/>
      <c r="BQ234" s="35" t="str">
        <f t="shared" si="551"/>
        <v/>
      </c>
      <c r="BR234" s="35">
        <f t="shared" ref="BR234:BR249" si="605">IF(BQ234="",9,(IF(AI234=AD_Yes,5,0)))</f>
        <v>9</v>
      </c>
      <c r="BS234" s="35">
        <f t="shared" ref="BS234:BS249" si="606">IF(BQ234="",9,(IF(AJ234=AD_Yes,5,0)))</f>
        <v>9</v>
      </c>
      <c r="BT234" s="35">
        <f t="shared" ref="BT234:BT249" si="607">IF(BQ234="",9,(IF(AK234=AD_Yes,5,0)))</f>
        <v>9</v>
      </c>
      <c r="BW234" s="147"/>
      <c r="BX234" s="147"/>
      <c r="BY234" s="147"/>
      <c r="BZ234" s="147"/>
      <c r="CA234" s="147"/>
      <c r="CB234" s="147"/>
    </row>
    <row r="235" spans="1:81">
      <c r="A235">
        <v>227</v>
      </c>
      <c r="B235" t="s">
        <v>297</v>
      </c>
      <c r="C235" t="s">
        <v>288</v>
      </c>
      <c r="D235" s="861" t="s">
        <v>297</v>
      </c>
      <c r="E235" s="862" t="s">
        <v>929</v>
      </c>
      <c r="F235" s="753" t="s">
        <v>928</v>
      </c>
      <c r="G235" s="753" t="s">
        <v>928</v>
      </c>
      <c r="H235" s="753" t="s">
        <v>928</v>
      </c>
      <c r="I235" s="753" t="s">
        <v>928</v>
      </c>
      <c r="J235" s="753" t="s">
        <v>928</v>
      </c>
      <c r="K235" s="753" t="s">
        <v>928</v>
      </c>
      <c r="L235" s="753" t="s">
        <v>928</v>
      </c>
      <c r="M235" s="753" t="s">
        <v>928</v>
      </c>
      <c r="N235" s="753" t="s">
        <v>928</v>
      </c>
      <c r="O235" s="753" t="s">
        <v>928</v>
      </c>
      <c r="P235" s="753" t="s">
        <v>928</v>
      </c>
      <c r="Q235" s="863" t="s">
        <v>928</v>
      </c>
      <c r="R235" s="863" t="s">
        <v>928</v>
      </c>
      <c r="T235" s="175" t="str">
        <f t="shared" si="593"/>
        <v>Yes/No</v>
      </c>
      <c r="U235" s="139"/>
      <c r="V235" s="195"/>
      <c r="W235" s="35"/>
      <c r="X235" s="35"/>
      <c r="Y235" s="138"/>
      <c r="Z235" s="138"/>
      <c r="AA235" s="139"/>
      <c r="AB235" s="175" t="str">
        <f>T235</f>
        <v>Yes/No</v>
      </c>
      <c r="AD235" s="141"/>
      <c r="AE235" s="196" t="s">
        <v>586</v>
      </c>
      <c r="AF235" s="196" t="s">
        <v>586</v>
      </c>
      <c r="AG235" s="196" t="s">
        <v>586</v>
      </c>
      <c r="AI235" s="176">
        <f>IF(VLOOKUP(E235,'Pre-Assessment Estimator'!$E$11:$AB$227,'Pre-Assessment Estimator'!$G$2,FALSE)&gt;AB235,AB235,VLOOKUP(E235,'Pre-Assessment Estimator'!$E$11:$AB$227,'Pre-Assessment Estimator'!$G$2,FALSE))</f>
        <v>0</v>
      </c>
      <c r="AJ235" s="142">
        <f>IF(VLOOKUP(E235,'Pre-Assessment Estimator'!$E$11:$AB$227,'Pre-Assessment Estimator'!$N$2,FALSE)&gt;AB235,AB235,VLOOKUP(E235,'Pre-Assessment Estimator'!$E$11:$AB$227,'Pre-Assessment Estimator'!$N$2,FALSE))</f>
        <v>0</v>
      </c>
      <c r="AK235" s="142">
        <f>IF(VLOOKUP(E235,'Pre-Assessment Estimator'!$E$11:$AB$227,'Pre-Assessment Estimator'!$U$2,FALSE)&gt;AB235,AB235,VLOOKUP(E235,'Pre-Assessment Estimator'!$E$11:$AB$227,'Pre-Assessment Estimator'!$U$2,FALSE))</f>
        <v>0</v>
      </c>
      <c r="AM235" s="177" t="s">
        <v>123</v>
      </c>
      <c r="AN235" s="178" t="s">
        <v>123</v>
      </c>
      <c r="AO235" s="178" t="s">
        <v>123</v>
      </c>
      <c r="AP235" s="178" t="s">
        <v>123</v>
      </c>
      <c r="AQ235" s="179" t="s">
        <v>123</v>
      </c>
      <c r="AS235" s="177" t="s">
        <v>123</v>
      </c>
      <c r="AT235" s="178" t="s">
        <v>123</v>
      </c>
      <c r="AU235" s="178" t="s">
        <v>123</v>
      </c>
      <c r="AV235" s="178" t="s">
        <v>123</v>
      </c>
      <c r="AW235" s="179" t="s">
        <v>123</v>
      </c>
      <c r="AY235" s="144" t="str">
        <f t="shared" ref="AY235" si="608">IF($E$6=$H$9,AS235,AM235)</f>
        <v>Yes</v>
      </c>
      <c r="AZ235" s="145" t="str">
        <f t="shared" ref="AZ235" si="609">IF($E$6=$H$9,AT235,AN235)</f>
        <v>Yes</v>
      </c>
      <c r="BA235" s="145" t="str">
        <f t="shared" ref="BA235" si="610">IF($E$6=$H$9,AU235,AO235)</f>
        <v>Yes</v>
      </c>
      <c r="BB235" s="145" t="str">
        <f t="shared" ref="BB235" si="611">IF($E$6=$H$9,AV235,AP235)</f>
        <v>Yes</v>
      </c>
      <c r="BC235" s="866" t="str">
        <f t="shared" ref="BC235" si="612">IF($E$6=$H$9,AW235,AQ235)</f>
        <v>Yes</v>
      </c>
      <c r="BD235" s="151">
        <f>IF(AI235="Yes",5,0)</f>
        <v>0</v>
      </c>
      <c r="BE235" s="37" t="str">
        <f t="shared" si="600"/>
        <v>Unclassified</v>
      </c>
      <c r="BF235" s="148"/>
      <c r="BG235" s="151">
        <f t="shared" ref="BG235" si="613">IF(AJ235="Yes",5,0)</f>
        <v>0</v>
      </c>
      <c r="BH235" s="37" t="str">
        <f t="shared" si="602"/>
        <v>Unclassified</v>
      </c>
      <c r="BI235" s="148"/>
      <c r="BJ235" s="151">
        <f t="shared" ref="BJ235" si="614">IF(AK235="Yes",5,0)</f>
        <v>0</v>
      </c>
      <c r="BK235" s="37" t="str">
        <f t="shared" si="604"/>
        <v>Unclassified</v>
      </c>
      <c r="BL235" s="148"/>
      <c r="BO235" s="35"/>
      <c r="BP235" s="35"/>
      <c r="BQ235" s="35"/>
      <c r="BR235" s="35">
        <f t="shared" ref="BR235" si="615">IF(BQ235="",9,(IF(AI235=AD_Yes,5,0)))</f>
        <v>9</v>
      </c>
      <c r="BS235" s="35">
        <f t="shared" ref="BS235" si="616">IF(BQ235="",9,(IF(AJ235=AD_Yes,5,0)))</f>
        <v>9</v>
      </c>
      <c r="BT235" s="35">
        <f t="shared" ref="BT235" si="617">IF(BQ235="",9,(IF(AK235=AD_Yes,5,0)))</f>
        <v>9</v>
      </c>
      <c r="BW235" s="35"/>
      <c r="BX235" s="35"/>
      <c r="BY235" s="35"/>
      <c r="BZ235" s="35"/>
      <c r="CA235" s="35"/>
      <c r="CB235" s="35"/>
    </row>
    <row r="236" spans="1:81">
      <c r="A236">
        <v>228</v>
      </c>
      <c r="B236" t="s">
        <v>309</v>
      </c>
      <c r="C236" t="s">
        <v>187</v>
      </c>
      <c r="D236" s="861" t="s">
        <v>309</v>
      </c>
      <c r="E236" s="862" t="s">
        <v>899</v>
      </c>
      <c r="F236" s="753" t="s">
        <v>928</v>
      </c>
      <c r="G236" s="753" t="s">
        <v>928</v>
      </c>
      <c r="H236" s="753" t="s">
        <v>928</v>
      </c>
      <c r="I236" s="753" t="s">
        <v>928</v>
      </c>
      <c r="J236" s="753" t="s">
        <v>928</v>
      </c>
      <c r="K236" s="753" t="s">
        <v>928</v>
      </c>
      <c r="L236" s="753" t="s">
        <v>928</v>
      </c>
      <c r="M236" s="753" t="s">
        <v>928</v>
      </c>
      <c r="N236" s="753" t="s">
        <v>928</v>
      </c>
      <c r="O236" s="753" t="s">
        <v>928</v>
      </c>
      <c r="P236" s="753" t="s">
        <v>928</v>
      </c>
      <c r="Q236" s="863" t="s">
        <v>928</v>
      </c>
      <c r="R236" s="863" t="s">
        <v>928</v>
      </c>
      <c r="T236" s="175" t="str">
        <f t="shared" si="593"/>
        <v>Yes/No</v>
      </c>
      <c r="U236" s="139"/>
      <c r="V236" s="195"/>
      <c r="W236" s="35"/>
      <c r="X236" s="35"/>
      <c r="Y236" s="138"/>
      <c r="Z236" s="138"/>
      <c r="AA236" s="139"/>
      <c r="AB236" s="802" t="str">
        <f>IF(Hea02_credits=0,0,T236)</f>
        <v>Yes/No</v>
      </c>
      <c r="AD236" s="141"/>
      <c r="AE236" s="196" t="s">
        <v>586</v>
      </c>
      <c r="AF236" s="196" t="s">
        <v>586</v>
      </c>
      <c r="AG236" s="196" t="s">
        <v>586</v>
      </c>
      <c r="AI236" s="176">
        <f>IF(VLOOKUP(E236,'Pre-Assessment Estimator'!$E$11:$AB$227,'Pre-Assessment Estimator'!$G$2,FALSE)&gt;AB236,AB236,VLOOKUP(E236,'Pre-Assessment Estimator'!$E$11:$AB$227,'Pre-Assessment Estimator'!$G$2,FALSE))</f>
        <v>0</v>
      </c>
      <c r="AJ236" s="142">
        <f>IF(VLOOKUP(E236,'Pre-Assessment Estimator'!$E$11:$AB$227,'Pre-Assessment Estimator'!$N$2,FALSE)&gt;AB236,AB236,VLOOKUP(E236,'Pre-Assessment Estimator'!$E$11:$AB$227,'Pre-Assessment Estimator'!$N$2,FALSE))</f>
        <v>0</v>
      </c>
      <c r="AK236" s="142">
        <f>IF(VLOOKUP(E236,'Pre-Assessment Estimator'!$E$11:$AB$227,'Pre-Assessment Estimator'!$U$2,FALSE)&gt;AB236,AB236,VLOOKUP(E236,'Pre-Assessment Estimator'!$E$11:$AB$227,'Pre-Assessment Estimator'!$U$2,FALSE))</f>
        <v>0</v>
      </c>
      <c r="AM236" s="263" t="s">
        <v>123</v>
      </c>
      <c r="AN236" s="36" t="s">
        <v>123</v>
      </c>
      <c r="AO236" s="36" t="s">
        <v>123</v>
      </c>
      <c r="AP236" s="36" t="s">
        <v>123</v>
      </c>
      <c r="AQ236" s="149" t="s">
        <v>123</v>
      </c>
      <c r="AS236" s="864" t="s">
        <v>123</v>
      </c>
      <c r="AT236" s="38" t="s">
        <v>123</v>
      </c>
      <c r="AU236" s="38" t="s">
        <v>123</v>
      </c>
      <c r="AV236" s="38" t="s">
        <v>123</v>
      </c>
      <c r="AW236" s="865" t="s">
        <v>123</v>
      </c>
      <c r="AY236" s="657" t="str">
        <f t="shared" ref="AY236:BB237" si="618">IF($E$6=$H$9,AS236,AM236)</f>
        <v>Yes</v>
      </c>
      <c r="AZ236" s="658" t="str">
        <f t="shared" si="618"/>
        <v>Yes</v>
      </c>
      <c r="BA236" s="658" t="str">
        <f t="shared" si="618"/>
        <v>Yes</v>
      </c>
      <c r="BB236" s="658" t="str">
        <f t="shared" si="618"/>
        <v>Yes</v>
      </c>
      <c r="BC236" s="676" t="str">
        <f t="shared" ref="BC236:BC248" si="619">IF($E$6=$H$9,AW236,AQ236)</f>
        <v>Yes</v>
      </c>
      <c r="BD236" s="151">
        <f>IF(Hea02_credits=0,9,IF(AND(AI236="Yes"),5,0))</f>
        <v>0</v>
      </c>
      <c r="BE236" s="37" t="str">
        <f t="shared" si="600"/>
        <v>Unclassified</v>
      </c>
      <c r="BF236" s="659"/>
      <c r="BG236" s="151">
        <f>IF(Hea02_credits=0,9,IF(AND(AJ236="Yes"),5,0))</f>
        <v>0</v>
      </c>
      <c r="BH236" s="37" t="str">
        <f t="shared" si="602"/>
        <v>Unclassified</v>
      </c>
      <c r="BI236" s="659"/>
      <c r="BJ236" s="151">
        <f>IF(Hea02_credits=0,9,IF(AND(AK236="Yes"),5,0))</f>
        <v>0</v>
      </c>
      <c r="BK236" s="37" t="str">
        <f t="shared" si="604"/>
        <v>Unclassified</v>
      </c>
      <c r="BL236" s="659"/>
      <c r="BO236" s="35"/>
      <c r="BP236" s="35"/>
      <c r="BQ236" s="35" t="str">
        <f t="shared" si="551"/>
        <v/>
      </c>
      <c r="BR236" s="35">
        <f t="shared" si="605"/>
        <v>9</v>
      </c>
      <c r="BS236" s="35">
        <f t="shared" si="606"/>
        <v>9</v>
      </c>
      <c r="BT236" s="35">
        <f t="shared" si="607"/>
        <v>9</v>
      </c>
      <c r="BW236" s="37"/>
      <c r="BX236" s="37"/>
      <c r="BY236" s="37">
        <f>IFERROR(VLOOKUP($E236,'Pre-Assessment Estimator'!$E$11:$AI$227,'Pre-Assessment Estimator'!AI$2,FALSE),"")</f>
        <v>0</v>
      </c>
      <c r="BZ236" s="37" t="str">
        <f>IFERROR(VLOOKUP($BX236,$E$293:$H$326,F$291,FALSE),"")</f>
        <v/>
      </c>
      <c r="CA236" s="37" t="str">
        <f>IFERROR(VLOOKUP($BX236,$E$293:$H$326,G$291,FALSE),"")</f>
        <v/>
      </c>
      <c r="CB236" s="37"/>
      <c r="CC236" t="str">
        <f>IFERROR(VLOOKUP($BX236,$E$293:$H$326,I$291,FALSE),"")</f>
        <v/>
      </c>
    </row>
    <row r="237" spans="1:81" ht="15.75" thickBot="1">
      <c r="A237">
        <v>229</v>
      </c>
      <c r="B237" t="s">
        <v>321</v>
      </c>
      <c r="C237" t="s">
        <v>319</v>
      </c>
      <c r="D237" s="182" t="s">
        <v>321</v>
      </c>
      <c r="E237" s="779" t="s">
        <v>755</v>
      </c>
      <c r="F237" s="607" t="s">
        <v>928</v>
      </c>
      <c r="G237" s="607" t="s">
        <v>928</v>
      </c>
      <c r="H237" s="607" t="s">
        <v>928</v>
      </c>
      <c r="I237" s="607" t="s">
        <v>928</v>
      </c>
      <c r="J237" s="607" t="s">
        <v>928</v>
      </c>
      <c r="K237" s="607" t="s">
        <v>928</v>
      </c>
      <c r="L237" s="607" t="s">
        <v>928</v>
      </c>
      <c r="M237" s="607" t="s">
        <v>928</v>
      </c>
      <c r="N237" s="607" t="s">
        <v>928</v>
      </c>
      <c r="O237" s="607" t="s">
        <v>928</v>
      </c>
      <c r="P237" s="607" t="s">
        <v>928</v>
      </c>
      <c r="Q237" s="608" t="s">
        <v>928</v>
      </c>
      <c r="R237" s="608" t="s">
        <v>928</v>
      </c>
      <c r="T237" s="139" t="str">
        <f t="shared" si="593"/>
        <v>Yes/No</v>
      </c>
      <c r="U237" s="197"/>
      <c r="V237" s="195"/>
      <c r="W237" s="35"/>
      <c r="X237" s="35"/>
      <c r="Y237" s="138"/>
      <c r="Z237" s="138"/>
      <c r="AA237" s="139"/>
      <c r="AB237" s="175" t="str">
        <f t="shared" si="594"/>
        <v>Yes/No</v>
      </c>
      <c r="AD237" s="141"/>
      <c r="AE237" s="196" t="s">
        <v>586</v>
      </c>
      <c r="AF237" s="196" t="s">
        <v>586</v>
      </c>
      <c r="AG237" s="196" t="s">
        <v>586</v>
      </c>
      <c r="AI237" s="176">
        <f>IF(VLOOKUP(E237,'Pre-Assessment Estimator'!$E$11:$AB$227,'Pre-Assessment Estimator'!$G$2,FALSE)&gt;AB237,AB237,VLOOKUP(E237,'Pre-Assessment Estimator'!$E$11:$AB$227,'Pre-Assessment Estimator'!$G$2,FALSE))</f>
        <v>0</v>
      </c>
      <c r="AJ237" s="142">
        <f>IF(VLOOKUP(E237,'Pre-Assessment Estimator'!$E$11:$AB$227,'Pre-Assessment Estimator'!$N$2,FALSE)&gt;AB237,AB237,VLOOKUP(E237,'Pre-Assessment Estimator'!$E$11:$AB$227,'Pre-Assessment Estimator'!$N$2,FALSE))</f>
        <v>0</v>
      </c>
      <c r="AK237" s="142">
        <f>IF(VLOOKUP(E237,'Pre-Assessment Estimator'!$E$11:$AB$227,'Pre-Assessment Estimator'!$U$2,FALSE)&gt;AB237,AB237,VLOOKUP(E237,'Pre-Assessment Estimator'!$E$11:$AB$227,'Pre-Assessment Estimator'!$U$2,FALSE))</f>
        <v>0</v>
      </c>
      <c r="AM237" s="263"/>
      <c r="AN237" s="36"/>
      <c r="AO237" s="36"/>
      <c r="AP237" s="36"/>
      <c r="AQ237" s="149"/>
      <c r="AS237" s="263"/>
      <c r="AT237" s="36"/>
      <c r="AU237" s="36"/>
      <c r="AV237" s="36"/>
      <c r="AW237" s="149"/>
      <c r="AY237" s="151">
        <f t="shared" si="618"/>
        <v>0</v>
      </c>
      <c r="AZ237" s="152">
        <f t="shared" si="618"/>
        <v>0</v>
      </c>
      <c r="BA237" s="152">
        <f t="shared" si="618"/>
        <v>0</v>
      </c>
      <c r="BB237" s="152">
        <f t="shared" si="618"/>
        <v>0</v>
      </c>
      <c r="BC237" s="156">
        <f t="shared" si="619"/>
        <v>0</v>
      </c>
      <c r="BD237" s="870">
        <v>9</v>
      </c>
      <c r="BE237" s="37" t="str">
        <f t="shared" si="600"/>
        <v>N/A</v>
      </c>
      <c r="BF237" s="154"/>
      <c r="BG237" s="870">
        <v>9</v>
      </c>
      <c r="BH237" s="37" t="str">
        <f t="shared" si="602"/>
        <v>N/A</v>
      </c>
      <c r="BI237" s="154"/>
      <c r="BJ237" s="870">
        <v>9</v>
      </c>
      <c r="BK237" s="37" t="str">
        <f t="shared" si="604"/>
        <v>N/A</v>
      </c>
      <c r="BL237" s="154"/>
      <c r="BO237" s="35"/>
      <c r="BP237" s="35"/>
      <c r="BQ237" s="35" t="str">
        <f t="shared" si="551"/>
        <v/>
      </c>
      <c r="BR237" s="35">
        <f t="shared" si="605"/>
        <v>9</v>
      </c>
      <c r="BS237" s="35">
        <f t="shared" si="606"/>
        <v>9</v>
      </c>
      <c r="BT237" s="35">
        <f t="shared" si="607"/>
        <v>9</v>
      </c>
      <c r="BW237" s="35"/>
      <c r="BX237" s="35"/>
      <c r="BY237" s="35">
        <f>IFERROR(VLOOKUP($E237,'Pre-Assessment Estimator'!$E$11:$AI$227,'Pre-Assessment Estimator'!AI$2,FALSE),"")</f>
        <v>0</v>
      </c>
      <c r="BZ237" s="35" t="str">
        <f>IFERROR(VLOOKUP($BX237,$E$293:$H$326,F$291,FALSE),"")</f>
        <v/>
      </c>
      <c r="CA237" s="35" t="str">
        <f>IFERROR(VLOOKUP($BX237,$E$293:$H$326,G$291,FALSE),"")</f>
        <v/>
      </c>
      <c r="CB237" s="35"/>
      <c r="CC237" t="str">
        <f>IFERROR(VLOOKUP($BX237,$E$293:$H$326,I$291,FALSE),"")</f>
        <v/>
      </c>
    </row>
    <row r="238" spans="1:81" ht="15.75" thickBot="1">
      <c r="A238">
        <v>230</v>
      </c>
      <c r="B238" t="s">
        <v>412</v>
      </c>
      <c r="C238" t="s">
        <v>410</v>
      </c>
      <c r="D238" s="570" t="s">
        <v>412</v>
      </c>
      <c r="E238" s="773" t="s">
        <v>777</v>
      </c>
      <c r="F238" s="609" t="s">
        <v>928</v>
      </c>
      <c r="G238" s="609" t="s">
        <v>928</v>
      </c>
      <c r="H238" s="609" t="s">
        <v>928</v>
      </c>
      <c r="I238" s="609" t="s">
        <v>928</v>
      </c>
      <c r="J238" s="609" t="s">
        <v>928</v>
      </c>
      <c r="K238" s="609" t="s">
        <v>928</v>
      </c>
      <c r="L238" s="609" t="s">
        <v>928</v>
      </c>
      <c r="M238" s="609" t="s">
        <v>928</v>
      </c>
      <c r="N238" s="609" t="s">
        <v>928</v>
      </c>
      <c r="O238" s="609" t="s">
        <v>928</v>
      </c>
      <c r="P238" s="609" t="s">
        <v>928</v>
      </c>
      <c r="Q238" s="610" t="s">
        <v>928</v>
      </c>
      <c r="R238" s="610" t="s">
        <v>928</v>
      </c>
      <c r="T238" s="139" t="str">
        <f t="shared" si="593"/>
        <v>Yes/No</v>
      </c>
      <c r="U238" s="197"/>
      <c r="V238" s="195"/>
      <c r="W238" s="35"/>
      <c r="X238" s="35"/>
      <c r="Y238" s="138"/>
      <c r="Z238" s="138"/>
      <c r="AA238" s="139"/>
      <c r="AB238" s="175" t="str">
        <f t="shared" si="594"/>
        <v>Yes/No</v>
      </c>
      <c r="AD238" s="141"/>
      <c r="AE238" s="196" t="s">
        <v>586</v>
      </c>
      <c r="AF238" s="196" t="s">
        <v>586</v>
      </c>
      <c r="AG238" s="196" t="s">
        <v>586</v>
      </c>
      <c r="AI238" s="176">
        <f>IF(VLOOKUP(E238,'Pre-Assessment Estimator'!$E$11:$AB$227,'Pre-Assessment Estimator'!$G$2,FALSE)&gt;AB238,AB238,VLOOKUP(E238,'Pre-Assessment Estimator'!$E$11:$AB$227,'Pre-Assessment Estimator'!$G$2,FALSE))</f>
        <v>0</v>
      </c>
      <c r="AJ238" s="142">
        <f>IF(VLOOKUP(E238,'Pre-Assessment Estimator'!$E$11:$AB$227,'Pre-Assessment Estimator'!$N$2,FALSE)&gt;AB238,AB238,VLOOKUP(E238,'Pre-Assessment Estimator'!$E$11:$AB$227,'Pre-Assessment Estimator'!$N$2,FALSE))</f>
        <v>0</v>
      </c>
      <c r="AK238" s="142">
        <f>IF(VLOOKUP(E238,'Pre-Assessment Estimator'!$E$11:$AB$227,'Pre-Assessment Estimator'!$U$2,FALSE)&gt;AB238,AB238,VLOOKUP(E238,'Pre-Assessment Estimator'!$E$11:$AB$227,'Pre-Assessment Estimator'!$U$2,FALSE))</f>
        <v>0</v>
      </c>
      <c r="AM238" s="571" t="s">
        <v>123</v>
      </c>
      <c r="AN238" s="190" t="s">
        <v>123</v>
      </c>
      <c r="AO238" s="190" t="s">
        <v>123</v>
      </c>
      <c r="AP238" s="190" t="s">
        <v>123</v>
      </c>
      <c r="AQ238" s="191" t="s">
        <v>123</v>
      </c>
      <c r="AS238" s="571" t="s">
        <v>123</v>
      </c>
      <c r="AT238" s="190" t="s">
        <v>123</v>
      </c>
      <c r="AU238" s="190" t="s">
        <v>123</v>
      </c>
      <c r="AV238" s="190" t="s">
        <v>123</v>
      </c>
      <c r="AW238" s="191" t="s">
        <v>123</v>
      </c>
      <c r="AY238" s="151" t="str">
        <f t="shared" ref="AY238" si="620">IF($E$6=$H$9,AS238,AM238)</f>
        <v>Yes</v>
      </c>
      <c r="AZ238" s="152" t="str">
        <f t="shared" ref="AZ238" si="621">IF($E$6=$H$9,AT238,AN238)</f>
        <v>Yes</v>
      </c>
      <c r="BA238" s="152" t="str">
        <f t="shared" ref="BA238" si="622">IF($E$6=$H$9,AU238,AO238)</f>
        <v>Yes</v>
      </c>
      <c r="BB238" s="152" t="str">
        <f t="shared" ref="BB238" si="623">IF($E$6=$H$9,AV238,AP238)</f>
        <v>Yes</v>
      </c>
      <c r="BC238" s="156" t="str">
        <f t="shared" si="619"/>
        <v>Yes</v>
      </c>
      <c r="BD238" s="151">
        <f t="shared" ref="BD238:BD240" si="624">IF(AI238="Yes",5,0)</f>
        <v>0</v>
      </c>
      <c r="BE238" s="37" t="str">
        <f t="shared" si="600"/>
        <v>Unclassified</v>
      </c>
      <c r="BF238" s="154"/>
      <c r="BG238" s="151">
        <f t="shared" ref="BG238:BG240" si="625">IF(AJ238="Yes",5,0)</f>
        <v>0</v>
      </c>
      <c r="BH238" s="37" t="str">
        <f t="shared" si="602"/>
        <v>Unclassified</v>
      </c>
      <c r="BI238" s="154"/>
      <c r="BJ238" s="151">
        <f t="shared" ref="BJ238:BJ240" si="626">IF(AK238="Yes",5,0)</f>
        <v>0</v>
      </c>
      <c r="BK238" s="37" t="str">
        <f t="shared" si="604"/>
        <v>Unclassified</v>
      </c>
      <c r="BL238" s="154"/>
      <c r="BO238" s="35"/>
      <c r="BP238" s="35"/>
      <c r="BQ238" s="35" t="str">
        <f t="shared" si="551"/>
        <v/>
      </c>
      <c r="BR238" s="35">
        <f t="shared" si="605"/>
        <v>9</v>
      </c>
      <c r="BS238" s="35">
        <f t="shared" si="606"/>
        <v>9</v>
      </c>
      <c r="BT238" s="35">
        <f t="shared" si="607"/>
        <v>9</v>
      </c>
      <c r="BW238" s="40"/>
      <c r="BX238" s="40"/>
      <c r="BY238" s="40"/>
      <c r="BZ238" s="40"/>
      <c r="CA238" s="40"/>
      <c r="CB238" s="40"/>
    </row>
    <row r="239" spans="1:81" ht="15.75" thickBot="1">
      <c r="A239">
        <v>231</v>
      </c>
      <c r="B239" t="s">
        <v>416</v>
      </c>
      <c r="C239" t="s">
        <v>415</v>
      </c>
      <c r="D239" s="570" t="s">
        <v>416</v>
      </c>
      <c r="E239" s="975" t="s">
        <v>930</v>
      </c>
      <c r="F239" s="609" t="s">
        <v>928</v>
      </c>
      <c r="G239" s="609" t="s">
        <v>928</v>
      </c>
      <c r="H239" s="609" t="s">
        <v>928</v>
      </c>
      <c r="I239" s="609" t="s">
        <v>928</v>
      </c>
      <c r="J239" s="609" t="s">
        <v>928</v>
      </c>
      <c r="K239" s="609" t="s">
        <v>928</v>
      </c>
      <c r="L239" s="609" t="s">
        <v>928</v>
      </c>
      <c r="M239" s="609" t="s">
        <v>928</v>
      </c>
      <c r="N239" s="609" t="s">
        <v>928</v>
      </c>
      <c r="O239" s="609" t="s">
        <v>928</v>
      </c>
      <c r="P239" s="609" t="s">
        <v>928</v>
      </c>
      <c r="Q239" s="610" t="s">
        <v>928</v>
      </c>
      <c r="R239" s="610" t="s">
        <v>928</v>
      </c>
      <c r="T239" s="139" t="str">
        <f t="shared" si="593"/>
        <v>Yes/No</v>
      </c>
      <c r="U239" s="197"/>
      <c r="V239" s="195"/>
      <c r="W239" s="35"/>
      <c r="X239" s="35"/>
      <c r="Y239" s="138"/>
      <c r="Z239" s="138"/>
      <c r="AA239" s="139"/>
      <c r="AB239" s="175" t="str">
        <f t="shared" si="594"/>
        <v>Yes/No</v>
      </c>
      <c r="AD239" s="141"/>
      <c r="AE239" s="196" t="s">
        <v>586</v>
      </c>
      <c r="AF239" s="196" t="s">
        <v>586</v>
      </c>
      <c r="AG239" s="196" t="s">
        <v>586</v>
      </c>
      <c r="AI239" s="176">
        <f>IF(VLOOKUP(E239,'Pre-Assessment Estimator'!$E$11:$AB$227,'Pre-Assessment Estimator'!$G$2,FALSE)&gt;AB239,AB239,VLOOKUP(E239,'Pre-Assessment Estimator'!$E$11:$AB$227,'Pre-Assessment Estimator'!$G$2,FALSE))</f>
        <v>0</v>
      </c>
      <c r="AJ239" s="142">
        <f>IF(VLOOKUP(E239,'Pre-Assessment Estimator'!$E$11:$AB$227,'Pre-Assessment Estimator'!$N$2,FALSE)&gt;AB239,AB239,VLOOKUP(E239,'Pre-Assessment Estimator'!$E$11:$AB$227,'Pre-Assessment Estimator'!$N$2,FALSE))</f>
        <v>0</v>
      </c>
      <c r="AK239" s="142">
        <f>IF(VLOOKUP(E239,'Pre-Assessment Estimator'!$E$11:$AB$227,'Pre-Assessment Estimator'!$U$2,FALSE)&gt;AB239,AB239,VLOOKUP(E239,'Pre-Assessment Estimator'!$E$11:$AB$227,'Pre-Assessment Estimator'!$U$2,FALSE))</f>
        <v>0</v>
      </c>
      <c r="AM239" s="770" t="s">
        <v>123</v>
      </c>
      <c r="AN239" s="771" t="s">
        <v>123</v>
      </c>
      <c r="AO239" s="771" t="s">
        <v>123</v>
      </c>
      <c r="AP239" s="771" t="s">
        <v>123</v>
      </c>
      <c r="AQ239" s="772" t="s">
        <v>123</v>
      </c>
      <c r="AR239" s="112"/>
      <c r="AS239" s="770" t="s">
        <v>123</v>
      </c>
      <c r="AT239" s="771" t="s">
        <v>123</v>
      </c>
      <c r="AU239" s="771" t="s">
        <v>123</v>
      </c>
      <c r="AV239" s="771" t="s">
        <v>123</v>
      </c>
      <c r="AW239" s="772" t="s">
        <v>123</v>
      </c>
      <c r="AY239" s="151" t="str">
        <f t="shared" ref="AY239:AY244" si="627">IF($E$6=$H$9,AS239,AM239)</f>
        <v>Yes</v>
      </c>
      <c r="AZ239" s="152" t="str">
        <f t="shared" ref="AZ239:AZ244" si="628">IF($E$6=$H$9,AT239,AN239)</f>
        <v>Yes</v>
      </c>
      <c r="BA239" s="152" t="str">
        <f t="shared" ref="BA239:BA244" si="629">IF($E$6=$H$9,AU239,AO239)</f>
        <v>Yes</v>
      </c>
      <c r="BB239" s="152" t="str">
        <f t="shared" ref="BB239:BB244" si="630">IF($E$6=$H$9,AV239,AP239)</f>
        <v>Yes</v>
      </c>
      <c r="BC239" s="156" t="str">
        <f t="shared" si="619"/>
        <v>Yes</v>
      </c>
      <c r="BD239" s="151">
        <f t="shared" si="624"/>
        <v>0</v>
      </c>
      <c r="BE239" s="37" t="str">
        <f t="shared" si="600"/>
        <v>Unclassified</v>
      </c>
      <c r="BF239" s="154"/>
      <c r="BG239" s="151">
        <f t="shared" si="625"/>
        <v>0</v>
      </c>
      <c r="BH239" s="37" t="str">
        <f t="shared" si="602"/>
        <v>Unclassified</v>
      </c>
      <c r="BI239" s="154"/>
      <c r="BJ239" s="151">
        <f t="shared" si="626"/>
        <v>0</v>
      </c>
      <c r="BK239" s="37" t="str">
        <f t="shared" si="604"/>
        <v>Unclassified</v>
      </c>
      <c r="BL239" s="154"/>
      <c r="BO239" s="35"/>
      <c r="BP239" s="35" t="s">
        <v>123</v>
      </c>
      <c r="BQ239" s="35" t="str">
        <f t="shared" si="551"/>
        <v>Yes</v>
      </c>
      <c r="BR239" s="35">
        <f t="shared" si="605"/>
        <v>0</v>
      </c>
      <c r="BS239" s="35">
        <f t="shared" si="606"/>
        <v>0</v>
      </c>
      <c r="BT239" s="35">
        <f t="shared" si="607"/>
        <v>0</v>
      </c>
      <c r="BW239" s="40"/>
      <c r="BX239" s="40"/>
      <c r="BY239" s="40"/>
      <c r="BZ239" s="40"/>
      <c r="CA239" s="40"/>
      <c r="CB239" s="40"/>
    </row>
    <row r="240" spans="1:81" ht="15.75" thickBot="1">
      <c r="A240">
        <v>232</v>
      </c>
      <c r="B240" t="s">
        <v>421</v>
      </c>
      <c r="C240" t="s">
        <v>419</v>
      </c>
      <c r="D240" s="570" t="s">
        <v>421</v>
      </c>
      <c r="E240" s="774" t="s">
        <v>909</v>
      </c>
      <c r="F240" s="609" t="s">
        <v>928</v>
      </c>
      <c r="G240" s="609" t="s">
        <v>928</v>
      </c>
      <c r="H240" s="609" t="s">
        <v>928</v>
      </c>
      <c r="I240" s="609" t="s">
        <v>928</v>
      </c>
      <c r="J240" s="609" t="s">
        <v>928</v>
      </c>
      <c r="K240" s="609" t="s">
        <v>928</v>
      </c>
      <c r="L240" s="609" t="s">
        <v>928</v>
      </c>
      <c r="M240" s="609" t="s">
        <v>928</v>
      </c>
      <c r="N240" s="609" t="s">
        <v>928</v>
      </c>
      <c r="O240" s="609" t="s">
        <v>928</v>
      </c>
      <c r="P240" s="609" t="s">
        <v>928</v>
      </c>
      <c r="Q240" s="610" t="s">
        <v>928</v>
      </c>
      <c r="R240" s="610" t="s">
        <v>928</v>
      </c>
      <c r="T240" s="139" t="str">
        <f t="shared" si="593"/>
        <v>Yes/No</v>
      </c>
      <c r="U240" s="197"/>
      <c r="V240" s="195"/>
      <c r="W240" s="35"/>
      <c r="X240" s="35"/>
      <c r="Y240" s="138"/>
      <c r="Z240" s="138"/>
      <c r="AA240" s="139"/>
      <c r="AB240" s="175" t="str">
        <f t="shared" si="594"/>
        <v>Yes/No</v>
      </c>
      <c r="AD240" s="141"/>
      <c r="AE240" s="196" t="s">
        <v>586</v>
      </c>
      <c r="AF240" s="196" t="s">
        <v>586</v>
      </c>
      <c r="AG240" s="196" t="s">
        <v>586</v>
      </c>
      <c r="AI240" s="176">
        <f>IF(VLOOKUP(E240,'Pre-Assessment Estimator'!$E$11:$AB$227,'Pre-Assessment Estimator'!$G$2,FALSE)&gt;AB240,AB240,VLOOKUP(E240,'Pre-Assessment Estimator'!$E$11:$AB$227,'Pre-Assessment Estimator'!$G$2,FALSE))</f>
        <v>0</v>
      </c>
      <c r="AJ240" s="142">
        <f>IF(VLOOKUP(E240,'Pre-Assessment Estimator'!$E$11:$AB$227,'Pre-Assessment Estimator'!$N$2,FALSE)&gt;AB240,AB240,VLOOKUP(E240,'Pre-Assessment Estimator'!$E$11:$AB$227,'Pre-Assessment Estimator'!$N$2,FALSE))</f>
        <v>0</v>
      </c>
      <c r="AK240" s="142">
        <f>IF(VLOOKUP(E240,'Pre-Assessment Estimator'!$E$11:$AB$227,'Pre-Assessment Estimator'!$U$2,FALSE)&gt;AB240,AB240,VLOOKUP(E240,'Pre-Assessment Estimator'!$E$11:$AB$227,'Pre-Assessment Estimator'!$U$2,FALSE))</f>
        <v>0</v>
      </c>
      <c r="AM240" s="770" t="s">
        <v>123</v>
      </c>
      <c r="AN240" s="771" t="s">
        <v>123</v>
      </c>
      <c r="AO240" s="771" t="s">
        <v>123</v>
      </c>
      <c r="AP240" s="771" t="s">
        <v>123</v>
      </c>
      <c r="AQ240" s="772" t="s">
        <v>123</v>
      </c>
      <c r="AR240" s="112"/>
      <c r="AS240" s="770" t="s">
        <v>123</v>
      </c>
      <c r="AT240" s="771" t="s">
        <v>123</v>
      </c>
      <c r="AU240" s="771" t="s">
        <v>123</v>
      </c>
      <c r="AV240" s="771" t="s">
        <v>123</v>
      </c>
      <c r="AW240" s="772" t="s">
        <v>123</v>
      </c>
      <c r="AY240" s="151" t="str">
        <f t="shared" si="627"/>
        <v>Yes</v>
      </c>
      <c r="AZ240" s="152" t="str">
        <f t="shared" si="628"/>
        <v>Yes</v>
      </c>
      <c r="BA240" s="152" t="str">
        <f t="shared" si="629"/>
        <v>Yes</v>
      </c>
      <c r="BB240" s="152" t="str">
        <f t="shared" si="630"/>
        <v>Yes</v>
      </c>
      <c r="BC240" s="156" t="str">
        <f t="shared" si="619"/>
        <v>Yes</v>
      </c>
      <c r="BD240" s="151">
        <f t="shared" si="624"/>
        <v>0</v>
      </c>
      <c r="BE240" s="37" t="str">
        <f t="shared" si="600"/>
        <v>Unclassified</v>
      </c>
      <c r="BF240" s="154"/>
      <c r="BG240" s="151">
        <f t="shared" si="625"/>
        <v>0</v>
      </c>
      <c r="BH240" s="37" t="str">
        <f t="shared" si="602"/>
        <v>Unclassified</v>
      </c>
      <c r="BI240" s="154"/>
      <c r="BJ240" s="151">
        <f t="shared" si="626"/>
        <v>0</v>
      </c>
      <c r="BK240" s="37" t="str">
        <f t="shared" si="604"/>
        <v>Unclassified</v>
      </c>
      <c r="BL240" s="154"/>
      <c r="BO240" s="35"/>
      <c r="BP240" s="35"/>
      <c r="BQ240" s="35" t="str">
        <f t="shared" si="551"/>
        <v/>
      </c>
      <c r="BR240" s="35">
        <f t="shared" si="605"/>
        <v>9</v>
      </c>
      <c r="BS240" s="35">
        <f t="shared" si="606"/>
        <v>9</v>
      </c>
      <c r="BT240" s="35">
        <f t="shared" si="607"/>
        <v>9</v>
      </c>
      <c r="BW240" s="40"/>
      <c r="BX240" s="40"/>
      <c r="BY240" s="40"/>
      <c r="BZ240" s="40"/>
      <c r="CA240" s="40"/>
      <c r="CB240" s="40"/>
    </row>
    <row r="241" spans="1:81" ht="15.75" thickBot="1">
      <c r="A241">
        <v>233</v>
      </c>
      <c r="B241" t="s">
        <v>426</v>
      </c>
      <c r="C241" t="s">
        <v>424</v>
      </c>
      <c r="D241" s="570" t="s">
        <v>426</v>
      </c>
      <c r="E241" s="774" t="s">
        <v>783</v>
      </c>
      <c r="F241" s="609" t="s">
        <v>928</v>
      </c>
      <c r="G241" s="609" t="s">
        <v>928</v>
      </c>
      <c r="H241" s="609" t="s">
        <v>928</v>
      </c>
      <c r="I241" s="609" t="s">
        <v>928</v>
      </c>
      <c r="J241" s="609" t="s">
        <v>928</v>
      </c>
      <c r="K241" s="609" t="s">
        <v>928</v>
      </c>
      <c r="L241" s="609" t="s">
        <v>928</v>
      </c>
      <c r="M241" s="609" t="s">
        <v>928</v>
      </c>
      <c r="N241" s="609" t="s">
        <v>928</v>
      </c>
      <c r="O241" s="609" t="s">
        <v>928</v>
      </c>
      <c r="P241" s="609" t="s">
        <v>928</v>
      </c>
      <c r="Q241" s="610" t="s">
        <v>928</v>
      </c>
      <c r="R241" s="610" t="s">
        <v>928</v>
      </c>
      <c r="T241" s="139" t="str">
        <f t="shared" si="593"/>
        <v>Yes/No</v>
      </c>
      <c r="U241" s="197"/>
      <c r="V241" s="195"/>
      <c r="W241" s="35"/>
      <c r="X241" s="35"/>
      <c r="Y241" s="138"/>
      <c r="Z241" s="138"/>
      <c r="AA241" s="139"/>
      <c r="AB241" s="175" t="str">
        <f t="shared" si="594"/>
        <v>Yes/No</v>
      </c>
      <c r="AD241" s="141"/>
      <c r="AE241" s="196" t="s">
        <v>586</v>
      </c>
      <c r="AF241" s="196" t="s">
        <v>586</v>
      </c>
      <c r="AG241" s="196" t="s">
        <v>586</v>
      </c>
      <c r="AI241" s="176">
        <f>IF(VLOOKUP(E241,'Pre-Assessment Estimator'!$E$11:$AB$227,'Pre-Assessment Estimator'!$G$2,FALSE)&gt;AB241,AB241,VLOOKUP(E241,'Pre-Assessment Estimator'!$E$11:$AB$227,'Pre-Assessment Estimator'!$G$2,FALSE))</f>
        <v>0</v>
      </c>
      <c r="AJ241" s="142">
        <f>IF(VLOOKUP(E241,'Pre-Assessment Estimator'!$E$11:$AB$227,'Pre-Assessment Estimator'!$N$2,FALSE)&gt;AB241,AB241,VLOOKUP(E241,'Pre-Assessment Estimator'!$E$11:$AB$227,'Pre-Assessment Estimator'!$N$2,FALSE))</f>
        <v>0</v>
      </c>
      <c r="AK241" s="142">
        <f>IF(VLOOKUP(E241,'Pre-Assessment Estimator'!$E$11:$AB$227,'Pre-Assessment Estimator'!$U$2,FALSE)&gt;AB241,AB241,VLOOKUP(E241,'Pre-Assessment Estimator'!$E$11:$AB$227,'Pre-Assessment Estimator'!$U$2,FALSE))</f>
        <v>0</v>
      </c>
      <c r="AM241" s="571"/>
      <c r="AN241" s="190"/>
      <c r="AO241" s="190"/>
      <c r="AP241" s="190"/>
      <c r="AQ241" s="191"/>
      <c r="AS241" s="571"/>
      <c r="AT241" s="190"/>
      <c r="AU241" s="190"/>
      <c r="AV241" s="190"/>
      <c r="AW241" s="191"/>
      <c r="AY241" s="151">
        <f t="shared" ref="AY241" si="631">IF($E$6=$H$9,AS241,AM241)</f>
        <v>0</v>
      </c>
      <c r="AZ241" s="152">
        <f t="shared" ref="AZ241" si="632">IF($E$6=$H$9,AT241,AN241)</f>
        <v>0</v>
      </c>
      <c r="BA241" s="152">
        <f t="shared" ref="BA241" si="633">IF($E$6=$H$9,AU241,AO241)</f>
        <v>0</v>
      </c>
      <c r="BB241" s="152">
        <f t="shared" ref="BB241" si="634">IF($E$6=$H$9,AV241,AP241)</f>
        <v>0</v>
      </c>
      <c r="BC241" s="156">
        <f t="shared" ref="BC241" si="635">IF($E$6=$H$9,AW241,AQ241)</f>
        <v>0</v>
      </c>
      <c r="BD241" s="870">
        <v>9</v>
      </c>
      <c r="BE241" s="37" t="str">
        <f t="shared" si="600"/>
        <v>N/A</v>
      </c>
      <c r="BF241" s="154"/>
      <c r="BG241" s="870">
        <v>9</v>
      </c>
      <c r="BH241" s="37" t="str">
        <f t="shared" si="602"/>
        <v>N/A</v>
      </c>
      <c r="BI241" s="154"/>
      <c r="BJ241" s="870">
        <v>9</v>
      </c>
      <c r="BK241" s="37" t="str">
        <f t="shared" si="604"/>
        <v>N/A</v>
      </c>
      <c r="BL241" s="154"/>
      <c r="BO241" s="35"/>
      <c r="BP241" s="35"/>
      <c r="BQ241" s="35" t="str">
        <f t="shared" si="551"/>
        <v/>
      </c>
      <c r="BR241" s="35">
        <f t="shared" si="605"/>
        <v>9</v>
      </c>
      <c r="BS241" s="35">
        <f t="shared" si="606"/>
        <v>9</v>
      </c>
      <c r="BT241" s="35">
        <f t="shared" si="607"/>
        <v>9</v>
      </c>
      <c r="BW241" s="40"/>
      <c r="BX241" s="40"/>
      <c r="BY241" s="40"/>
      <c r="BZ241" s="40"/>
      <c r="CA241" s="40"/>
      <c r="CB241" s="40"/>
    </row>
    <row r="242" spans="1:81" ht="15.75" thickBot="1">
      <c r="A242">
        <v>234</v>
      </c>
      <c r="B242" t="s">
        <v>469</v>
      </c>
      <c r="C242" t="s">
        <v>467</v>
      </c>
      <c r="D242" s="570" t="s">
        <v>469</v>
      </c>
      <c r="E242" s="774" t="s">
        <v>919</v>
      </c>
      <c r="F242" s="609" t="s">
        <v>928</v>
      </c>
      <c r="G242" s="609" t="s">
        <v>928</v>
      </c>
      <c r="H242" s="609" t="s">
        <v>928</v>
      </c>
      <c r="I242" s="609" t="s">
        <v>928</v>
      </c>
      <c r="J242" s="609" t="s">
        <v>928</v>
      </c>
      <c r="K242" s="609" t="s">
        <v>928</v>
      </c>
      <c r="L242" s="609" t="s">
        <v>928</v>
      </c>
      <c r="M242" s="609" t="s">
        <v>928</v>
      </c>
      <c r="N242" s="609" t="s">
        <v>928</v>
      </c>
      <c r="O242" s="609" t="s">
        <v>928</v>
      </c>
      <c r="P242" s="609" t="s">
        <v>928</v>
      </c>
      <c r="Q242" s="610" t="s">
        <v>928</v>
      </c>
      <c r="R242" s="610" t="s">
        <v>928</v>
      </c>
      <c r="T242" s="139" t="str">
        <f t="shared" si="593"/>
        <v>Yes/No</v>
      </c>
      <c r="U242" s="197"/>
      <c r="V242" s="195"/>
      <c r="W242" s="35"/>
      <c r="X242" s="35"/>
      <c r="Y242" s="138"/>
      <c r="Z242" s="138"/>
      <c r="AA242" s="139"/>
      <c r="AB242" s="175" t="str">
        <f t="shared" si="594"/>
        <v>Yes/No</v>
      </c>
      <c r="AD242" s="141"/>
      <c r="AE242" s="196" t="s">
        <v>586</v>
      </c>
      <c r="AF242" s="196" t="s">
        <v>586</v>
      </c>
      <c r="AG242" s="196" t="s">
        <v>586</v>
      </c>
      <c r="AI242" s="176">
        <f>IF(VLOOKUP(E242,'Pre-Assessment Estimator'!$E$11:$AB$227,'Pre-Assessment Estimator'!$G$2,FALSE)&gt;AB242,AB242,VLOOKUP(E242,'Pre-Assessment Estimator'!$E$11:$AB$227,'Pre-Assessment Estimator'!$G$2,FALSE))</f>
        <v>0</v>
      </c>
      <c r="AJ242" s="142">
        <f>IF(VLOOKUP(E242,'Pre-Assessment Estimator'!$E$11:$AB$227,'Pre-Assessment Estimator'!$N$2,FALSE)&gt;AB242,AB242,VLOOKUP(E242,'Pre-Assessment Estimator'!$E$11:$AB$227,'Pre-Assessment Estimator'!$N$2,FALSE))</f>
        <v>0</v>
      </c>
      <c r="AK242" s="142">
        <f>IF(VLOOKUP(E242,'Pre-Assessment Estimator'!$E$11:$AB$227,'Pre-Assessment Estimator'!$U$2,FALSE)&gt;AB242,AB242,VLOOKUP(E242,'Pre-Assessment Estimator'!$E$11:$AB$227,'Pre-Assessment Estimator'!$U$2,FALSE))</f>
        <v>0</v>
      </c>
      <c r="AM242" s="571"/>
      <c r="AN242" s="190"/>
      <c r="AO242" s="190"/>
      <c r="AP242" s="190"/>
      <c r="AQ242" s="191"/>
      <c r="AS242" s="571"/>
      <c r="AT242" s="190"/>
      <c r="AU242" s="190"/>
      <c r="AV242" s="190"/>
      <c r="AW242" s="191"/>
      <c r="AY242" s="151">
        <f t="shared" si="627"/>
        <v>0</v>
      </c>
      <c r="AZ242" s="152">
        <f t="shared" si="628"/>
        <v>0</v>
      </c>
      <c r="BA242" s="152">
        <f t="shared" si="629"/>
        <v>0</v>
      </c>
      <c r="BB242" s="152">
        <f t="shared" si="630"/>
        <v>0</v>
      </c>
      <c r="BC242" s="156">
        <f t="shared" si="619"/>
        <v>0</v>
      </c>
      <c r="BD242" s="870">
        <v>9</v>
      </c>
      <c r="BE242" s="37" t="str">
        <f t="shared" si="600"/>
        <v>N/A</v>
      </c>
      <c r="BF242" s="154"/>
      <c r="BG242" s="870">
        <v>9</v>
      </c>
      <c r="BH242" s="37" t="str">
        <f t="shared" si="602"/>
        <v>N/A</v>
      </c>
      <c r="BI242" s="154"/>
      <c r="BJ242" s="870">
        <v>9</v>
      </c>
      <c r="BK242" s="37" t="str">
        <f t="shared" si="604"/>
        <v>N/A</v>
      </c>
      <c r="BL242" s="154"/>
      <c r="BO242" s="35"/>
      <c r="BP242" s="35"/>
      <c r="BQ242" s="35"/>
      <c r="BR242" s="35">
        <f t="shared" si="605"/>
        <v>9</v>
      </c>
      <c r="BS242" s="35">
        <f t="shared" si="606"/>
        <v>9</v>
      </c>
      <c r="BT242" s="35">
        <f t="shared" si="607"/>
        <v>9</v>
      </c>
      <c r="BW242" s="40"/>
      <c r="BX242" s="40"/>
      <c r="BY242" s="40"/>
      <c r="BZ242" s="40"/>
      <c r="CA242" s="40"/>
      <c r="CB242" s="40"/>
    </row>
    <row r="243" spans="1:81" ht="15.75" thickBot="1">
      <c r="A243">
        <v>235</v>
      </c>
      <c r="B243" t="s">
        <v>473</v>
      </c>
      <c r="C243" t="s">
        <v>472</v>
      </c>
      <c r="D243" s="570" t="s">
        <v>473</v>
      </c>
      <c r="E243" s="774" t="s">
        <v>800</v>
      </c>
      <c r="F243" s="609" t="s">
        <v>928</v>
      </c>
      <c r="G243" s="609" t="s">
        <v>928</v>
      </c>
      <c r="H243" s="609" t="s">
        <v>928</v>
      </c>
      <c r="I243" s="609" t="s">
        <v>928</v>
      </c>
      <c r="J243" s="609" t="s">
        <v>928</v>
      </c>
      <c r="K243" s="609" t="s">
        <v>928</v>
      </c>
      <c r="L243" s="609" t="s">
        <v>928</v>
      </c>
      <c r="M243" s="609" t="s">
        <v>928</v>
      </c>
      <c r="N243" s="609" t="s">
        <v>928</v>
      </c>
      <c r="O243" s="609" t="s">
        <v>928</v>
      </c>
      <c r="P243" s="609" t="s">
        <v>928</v>
      </c>
      <c r="Q243" s="610" t="s">
        <v>928</v>
      </c>
      <c r="R243" s="610" t="s">
        <v>928</v>
      </c>
      <c r="T243" s="139" t="str">
        <f t="shared" si="593"/>
        <v>Yes/No</v>
      </c>
      <c r="U243" s="197"/>
      <c r="V243" s="195"/>
      <c r="W243" s="35"/>
      <c r="X243" s="35"/>
      <c r="Y243" s="138"/>
      <c r="Z243" s="138"/>
      <c r="AA243" s="139"/>
      <c r="AB243" s="175" t="str">
        <f t="shared" si="594"/>
        <v>Yes/No</v>
      </c>
      <c r="AD243" s="141"/>
      <c r="AE243" s="196" t="s">
        <v>586</v>
      </c>
      <c r="AF243" s="196" t="s">
        <v>586</v>
      </c>
      <c r="AG243" s="196" t="s">
        <v>586</v>
      </c>
      <c r="AI243" s="176" t="str">
        <f>IF(AI173+AI174=LE02_credits,AD_Yes,AD_no)</f>
        <v>No</v>
      </c>
      <c r="AJ243" s="142" t="str">
        <f>IF(AJ173+AJ174=LE02_credits,AD_Yes,AD_no)</f>
        <v>No</v>
      </c>
      <c r="AK243" s="142" t="str">
        <f>IF(AK173+AK174=LE02_credits,AD_Yes,AD_no)</f>
        <v>No</v>
      </c>
      <c r="AM243" s="571"/>
      <c r="AN243" s="190"/>
      <c r="AO243" s="190"/>
      <c r="AP243" s="190"/>
      <c r="AQ243" s="191"/>
      <c r="AS243" s="571"/>
      <c r="AT243" s="190"/>
      <c r="AU243" s="190"/>
      <c r="AV243" s="190"/>
      <c r="AW243" s="191"/>
      <c r="AY243" s="151">
        <f t="shared" si="627"/>
        <v>0</v>
      </c>
      <c r="AZ243" s="152">
        <f t="shared" si="628"/>
        <v>0</v>
      </c>
      <c r="BA243" s="152">
        <f t="shared" si="629"/>
        <v>0</v>
      </c>
      <c r="BB243" s="152">
        <f t="shared" si="630"/>
        <v>0</v>
      </c>
      <c r="BC243" s="156">
        <f t="shared" si="619"/>
        <v>0</v>
      </c>
      <c r="BD243" s="870">
        <v>9</v>
      </c>
      <c r="BE243" s="37" t="str">
        <f t="shared" si="600"/>
        <v>N/A</v>
      </c>
      <c r="BF243" s="154"/>
      <c r="BG243" s="870">
        <v>9</v>
      </c>
      <c r="BH243" s="37" t="str">
        <f t="shared" si="602"/>
        <v>N/A</v>
      </c>
      <c r="BI243" s="154"/>
      <c r="BJ243" s="870">
        <v>9</v>
      </c>
      <c r="BK243" s="37" t="str">
        <f t="shared" si="604"/>
        <v>N/A</v>
      </c>
      <c r="BL243" s="154"/>
      <c r="BO243" s="35"/>
      <c r="BP243" s="35"/>
      <c r="BQ243" s="35" t="str">
        <f t="shared" si="551"/>
        <v/>
      </c>
      <c r="BR243" s="35">
        <f t="shared" si="605"/>
        <v>9</v>
      </c>
      <c r="BS243" s="35">
        <f t="shared" si="606"/>
        <v>9</v>
      </c>
      <c r="BT243" s="35">
        <f t="shared" si="607"/>
        <v>9</v>
      </c>
      <c r="BW243" s="40"/>
      <c r="BX243" s="40"/>
      <c r="BY243" s="40"/>
      <c r="BZ243" s="40"/>
      <c r="CA243" s="40"/>
      <c r="CB243" s="40"/>
    </row>
    <row r="244" spans="1:81" ht="15.75" thickBot="1">
      <c r="A244">
        <v>236</v>
      </c>
      <c r="B244" t="s">
        <v>478</v>
      </c>
      <c r="C244" t="s">
        <v>476</v>
      </c>
      <c r="D244" s="570" t="s">
        <v>478</v>
      </c>
      <c r="E244" s="774" t="s">
        <v>921</v>
      </c>
      <c r="F244" s="609" t="s">
        <v>928</v>
      </c>
      <c r="G244" s="609" t="s">
        <v>928</v>
      </c>
      <c r="H244" s="609" t="s">
        <v>928</v>
      </c>
      <c r="I244" s="609" t="s">
        <v>928</v>
      </c>
      <c r="J244" s="609" t="s">
        <v>928</v>
      </c>
      <c r="K244" s="609" t="s">
        <v>928</v>
      </c>
      <c r="L244" s="609" t="s">
        <v>928</v>
      </c>
      <c r="M244" s="609" t="s">
        <v>928</v>
      </c>
      <c r="N244" s="609" t="s">
        <v>928</v>
      </c>
      <c r="O244" s="609" t="s">
        <v>928</v>
      </c>
      <c r="P244" s="609" t="s">
        <v>928</v>
      </c>
      <c r="Q244" s="610" t="s">
        <v>928</v>
      </c>
      <c r="R244" s="610" t="s">
        <v>928</v>
      </c>
      <c r="T244" s="139" t="str">
        <f t="shared" si="593"/>
        <v>Yes/No</v>
      </c>
      <c r="U244" s="197"/>
      <c r="V244" s="195"/>
      <c r="W244" s="35"/>
      <c r="X244" s="35"/>
      <c r="Y244" s="138"/>
      <c r="Z244" s="138"/>
      <c r="AA244" s="139"/>
      <c r="AB244" s="175" t="str">
        <f t="shared" si="594"/>
        <v>Yes/No</v>
      </c>
      <c r="AD244" s="141"/>
      <c r="AE244" s="196" t="s">
        <v>586</v>
      </c>
      <c r="AF244" s="196" t="s">
        <v>586</v>
      </c>
      <c r="AG244" s="196" t="s">
        <v>586</v>
      </c>
      <c r="AI244" s="176">
        <f>IF(VLOOKUP(E244,'Pre-Assessment Estimator'!$E$11:$AB$227,'Pre-Assessment Estimator'!$G$2,FALSE)&gt;AB244,AB244,VLOOKUP(E244,'Pre-Assessment Estimator'!$E$11:$AB$227,'Pre-Assessment Estimator'!$G$2,FALSE))</f>
        <v>0</v>
      </c>
      <c r="AJ244" s="142">
        <f>IF(VLOOKUP(E244,'Pre-Assessment Estimator'!$E$11:$AB$227,'Pre-Assessment Estimator'!$N$2,FALSE)&gt;AB244,AB244,VLOOKUP(E244,'Pre-Assessment Estimator'!$E$11:$AB$227,'Pre-Assessment Estimator'!$N$2,FALSE))</f>
        <v>0</v>
      </c>
      <c r="AK244" s="142">
        <f>IF(VLOOKUP(E244,'Pre-Assessment Estimator'!$E$11:$AB$227,'Pre-Assessment Estimator'!$U$2,FALSE)&gt;AB244,AB244,VLOOKUP(E244,'Pre-Assessment Estimator'!$E$11:$AB$227,'Pre-Assessment Estimator'!$U$2,FALSE))</f>
        <v>0</v>
      </c>
      <c r="AM244" s="571"/>
      <c r="AN244" s="190"/>
      <c r="AO244" s="190"/>
      <c r="AP244" s="190"/>
      <c r="AQ244" s="191"/>
      <c r="AS244" s="571"/>
      <c r="AT244" s="190"/>
      <c r="AU244" s="190"/>
      <c r="AV244" s="190"/>
      <c r="AW244" s="191"/>
      <c r="AY244" s="151">
        <f t="shared" si="627"/>
        <v>0</v>
      </c>
      <c r="AZ244" s="152">
        <f t="shared" si="628"/>
        <v>0</v>
      </c>
      <c r="BA244" s="152">
        <f t="shared" si="629"/>
        <v>0</v>
      </c>
      <c r="BB244" s="152">
        <f t="shared" si="630"/>
        <v>0</v>
      </c>
      <c r="BC244" s="156">
        <f t="shared" si="619"/>
        <v>0</v>
      </c>
      <c r="BD244" s="870">
        <v>9</v>
      </c>
      <c r="BE244" s="37" t="str">
        <f t="shared" si="600"/>
        <v>N/A</v>
      </c>
      <c r="BF244" s="154"/>
      <c r="BG244" s="870">
        <v>9</v>
      </c>
      <c r="BH244" s="37" t="str">
        <f t="shared" si="602"/>
        <v>N/A</v>
      </c>
      <c r="BI244" s="154"/>
      <c r="BJ244" s="870">
        <v>9</v>
      </c>
      <c r="BK244" s="37" t="str">
        <f t="shared" si="604"/>
        <v>N/A</v>
      </c>
      <c r="BL244" s="154"/>
      <c r="BO244" s="35"/>
      <c r="BP244" s="35"/>
      <c r="BQ244" s="35" t="str">
        <f t="shared" si="551"/>
        <v/>
      </c>
      <c r="BR244" s="35">
        <f t="shared" si="605"/>
        <v>9</v>
      </c>
      <c r="BS244" s="35">
        <f t="shared" si="606"/>
        <v>9</v>
      </c>
      <c r="BT244" s="35">
        <f t="shared" si="607"/>
        <v>9</v>
      </c>
      <c r="BW244" s="40"/>
      <c r="BX244" s="40"/>
      <c r="BY244" s="40"/>
      <c r="BZ244" s="40"/>
      <c r="CA244" s="40"/>
      <c r="CB244" s="40"/>
    </row>
    <row r="245" spans="1:81" ht="15.75" thickBot="1">
      <c r="A245">
        <v>237</v>
      </c>
      <c r="B245" t="s">
        <v>483</v>
      </c>
      <c r="C245" t="s">
        <v>481</v>
      </c>
      <c r="D245" s="570" t="s">
        <v>483</v>
      </c>
      <c r="E245" s="774" t="s">
        <v>804</v>
      </c>
      <c r="F245" s="609" t="s">
        <v>928</v>
      </c>
      <c r="G245" s="609" t="s">
        <v>928</v>
      </c>
      <c r="H245" s="609" t="s">
        <v>928</v>
      </c>
      <c r="I245" s="609" t="s">
        <v>928</v>
      </c>
      <c r="J245" s="609" t="s">
        <v>928</v>
      </c>
      <c r="K245" s="609" t="s">
        <v>928</v>
      </c>
      <c r="L245" s="609" t="s">
        <v>928</v>
      </c>
      <c r="M245" s="609" t="s">
        <v>928</v>
      </c>
      <c r="N245" s="609" t="s">
        <v>928</v>
      </c>
      <c r="O245" s="609" t="s">
        <v>928</v>
      </c>
      <c r="P245" s="609" t="s">
        <v>928</v>
      </c>
      <c r="Q245" s="610" t="s">
        <v>928</v>
      </c>
      <c r="R245" s="610" t="s">
        <v>928</v>
      </c>
      <c r="T245" s="139" t="str">
        <f t="shared" si="593"/>
        <v>Yes/No</v>
      </c>
      <c r="U245" s="197"/>
      <c r="V245" s="195"/>
      <c r="W245" s="35"/>
      <c r="X245" s="35"/>
      <c r="Y245" s="138"/>
      <c r="Z245" s="138"/>
      <c r="AA245" s="139"/>
      <c r="AB245" s="175" t="str">
        <f t="shared" si="594"/>
        <v>Yes/No</v>
      </c>
      <c r="AD245" s="141"/>
      <c r="AE245" s="196" t="s">
        <v>586</v>
      </c>
      <c r="AF245" s="196" t="s">
        <v>586</v>
      </c>
      <c r="AG245" s="196" t="s">
        <v>586</v>
      </c>
      <c r="AI245" s="176">
        <f>IF(VLOOKUP(E245,'Pre-Assessment Estimator'!$E$11:$AB$227,'Pre-Assessment Estimator'!$G$2,FALSE)&gt;AB245,AB245,VLOOKUP(E245,'Pre-Assessment Estimator'!$E$11:$AB$227,'Pre-Assessment Estimator'!$G$2,FALSE))</f>
        <v>0</v>
      </c>
      <c r="AJ245" s="142">
        <f>IF(VLOOKUP(E245,'Pre-Assessment Estimator'!$E$11:$AB$227,'Pre-Assessment Estimator'!$N$2,FALSE)&gt;AB245,AB245,VLOOKUP(E245,'Pre-Assessment Estimator'!$E$11:$AB$227,'Pre-Assessment Estimator'!$N$2,FALSE))</f>
        <v>0</v>
      </c>
      <c r="AK245" s="142">
        <f>IF(VLOOKUP(E245,'Pre-Assessment Estimator'!$E$11:$AB$227,'Pre-Assessment Estimator'!$U$2,FALSE)&gt;AB245,AB245,VLOOKUP(E245,'Pre-Assessment Estimator'!$E$11:$AB$227,'Pre-Assessment Estimator'!$U$2,FALSE))</f>
        <v>0</v>
      </c>
      <c r="AM245" s="571"/>
      <c r="AN245" s="190"/>
      <c r="AO245" s="190"/>
      <c r="AP245" s="190"/>
      <c r="AQ245" s="191"/>
      <c r="AS245" s="571"/>
      <c r="AT245" s="190"/>
      <c r="AU245" s="190"/>
      <c r="AV245" s="190"/>
      <c r="AW245" s="191"/>
      <c r="AY245" s="151">
        <f t="shared" ref="AY245:AY248" si="636">IF($E$6=$H$9,AS245,AM245)</f>
        <v>0</v>
      </c>
      <c r="AZ245" s="152">
        <f t="shared" ref="AZ245:AZ248" si="637">IF($E$6=$H$9,AT245,AN245)</f>
        <v>0</v>
      </c>
      <c r="BA245" s="152">
        <f t="shared" ref="BA245:BA248" si="638">IF($E$6=$H$9,AU245,AO245)</f>
        <v>0</v>
      </c>
      <c r="BB245" s="152">
        <f t="shared" ref="BB245:BB248" si="639">IF($E$6=$H$9,AV245,AP245)</f>
        <v>0</v>
      </c>
      <c r="BC245" s="156">
        <f t="shared" si="619"/>
        <v>0</v>
      </c>
      <c r="BD245" s="870">
        <v>9</v>
      </c>
      <c r="BE245" s="37" t="str">
        <f t="shared" si="600"/>
        <v>N/A</v>
      </c>
      <c r="BF245" s="154"/>
      <c r="BG245" s="870">
        <v>9</v>
      </c>
      <c r="BH245" s="37" t="str">
        <f t="shared" si="602"/>
        <v>N/A</v>
      </c>
      <c r="BI245" s="154"/>
      <c r="BJ245" s="870">
        <v>9</v>
      </c>
      <c r="BK245" s="37" t="str">
        <f t="shared" si="604"/>
        <v>N/A</v>
      </c>
      <c r="BL245" s="154"/>
      <c r="BO245" s="35"/>
      <c r="BP245" s="35"/>
      <c r="BQ245" s="35" t="str">
        <f t="shared" si="551"/>
        <v/>
      </c>
      <c r="BR245" s="35">
        <f t="shared" si="605"/>
        <v>9</v>
      </c>
      <c r="BS245" s="35">
        <f t="shared" si="606"/>
        <v>9</v>
      </c>
      <c r="BT245" s="35">
        <f t="shared" si="607"/>
        <v>9</v>
      </c>
      <c r="BW245" s="40"/>
      <c r="BX245" s="40"/>
      <c r="BY245" s="40"/>
      <c r="BZ245" s="40"/>
      <c r="CA245" s="40"/>
      <c r="CB245" s="40"/>
    </row>
    <row r="246" spans="1:81" ht="15.75" thickBot="1">
      <c r="A246">
        <v>238</v>
      </c>
      <c r="B246" t="s">
        <v>381</v>
      </c>
      <c r="C246" t="s">
        <v>379</v>
      </c>
      <c r="D246" s="570" t="s">
        <v>381</v>
      </c>
      <c r="E246" s="774" t="s">
        <v>931</v>
      </c>
      <c r="F246" s="609" t="s">
        <v>928</v>
      </c>
      <c r="G246" s="609" t="s">
        <v>928</v>
      </c>
      <c r="H246" s="609" t="s">
        <v>928</v>
      </c>
      <c r="I246" s="609" t="s">
        <v>928</v>
      </c>
      <c r="J246" s="609" t="s">
        <v>928</v>
      </c>
      <c r="K246" s="609" t="s">
        <v>928</v>
      </c>
      <c r="L246" s="609" t="s">
        <v>928</v>
      </c>
      <c r="M246" s="609" t="s">
        <v>928</v>
      </c>
      <c r="N246" s="609" t="s">
        <v>928</v>
      </c>
      <c r="O246" s="609" t="s">
        <v>928</v>
      </c>
      <c r="P246" s="609" t="s">
        <v>928</v>
      </c>
      <c r="Q246" s="610" t="s">
        <v>928</v>
      </c>
      <c r="R246" s="610" t="s">
        <v>928</v>
      </c>
      <c r="T246" s="139" t="str">
        <f t="shared" si="593"/>
        <v>Yes/No</v>
      </c>
      <c r="U246" s="197"/>
      <c r="V246" s="195"/>
      <c r="W246" s="35"/>
      <c r="X246" s="35"/>
      <c r="Y246" s="138"/>
      <c r="Z246" s="138"/>
      <c r="AA246" s="139"/>
      <c r="AB246" s="175" t="str">
        <f t="shared" si="594"/>
        <v>Yes/No</v>
      </c>
      <c r="AD246" s="141"/>
      <c r="AE246" s="196" t="s">
        <v>586</v>
      </c>
      <c r="AF246" s="196" t="s">
        <v>586</v>
      </c>
      <c r="AG246" s="196" t="s">
        <v>586</v>
      </c>
      <c r="AI246" s="176">
        <f>IF(VLOOKUP(E246,'Pre-Assessment Estimator'!$E$11:$AB$227,'Pre-Assessment Estimator'!$G$2,FALSE)&gt;AB246,AB246,VLOOKUP(E246,'Pre-Assessment Estimator'!$E$11:$AB$227,'Pre-Assessment Estimator'!$G$2,FALSE))</f>
        <v>0</v>
      </c>
      <c r="AJ246" s="142">
        <f>IF(VLOOKUP(E246,'Pre-Assessment Estimator'!$E$11:$AB$227,'Pre-Assessment Estimator'!$N$2,FALSE)&gt;AB246,AB246,VLOOKUP(E246,'Pre-Assessment Estimator'!$E$11:$AB$227,'Pre-Assessment Estimator'!$N$2,FALSE))</f>
        <v>0</v>
      </c>
      <c r="AK246" s="142">
        <f>IF(VLOOKUP(E246,'Pre-Assessment Estimator'!$E$11:$AB$227,'Pre-Assessment Estimator'!$U$2,FALSE)&gt;AB246,AB246,VLOOKUP(E246,'Pre-Assessment Estimator'!$E$11:$AB$227,'Pre-Assessment Estimator'!$U$2,FALSE))</f>
        <v>0</v>
      </c>
      <c r="AM246" s="571"/>
      <c r="AN246" s="190"/>
      <c r="AO246" s="190"/>
      <c r="AP246" s="190"/>
      <c r="AQ246" s="191"/>
      <c r="AS246" s="571"/>
      <c r="AT246" s="190"/>
      <c r="AU246" s="190"/>
      <c r="AV246" s="190"/>
      <c r="AW246" s="191"/>
      <c r="AY246" s="151">
        <f t="shared" ref="AY246" si="640">IF($E$6=$H$9,AS246,AM246)</f>
        <v>0</v>
      </c>
      <c r="AZ246" s="152">
        <f t="shared" ref="AZ246" si="641">IF($E$6=$H$9,AT246,AN246)</f>
        <v>0</v>
      </c>
      <c r="BA246" s="152">
        <f t="shared" ref="BA246" si="642">IF($E$6=$H$9,AU246,AO246)</f>
        <v>0</v>
      </c>
      <c r="BB246" s="152">
        <f t="shared" ref="BB246" si="643">IF($E$6=$H$9,AV246,AP246)</f>
        <v>0</v>
      </c>
      <c r="BC246" s="156">
        <f t="shared" ref="BC246" si="644">IF($E$6=$H$9,AW246,AQ246)</f>
        <v>0</v>
      </c>
      <c r="BD246" s="870">
        <v>9</v>
      </c>
      <c r="BE246" s="37" t="str">
        <f t="shared" si="600"/>
        <v>N/A</v>
      </c>
      <c r="BF246" s="154"/>
      <c r="BG246" s="870">
        <v>9</v>
      </c>
      <c r="BH246" s="37" t="str">
        <f t="shared" si="602"/>
        <v>N/A</v>
      </c>
      <c r="BI246" s="154"/>
      <c r="BJ246" s="870">
        <v>9</v>
      </c>
      <c r="BK246" s="37" t="str">
        <f t="shared" si="604"/>
        <v>N/A</v>
      </c>
      <c r="BL246" s="154"/>
      <c r="BO246" s="35"/>
      <c r="BP246" s="35"/>
      <c r="BQ246" s="35" t="str">
        <f t="shared" si="551"/>
        <v/>
      </c>
      <c r="BR246" s="35">
        <f t="shared" si="605"/>
        <v>9</v>
      </c>
      <c r="BS246" s="35">
        <f t="shared" si="606"/>
        <v>9</v>
      </c>
      <c r="BT246" s="35">
        <f t="shared" si="607"/>
        <v>9</v>
      </c>
      <c r="BW246" s="40"/>
      <c r="BX246" s="40"/>
      <c r="BY246" s="40"/>
      <c r="BZ246" s="40"/>
      <c r="CA246" s="40"/>
      <c r="CB246" s="40"/>
    </row>
    <row r="247" spans="1:81" ht="15.75" thickBot="1">
      <c r="A247">
        <v>239</v>
      </c>
      <c r="B247" t="s">
        <v>490</v>
      </c>
      <c r="C247" t="s">
        <v>489</v>
      </c>
      <c r="D247" s="158" t="s">
        <v>490</v>
      </c>
      <c r="E247" s="774" t="s">
        <v>923</v>
      </c>
      <c r="F247" s="609" t="s">
        <v>928</v>
      </c>
      <c r="G247" s="609" t="s">
        <v>928</v>
      </c>
      <c r="H247" s="609" t="s">
        <v>928</v>
      </c>
      <c r="I247" s="609" t="s">
        <v>928</v>
      </c>
      <c r="J247" s="609" t="s">
        <v>928</v>
      </c>
      <c r="K247" s="609" t="s">
        <v>928</v>
      </c>
      <c r="L247" s="609" t="s">
        <v>928</v>
      </c>
      <c r="M247" s="609" t="s">
        <v>928</v>
      </c>
      <c r="N247" s="609" t="s">
        <v>928</v>
      </c>
      <c r="O247" s="609" t="s">
        <v>928</v>
      </c>
      <c r="P247" s="609" t="s">
        <v>928</v>
      </c>
      <c r="Q247" s="610" t="s">
        <v>928</v>
      </c>
      <c r="R247" s="610" t="s">
        <v>928</v>
      </c>
      <c r="T247" s="139" t="str">
        <f t="shared" si="593"/>
        <v>Yes/No</v>
      </c>
      <c r="U247" s="197"/>
      <c r="V247" s="195"/>
      <c r="W247" s="35"/>
      <c r="X247" s="35"/>
      <c r="Y247" s="138"/>
      <c r="Z247" s="138"/>
      <c r="AA247" s="139"/>
      <c r="AB247" s="175" t="str">
        <f t="shared" si="594"/>
        <v>Yes/No</v>
      </c>
      <c r="AD247" s="141"/>
      <c r="AE247" s="196" t="s">
        <v>586</v>
      </c>
      <c r="AF247" s="196" t="s">
        <v>586</v>
      </c>
      <c r="AG247" s="196" t="s">
        <v>586</v>
      </c>
      <c r="AI247" s="176">
        <f>IF(VLOOKUP(E247,'Pre-Assessment Estimator'!$E$11:$AB$227,'Pre-Assessment Estimator'!$G$2,FALSE)&gt;AB247,AB247,VLOOKUP(E247,'Pre-Assessment Estimator'!$E$11:$AB$227,'Pre-Assessment Estimator'!$G$2,FALSE))</f>
        <v>0</v>
      </c>
      <c r="AJ247" s="142">
        <f>IF(VLOOKUP(E247,'Pre-Assessment Estimator'!$E$11:$AB$227,'Pre-Assessment Estimator'!$N$2,FALSE)&gt;AB247,AB247,VLOOKUP(E247,'Pre-Assessment Estimator'!$E$11:$AB$227,'Pre-Assessment Estimator'!$N$2,FALSE))</f>
        <v>0</v>
      </c>
      <c r="AK247" s="142">
        <f>IF(VLOOKUP(E247,'Pre-Assessment Estimator'!$E$11:$AB$227,'Pre-Assessment Estimator'!$U$2,FALSE)&gt;AB247,AB247,VLOOKUP(E247,'Pre-Assessment Estimator'!$E$11:$AB$227,'Pre-Assessment Estimator'!$U$2,FALSE))</f>
        <v>0</v>
      </c>
      <c r="AM247" s="571"/>
      <c r="AN247" s="190"/>
      <c r="AO247" s="190"/>
      <c r="AP247" s="190"/>
      <c r="AQ247" s="191"/>
      <c r="AS247" s="571"/>
      <c r="AT247" s="190"/>
      <c r="AU247" s="190"/>
      <c r="AV247" s="190"/>
      <c r="AW247" s="191"/>
      <c r="AY247" s="151">
        <f t="shared" si="636"/>
        <v>0</v>
      </c>
      <c r="AZ247" s="152">
        <f t="shared" si="637"/>
        <v>0</v>
      </c>
      <c r="BA247" s="152">
        <f t="shared" si="638"/>
        <v>0</v>
      </c>
      <c r="BB247" s="152">
        <f t="shared" si="639"/>
        <v>0</v>
      </c>
      <c r="BC247" s="156">
        <f t="shared" si="619"/>
        <v>0</v>
      </c>
      <c r="BD247" s="870">
        <v>9</v>
      </c>
      <c r="BE247" s="37" t="str">
        <f t="shared" si="600"/>
        <v>N/A</v>
      </c>
      <c r="BF247" s="154"/>
      <c r="BG247" s="870">
        <v>9</v>
      </c>
      <c r="BH247" s="37" t="str">
        <f t="shared" si="602"/>
        <v>N/A</v>
      </c>
      <c r="BI247" s="154"/>
      <c r="BJ247" s="870">
        <v>9</v>
      </c>
      <c r="BK247" s="37" t="str">
        <f t="shared" si="604"/>
        <v>N/A</v>
      </c>
      <c r="BL247" s="154"/>
      <c r="BO247" s="35"/>
      <c r="BP247" s="35"/>
      <c r="BQ247" s="35" t="str">
        <f t="shared" si="551"/>
        <v/>
      </c>
      <c r="BR247" s="35">
        <f t="shared" si="605"/>
        <v>9</v>
      </c>
      <c r="BS247" s="35">
        <f t="shared" si="606"/>
        <v>9</v>
      </c>
      <c r="BT247" s="35">
        <f t="shared" si="607"/>
        <v>9</v>
      </c>
      <c r="BW247" s="40"/>
      <c r="BX247" s="40"/>
      <c r="BY247" s="40"/>
      <c r="BZ247" s="40"/>
      <c r="CA247" s="40"/>
      <c r="CB247" s="40"/>
    </row>
    <row r="248" spans="1:81" ht="15.75" thickBot="1">
      <c r="A248">
        <v>240</v>
      </c>
      <c r="B248" t="s">
        <v>493</v>
      </c>
      <c r="C248" t="s">
        <v>492</v>
      </c>
      <c r="D248" s="158" t="s">
        <v>493</v>
      </c>
      <c r="E248" s="774" t="s">
        <v>924</v>
      </c>
      <c r="F248" s="609" t="s">
        <v>928</v>
      </c>
      <c r="G248" s="609" t="s">
        <v>928</v>
      </c>
      <c r="H248" s="609" t="s">
        <v>928</v>
      </c>
      <c r="I248" s="609" t="s">
        <v>928</v>
      </c>
      <c r="J248" s="609" t="s">
        <v>928</v>
      </c>
      <c r="K248" s="609" t="s">
        <v>928</v>
      </c>
      <c r="L248" s="609" t="s">
        <v>928</v>
      </c>
      <c r="M248" s="609" t="s">
        <v>928</v>
      </c>
      <c r="N248" s="609" t="s">
        <v>928</v>
      </c>
      <c r="O248" s="609" t="s">
        <v>928</v>
      </c>
      <c r="P248" s="609" t="s">
        <v>928</v>
      </c>
      <c r="Q248" s="610" t="s">
        <v>928</v>
      </c>
      <c r="R248" s="610" t="s">
        <v>928</v>
      </c>
      <c r="T248" s="139" t="str">
        <f t="shared" si="593"/>
        <v>Yes/No</v>
      </c>
      <c r="U248" s="197"/>
      <c r="V248" s="195"/>
      <c r="W248" s="35"/>
      <c r="X248" s="35"/>
      <c r="Y248" s="138"/>
      <c r="Z248" s="138"/>
      <c r="AA248" s="139"/>
      <c r="AB248" s="175" t="str">
        <f t="shared" si="594"/>
        <v>Yes/No</v>
      </c>
      <c r="AD248" s="141"/>
      <c r="AE248" s="196" t="s">
        <v>586</v>
      </c>
      <c r="AF248" s="196" t="s">
        <v>586</v>
      </c>
      <c r="AG248" s="196" t="s">
        <v>586</v>
      </c>
      <c r="AI248" s="176">
        <f>IF(VLOOKUP(E248,'Pre-Assessment Estimator'!$E$11:$AB$227,'Pre-Assessment Estimator'!$G$2,FALSE)&gt;AB248,AB248,VLOOKUP(E248,'Pre-Assessment Estimator'!$E$11:$AB$227,'Pre-Assessment Estimator'!$G$2,FALSE))</f>
        <v>0</v>
      </c>
      <c r="AJ248" s="142">
        <f>IF(VLOOKUP(E248,'Pre-Assessment Estimator'!$E$11:$AB$227,'Pre-Assessment Estimator'!$N$2,FALSE)&gt;AB248,AB248,VLOOKUP(E248,'Pre-Assessment Estimator'!$E$11:$AB$227,'Pre-Assessment Estimator'!$N$2,FALSE))</f>
        <v>0</v>
      </c>
      <c r="AK248" s="142">
        <f>IF(VLOOKUP(E248,'Pre-Assessment Estimator'!$E$11:$AB$227,'Pre-Assessment Estimator'!$U$2,FALSE)&gt;AB248,AB248,VLOOKUP(E248,'Pre-Assessment Estimator'!$E$11:$AB$227,'Pre-Assessment Estimator'!$U$2,FALSE))</f>
        <v>0</v>
      </c>
      <c r="AM248" s="571"/>
      <c r="AN248" s="190"/>
      <c r="AO248" s="190"/>
      <c r="AP248" s="190"/>
      <c r="AQ248" s="191"/>
      <c r="AS248" s="571"/>
      <c r="AT248" s="190"/>
      <c r="AU248" s="190"/>
      <c r="AV248" s="190"/>
      <c r="AW248" s="191"/>
      <c r="AY248" s="151">
        <f t="shared" si="636"/>
        <v>0</v>
      </c>
      <c r="AZ248" s="152">
        <f t="shared" si="637"/>
        <v>0</v>
      </c>
      <c r="BA248" s="152">
        <f t="shared" si="638"/>
        <v>0</v>
      </c>
      <c r="BB248" s="152">
        <f t="shared" si="639"/>
        <v>0</v>
      </c>
      <c r="BC248" s="156">
        <f t="shared" si="619"/>
        <v>0</v>
      </c>
      <c r="BD248" s="870">
        <v>9</v>
      </c>
      <c r="BE248" s="37" t="str">
        <f t="shared" si="600"/>
        <v>N/A</v>
      </c>
      <c r="BF248" s="154"/>
      <c r="BG248" s="870">
        <v>9</v>
      </c>
      <c r="BH248" s="37" t="str">
        <f t="shared" si="602"/>
        <v>N/A</v>
      </c>
      <c r="BI248" s="154"/>
      <c r="BJ248" s="870">
        <v>9</v>
      </c>
      <c r="BK248" s="37" t="str">
        <f t="shared" si="604"/>
        <v>N/A</v>
      </c>
      <c r="BL248" s="154"/>
      <c r="BO248" s="35"/>
      <c r="BP248" s="35"/>
      <c r="BQ248" s="35" t="str">
        <f t="shared" si="551"/>
        <v/>
      </c>
      <c r="BR248" s="35">
        <f t="shared" si="605"/>
        <v>9</v>
      </c>
      <c r="BS248" s="35">
        <f t="shared" si="606"/>
        <v>9</v>
      </c>
      <c r="BT248" s="35">
        <f t="shared" si="607"/>
        <v>9</v>
      </c>
      <c r="BW248" s="40"/>
      <c r="BX248" s="40"/>
      <c r="BY248" s="40"/>
      <c r="BZ248" s="40"/>
      <c r="CA248" s="40"/>
      <c r="CB248" s="40"/>
    </row>
    <row r="249" spans="1:81" ht="15.75" thickBot="1">
      <c r="A249">
        <v>241</v>
      </c>
      <c r="B249" t="s">
        <v>841</v>
      </c>
      <c r="C249" t="s">
        <v>688</v>
      </c>
      <c r="D249" s="158" t="s">
        <v>841</v>
      </c>
      <c r="E249" s="892" t="s">
        <v>932</v>
      </c>
      <c r="F249" s="609" t="s">
        <v>928</v>
      </c>
      <c r="G249" s="609" t="s">
        <v>928</v>
      </c>
      <c r="H249" s="609" t="s">
        <v>928</v>
      </c>
      <c r="I249" s="609" t="s">
        <v>928</v>
      </c>
      <c r="J249" s="609" t="s">
        <v>928</v>
      </c>
      <c r="K249" s="609" t="s">
        <v>928</v>
      </c>
      <c r="L249" s="609" t="s">
        <v>928</v>
      </c>
      <c r="M249" s="609" t="s">
        <v>928</v>
      </c>
      <c r="N249" s="609" t="s">
        <v>928</v>
      </c>
      <c r="O249" s="609" t="s">
        <v>928</v>
      </c>
      <c r="P249" s="609" t="s">
        <v>928</v>
      </c>
      <c r="Q249" s="610" t="s">
        <v>928</v>
      </c>
      <c r="R249" s="610" t="s">
        <v>928</v>
      </c>
      <c r="T249" s="139" t="str">
        <f t="shared" si="593"/>
        <v>Yes/No</v>
      </c>
      <c r="U249" s="197"/>
      <c r="V249" s="195"/>
      <c r="W249" s="35"/>
      <c r="X249" s="35"/>
      <c r="Y249" s="138"/>
      <c r="Z249" s="138"/>
      <c r="AA249" s="139"/>
      <c r="AB249" s="802">
        <f>IF('Assessment Details'!F24=AD_Yes,Poeng!T249,0)</f>
        <v>0</v>
      </c>
      <c r="AD249" s="141"/>
      <c r="AE249" s="196" t="s">
        <v>586</v>
      </c>
      <c r="AF249" s="196" t="s">
        <v>586</v>
      </c>
      <c r="AG249" s="196" t="s">
        <v>586</v>
      </c>
      <c r="AI249" s="176">
        <f>IF(VLOOKUP(E249,'Pre-Assessment Estimator'!$E$11:$AB$227,'Pre-Assessment Estimator'!$G$2,FALSE)&gt;AB249,AB249,VLOOKUP(E249,'Pre-Assessment Estimator'!$E$11:$AB$227,'Pre-Assessment Estimator'!$G$2,FALSE))</f>
        <v>0</v>
      </c>
      <c r="AJ249" s="142">
        <f>IF(VLOOKUP(E249,'Pre-Assessment Estimator'!$E$11:$AB$227,'Pre-Assessment Estimator'!$N$2,FALSE)&gt;AB249,AB249,VLOOKUP(E249,'Pre-Assessment Estimator'!$E$11:$AB$227,'Pre-Assessment Estimator'!$N$2,FALSE))</f>
        <v>0</v>
      </c>
      <c r="AK249" s="142">
        <f>IF(VLOOKUP(E249,'Pre-Assessment Estimator'!$E$11:$AB$227,'Pre-Assessment Estimator'!$U$2,FALSE)&gt;AB249,AB249,VLOOKUP(E249,'Pre-Assessment Estimator'!$E$11:$AB$227,'Pre-Assessment Estimator'!$U$2,FALSE))</f>
        <v>0</v>
      </c>
      <c r="AM249" s="571"/>
      <c r="AN249" s="190"/>
      <c r="AO249" s="190"/>
      <c r="AP249" s="190"/>
      <c r="AQ249" s="191"/>
      <c r="AS249" s="571"/>
      <c r="AT249" s="190"/>
      <c r="AU249" s="190"/>
      <c r="AV249" s="190"/>
      <c r="AW249" s="191"/>
      <c r="AY249" s="151">
        <f t="shared" ref="AY249:AY252" si="645">IF($E$6=$H$9,AS249,AM249)</f>
        <v>0</v>
      </c>
      <c r="AZ249" s="152">
        <f t="shared" ref="AZ249:AZ252" si="646">IF($E$6=$H$9,AT249,AN249)</f>
        <v>0</v>
      </c>
      <c r="BA249" s="152">
        <f t="shared" ref="BA249:BA252" si="647">IF($E$6=$H$9,AU249,AO249)</f>
        <v>0</v>
      </c>
      <c r="BB249" s="152">
        <f t="shared" ref="BB249:BB252" si="648">IF($E$6=$H$9,AV249,AP249)</f>
        <v>0</v>
      </c>
      <c r="BC249" s="156">
        <f t="shared" ref="BC249:BC252" si="649">IF($E$6=$H$9,AW249,AQ249)</f>
        <v>0</v>
      </c>
      <c r="BD249" s="870">
        <v>9</v>
      </c>
      <c r="BE249" s="37" t="str">
        <f t="shared" si="600"/>
        <v>N/A</v>
      </c>
      <c r="BF249" s="154"/>
      <c r="BG249" s="870">
        <v>9</v>
      </c>
      <c r="BH249" s="37" t="str">
        <f t="shared" si="602"/>
        <v>N/A</v>
      </c>
      <c r="BI249" s="154"/>
      <c r="BJ249" s="870">
        <v>9</v>
      </c>
      <c r="BK249" s="37" t="str">
        <f t="shared" si="604"/>
        <v>N/A</v>
      </c>
      <c r="BL249" s="792"/>
      <c r="BO249" s="35"/>
      <c r="BP249" s="35"/>
      <c r="BQ249" s="35" t="str">
        <f t="shared" si="551"/>
        <v/>
      </c>
      <c r="BR249" s="35">
        <f t="shared" si="605"/>
        <v>9</v>
      </c>
      <c r="BS249" s="35">
        <f t="shared" si="606"/>
        <v>9</v>
      </c>
      <c r="BT249" s="35">
        <f t="shared" si="607"/>
        <v>9</v>
      </c>
      <c r="BW249" s="40"/>
      <c r="BX249" s="40"/>
      <c r="BY249" s="40"/>
      <c r="BZ249" s="40"/>
      <c r="CA249" s="40"/>
      <c r="CB249" s="40"/>
    </row>
    <row r="250" spans="1:81" ht="15.75" thickBot="1">
      <c r="A250">
        <v>242</v>
      </c>
      <c r="B250" t="s">
        <v>432</v>
      </c>
      <c r="C250" t="s">
        <v>431</v>
      </c>
      <c r="D250" s="158" t="s">
        <v>432</v>
      </c>
      <c r="E250" s="892" t="s">
        <v>933</v>
      </c>
      <c r="F250" s="609" t="s">
        <v>928</v>
      </c>
      <c r="G250" s="609" t="s">
        <v>928</v>
      </c>
      <c r="H250" s="609" t="s">
        <v>928</v>
      </c>
      <c r="I250" s="609" t="s">
        <v>928</v>
      </c>
      <c r="J250" s="609" t="s">
        <v>928</v>
      </c>
      <c r="K250" s="609" t="s">
        <v>928</v>
      </c>
      <c r="L250" s="609" t="s">
        <v>928</v>
      </c>
      <c r="M250" s="609" t="s">
        <v>928</v>
      </c>
      <c r="N250" s="609" t="s">
        <v>928</v>
      </c>
      <c r="O250" s="609" t="s">
        <v>928</v>
      </c>
      <c r="P250" s="609" t="s">
        <v>928</v>
      </c>
      <c r="Q250" s="610" t="s">
        <v>928</v>
      </c>
      <c r="R250" s="610" t="s">
        <v>928</v>
      </c>
      <c r="T250" s="139" t="str">
        <f t="shared" si="593"/>
        <v>Yes/No</v>
      </c>
      <c r="U250" s="197"/>
      <c r="V250" s="195"/>
      <c r="W250" s="35"/>
      <c r="X250" s="35"/>
      <c r="Y250" s="138"/>
      <c r="Z250" s="138"/>
      <c r="AA250" s="139"/>
      <c r="AB250" s="802" t="str">
        <f>IF(AB145=0,0,T250)</f>
        <v>Yes/No</v>
      </c>
      <c r="AD250" s="141"/>
      <c r="AE250" s="196" t="s">
        <v>586</v>
      </c>
      <c r="AF250" s="196" t="s">
        <v>586</v>
      </c>
      <c r="AG250" s="196" t="s">
        <v>586</v>
      </c>
      <c r="AI250" s="176">
        <f>IF(VLOOKUP(E250,'Pre-Assessment Estimator'!$E$11:$AB$227,'Pre-Assessment Estimator'!$G$2,FALSE)&gt;AB250,AB250,VLOOKUP(E250,'Pre-Assessment Estimator'!$E$11:$AB$227,'Pre-Assessment Estimator'!$G$2,FALSE))</f>
        <v>0</v>
      </c>
      <c r="AJ250" s="142">
        <f>IF(VLOOKUP(E250,'Pre-Assessment Estimator'!$E$11:$AB$227,'Pre-Assessment Estimator'!$N$2,FALSE)&gt;AB250,AB250,VLOOKUP(E250,'Pre-Assessment Estimator'!$E$11:$AB$227,'Pre-Assessment Estimator'!$N$2,FALSE))</f>
        <v>0</v>
      </c>
      <c r="AK250" s="142">
        <f>IF(VLOOKUP(E250,'Pre-Assessment Estimator'!$E$11:$AB$227,'Pre-Assessment Estimator'!$U$2,FALSE)&gt;AB250,AB250,VLOOKUP(E250,'Pre-Assessment Estimator'!$E$11:$AB$227,'Pre-Assessment Estimator'!$U$2,FALSE))</f>
        <v>0</v>
      </c>
      <c r="AM250" s="571" t="s">
        <v>123</v>
      </c>
      <c r="AN250" s="190" t="s">
        <v>123</v>
      </c>
      <c r="AO250" s="190" t="s">
        <v>123</v>
      </c>
      <c r="AP250" s="190" t="s">
        <v>123</v>
      </c>
      <c r="AQ250" s="191" t="s">
        <v>123</v>
      </c>
      <c r="AS250" s="571" t="s">
        <v>123</v>
      </c>
      <c r="AT250" s="190" t="s">
        <v>123</v>
      </c>
      <c r="AU250" s="190" t="s">
        <v>123</v>
      </c>
      <c r="AV250" s="190" t="s">
        <v>123</v>
      </c>
      <c r="AW250" s="191" t="s">
        <v>123</v>
      </c>
      <c r="AY250" s="151" t="str">
        <f t="shared" ref="AY250" si="650">IF($E$6=$H$9,AS250,AM250)</f>
        <v>Yes</v>
      </c>
      <c r="AZ250" s="152" t="str">
        <f t="shared" ref="AZ250" si="651">IF($E$6=$H$9,AT250,AN250)</f>
        <v>Yes</v>
      </c>
      <c r="BA250" s="152" t="str">
        <f t="shared" ref="BA250" si="652">IF($E$6=$H$9,AU250,AO250)</f>
        <v>Yes</v>
      </c>
      <c r="BB250" s="152" t="str">
        <f t="shared" ref="BB250" si="653">IF($E$6=$H$9,AV250,AP250)</f>
        <v>Yes</v>
      </c>
      <c r="BC250" s="156" t="str">
        <f t="shared" ref="BC250" si="654">IF($E$6=$H$9,AW250,AQ250)</f>
        <v>Yes</v>
      </c>
      <c r="BD250" s="788">
        <f>BD145</f>
        <v>0</v>
      </c>
      <c r="BE250" s="37" t="str">
        <f t="shared" si="600"/>
        <v>Unclassified</v>
      </c>
      <c r="BF250" s="154"/>
      <c r="BG250" s="788">
        <f>BG145</f>
        <v>0</v>
      </c>
      <c r="BH250" s="37" t="str">
        <f t="shared" si="602"/>
        <v>Unclassified</v>
      </c>
      <c r="BI250" s="154"/>
      <c r="BJ250" s="788">
        <f>BJ145</f>
        <v>0</v>
      </c>
      <c r="BK250" s="37" t="str">
        <f t="shared" si="604"/>
        <v>Unclassified</v>
      </c>
      <c r="BL250" s="792"/>
      <c r="BO250" s="35"/>
      <c r="BP250" s="35"/>
      <c r="BQ250" s="35"/>
      <c r="BR250" s="35">
        <f t="shared" ref="BR250" si="655">IF(BQ250="",9,(IF(AI250=AD_Yes,5,0)))</f>
        <v>9</v>
      </c>
      <c r="BS250" s="35">
        <f t="shared" ref="BS250" si="656">IF(BQ250="",9,(IF(AJ250=AD_Yes,5,0)))</f>
        <v>9</v>
      </c>
      <c r="BT250" s="35">
        <f t="shared" ref="BT250" si="657">IF(BQ250="",9,(IF(AK250=AD_Yes,5,0)))</f>
        <v>9</v>
      </c>
      <c r="BW250" s="40"/>
      <c r="BX250" s="40"/>
      <c r="BY250" s="40"/>
      <c r="BZ250" s="40"/>
      <c r="CA250" s="40"/>
      <c r="CB250" s="40"/>
    </row>
    <row r="251" spans="1:81" ht="15.75" thickBot="1">
      <c r="A251">
        <v>243</v>
      </c>
      <c r="B251" t="s">
        <v>450</v>
      </c>
      <c r="C251" t="s">
        <v>444</v>
      </c>
      <c r="D251" s="158" t="s">
        <v>450</v>
      </c>
      <c r="E251" s="975" t="s">
        <v>934</v>
      </c>
      <c r="F251" s="609" t="s">
        <v>928</v>
      </c>
      <c r="G251" s="609" t="s">
        <v>928</v>
      </c>
      <c r="H251" s="609" t="s">
        <v>928</v>
      </c>
      <c r="I251" s="609" t="s">
        <v>928</v>
      </c>
      <c r="J251" s="609" t="s">
        <v>928</v>
      </c>
      <c r="K251" s="609" t="s">
        <v>928</v>
      </c>
      <c r="L251" s="609" t="s">
        <v>928</v>
      </c>
      <c r="M251" s="609" t="s">
        <v>928</v>
      </c>
      <c r="N251" s="609" t="s">
        <v>928</v>
      </c>
      <c r="O251" s="609" t="s">
        <v>928</v>
      </c>
      <c r="P251" s="609" t="s">
        <v>928</v>
      </c>
      <c r="Q251" s="610" t="s">
        <v>928</v>
      </c>
      <c r="R251" s="610" t="s">
        <v>928</v>
      </c>
      <c r="T251" s="139" t="str">
        <f t="shared" si="593"/>
        <v>Yes/No</v>
      </c>
      <c r="U251" s="197"/>
      <c r="V251" s="195"/>
      <c r="W251" s="35"/>
      <c r="X251" s="35"/>
      <c r="Y251" s="138"/>
      <c r="Z251" s="138"/>
      <c r="AA251" s="139"/>
      <c r="AB251" s="175" t="str">
        <f>T251</f>
        <v>Yes/No</v>
      </c>
      <c r="AD251" s="141"/>
      <c r="AE251" s="196" t="s">
        <v>586</v>
      </c>
      <c r="AF251" s="196" t="s">
        <v>586</v>
      </c>
      <c r="AG251" s="196" t="s">
        <v>586</v>
      </c>
      <c r="AI251" s="176">
        <f>IF(VLOOKUP(E251,'Pre-Assessment Estimator'!$E$11:$AB$227,'Pre-Assessment Estimator'!$G$2,FALSE)&gt;AB251,AB251,VLOOKUP(E251,'Pre-Assessment Estimator'!$E$11:$AB$227,'Pre-Assessment Estimator'!$G$2,FALSE))</f>
        <v>0</v>
      </c>
      <c r="AJ251" s="142">
        <f>IF(VLOOKUP(E251,'Pre-Assessment Estimator'!$E$11:$AB$227,'Pre-Assessment Estimator'!$N$2,FALSE)&gt;AB251,AB251,VLOOKUP(E251,'Pre-Assessment Estimator'!$E$11:$AB$227,'Pre-Assessment Estimator'!$N$2,FALSE))</f>
        <v>0</v>
      </c>
      <c r="AK251" s="142">
        <f>IF(VLOOKUP(E251,'Pre-Assessment Estimator'!$E$11:$AB$227,'Pre-Assessment Estimator'!$U$2,FALSE)&gt;AB251,AB251,VLOOKUP(E251,'Pre-Assessment Estimator'!$E$11:$AB$227,'Pre-Assessment Estimator'!$U$2,FALSE))</f>
        <v>0</v>
      </c>
      <c r="AM251" s="571" t="s">
        <v>123</v>
      </c>
      <c r="AN251" s="190" t="s">
        <v>123</v>
      </c>
      <c r="AO251" s="190" t="s">
        <v>123</v>
      </c>
      <c r="AP251" s="190"/>
      <c r="AQ251" s="191"/>
      <c r="AS251" s="571" t="s">
        <v>123</v>
      </c>
      <c r="AT251" s="190" t="s">
        <v>123</v>
      </c>
      <c r="AU251" s="190" t="s">
        <v>123</v>
      </c>
      <c r="AV251" s="190"/>
      <c r="AW251" s="191"/>
      <c r="AY251" s="151" t="str">
        <f t="shared" si="645"/>
        <v>Yes</v>
      </c>
      <c r="AZ251" s="152" t="str">
        <f t="shared" si="646"/>
        <v>Yes</v>
      </c>
      <c r="BA251" s="152" t="str">
        <f t="shared" si="647"/>
        <v>Yes</v>
      </c>
      <c r="BB251" s="152">
        <f t="shared" si="648"/>
        <v>0</v>
      </c>
      <c r="BC251" s="156">
        <f t="shared" si="649"/>
        <v>0</v>
      </c>
      <c r="BD251" s="920">
        <f>IF(AI251=AD_Yes,5,3)</f>
        <v>3</v>
      </c>
      <c r="BE251" s="37" t="str">
        <f t="shared" si="600"/>
        <v>Very Good</v>
      </c>
      <c r="BF251" s="890">
        <f>IF(AI251="Yes",3,0)</f>
        <v>0</v>
      </c>
      <c r="BG251" s="524">
        <f>IF(AJ251=AD_Yes,5,3)</f>
        <v>3</v>
      </c>
      <c r="BH251" s="37" t="str">
        <f t="shared" si="602"/>
        <v>Very Good</v>
      </c>
      <c r="BI251" s="890">
        <f>IF(AJ251="Yes",3,0)</f>
        <v>0</v>
      </c>
      <c r="BJ251" s="524">
        <f>IF(AK251=AD_Yes,5,3)</f>
        <v>3</v>
      </c>
      <c r="BK251" s="37" t="str">
        <f t="shared" si="604"/>
        <v>Very Good</v>
      </c>
      <c r="BL251" s="890">
        <f>IF(AK251="Yes",3,0)</f>
        <v>0</v>
      </c>
      <c r="BO251" s="35"/>
      <c r="BP251" s="35" t="s">
        <v>123</v>
      </c>
      <c r="BQ251" s="35" t="str">
        <f t="shared" si="551"/>
        <v>Yes</v>
      </c>
      <c r="BR251" s="35">
        <f>IF(BQ251="",9,(IF(AI251=AD_Yes,5,0)))</f>
        <v>0</v>
      </c>
      <c r="BS251" s="35">
        <f t="shared" ref="BS251" si="658">IF(BQ251="",9,(IF(AJ251=AD_Yes,5,0)))</f>
        <v>0</v>
      </c>
      <c r="BT251" s="35">
        <f t="shared" ref="BT251" si="659">IF(BQ251="",9,(IF(AK251=AD_Yes,5,0)))</f>
        <v>0</v>
      </c>
      <c r="BW251" s="40"/>
      <c r="BX251" s="40"/>
      <c r="BY251" s="40"/>
      <c r="BZ251" s="40"/>
      <c r="CA251" s="40"/>
      <c r="CB251" s="40"/>
    </row>
    <row r="252" spans="1:81" ht="15.75" thickBot="1">
      <c r="A252">
        <v>244</v>
      </c>
      <c r="B252" t="s">
        <v>466</v>
      </c>
      <c r="C252" t="s">
        <v>463</v>
      </c>
      <c r="D252" s="159" t="s">
        <v>466</v>
      </c>
      <c r="E252" s="975" t="s">
        <v>935</v>
      </c>
      <c r="F252" s="609" t="s">
        <v>928</v>
      </c>
      <c r="G252" s="609" t="s">
        <v>928</v>
      </c>
      <c r="H252" s="609" t="s">
        <v>928</v>
      </c>
      <c r="I252" s="609" t="s">
        <v>928</v>
      </c>
      <c r="J252" s="609" t="s">
        <v>928</v>
      </c>
      <c r="K252" s="609" t="s">
        <v>928</v>
      </c>
      <c r="L252" s="609" t="s">
        <v>928</v>
      </c>
      <c r="M252" s="609" t="s">
        <v>928</v>
      </c>
      <c r="N252" s="609" t="s">
        <v>928</v>
      </c>
      <c r="O252" s="609" t="s">
        <v>928</v>
      </c>
      <c r="P252" s="609" t="s">
        <v>928</v>
      </c>
      <c r="Q252" s="610" t="s">
        <v>928</v>
      </c>
      <c r="R252" s="610" t="s">
        <v>928</v>
      </c>
      <c r="T252" s="139" t="str">
        <f t="shared" si="593"/>
        <v>Yes/No</v>
      </c>
      <c r="U252" s="197"/>
      <c r="V252" s="195"/>
      <c r="W252" s="35"/>
      <c r="X252" s="35"/>
      <c r="Y252" s="138"/>
      <c r="Z252" s="138"/>
      <c r="AA252" s="139"/>
      <c r="AB252" s="175" t="str">
        <f>T252</f>
        <v>Yes/No</v>
      </c>
      <c r="AD252" s="141"/>
      <c r="AE252" s="196" t="s">
        <v>586</v>
      </c>
      <c r="AF252" s="196" t="s">
        <v>586</v>
      </c>
      <c r="AG252" s="196" t="s">
        <v>586</v>
      </c>
      <c r="AI252" s="176">
        <f>IF(VLOOKUP(E252,'Pre-Assessment Estimator'!$E$11:$AB$227,'Pre-Assessment Estimator'!$G$2,FALSE)&gt;AB252,AB252,VLOOKUP(E252,'Pre-Assessment Estimator'!$E$11:$AB$227,'Pre-Assessment Estimator'!$G$2,FALSE))</f>
        <v>0</v>
      </c>
      <c r="AJ252" s="142">
        <f>IF(VLOOKUP(E252,'Pre-Assessment Estimator'!$E$11:$AB$227,'Pre-Assessment Estimator'!$N$2,FALSE)&gt;AB252,AB252,VLOOKUP(E252,'Pre-Assessment Estimator'!$E$11:$AB$227,'Pre-Assessment Estimator'!$N$2,FALSE))</f>
        <v>0</v>
      </c>
      <c r="AK252" s="142">
        <f>IF(VLOOKUP(E252,'Pre-Assessment Estimator'!$E$11:$AB$227,'Pre-Assessment Estimator'!$U$2,FALSE)&gt;AB252,AB252,VLOOKUP(E252,'Pre-Assessment Estimator'!$E$11:$AB$227,'Pre-Assessment Estimator'!$U$2,FALSE))</f>
        <v>0</v>
      </c>
      <c r="AM252" s="260"/>
      <c r="AN252" s="261"/>
      <c r="AO252" s="261"/>
      <c r="AP252" s="261" t="s">
        <v>123</v>
      </c>
      <c r="AQ252" s="262" t="s">
        <v>123</v>
      </c>
      <c r="AS252" s="260"/>
      <c r="AT252" s="261"/>
      <c r="AU252" s="261"/>
      <c r="AV252" s="261" t="s">
        <v>123</v>
      </c>
      <c r="AW252" s="262" t="s">
        <v>123</v>
      </c>
      <c r="AY252" s="151">
        <f t="shared" si="645"/>
        <v>0</v>
      </c>
      <c r="AZ252" s="152">
        <f t="shared" si="646"/>
        <v>0</v>
      </c>
      <c r="BA252" s="152">
        <f t="shared" si="647"/>
        <v>0</v>
      </c>
      <c r="BB252" s="152" t="str">
        <f t="shared" si="648"/>
        <v>Yes</v>
      </c>
      <c r="BC252" s="156" t="str">
        <f t="shared" si="649"/>
        <v>Yes</v>
      </c>
      <c r="BD252" s="151">
        <f>IF(AI252="Yes",5,3)</f>
        <v>3</v>
      </c>
      <c r="BE252" s="37" t="str">
        <f>VLOOKUP(BD252,$BO$284:$BT$290,6,FALSE)</f>
        <v>Very Good</v>
      </c>
      <c r="BF252" s="154"/>
      <c r="BG252" s="151">
        <f>IF(AJ252="Yes",5,3)</f>
        <v>3</v>
      </c>
      <c r="BH252" s="37" t="str">
        <f>VLOOKUP(BG252,$BO$284:$BT$290,6,FALSE)</f>
        <v>Very Good</v>
      </c>
      <c r="BI252" s="154"/>
      <c r="BJ252" s="151">
        <f>IF(AK252="Yes",5,3)</f>
        <v>3</v>
      </c>
      <c r="BK252" s="37" t="str">
        <f>VLOOKUP(BJ252,$BO$284:$BT$290,6,FALSE)</f>
        <v>Very Good</v>
      </c>
      <c r="BL252" s="154"/>
      <c r="BO252" s="40"/>
      <c r="BP252" s="35" t="s">
        <v>123</v>
      </c>
      <c r="BQ252" s="35" t="str">
        <f t="shared" ref="BQ252" si="660">IF(BO252&lt;&gt;"",BO252,IF(BP252&lt;&gt;"",BP252,""))</f>
        <v>Yes</v>
      </c>
      <c r="BR252" s="35">
        <f>IF(BQ252="",9,(IF(AI252=AD_Yes,5,0)))</f>
        <v>0</v>
      </c>
      <c r="BS252" s="35">
        <f>IF(BQ252="",9,(IF(AJ252=AD_Yes,5,0)))</f>
        <v>0</v>
      </c>
      <c r="BT252" s="35">
        <f>IF(BQ252="",9,(IF(AK252=AD_Yes,5,0)))</f>
        <v>0</v>
      </c>
      <c r="BW252" s="161"/>
      <c r="BX252" s="161"/>
      <c r="BY252" s="161">
        <f>IFERROR(VLOOKUP($E252,'Pre-Assessment Estimator'!$E$11:$AI$227,'Pre-Assessment Estimator'!AI$2,FALSE),"")</f>
        <v>0</v>
      </c>
      <c r="BZ252" s="161" t="str">
        <f>IFERROR(VLOOKUP($BX252,$E$293:$H$326,F$291,FALSE),"")</f>
        <v/>
      </c>
      <c r="CA252" s="161" t="str">
        <f>IFERROR(VLOOKUP($BX252,$E$293:$H$326,G$291,FALSE),"")</f>
        <v/>
      </c>
      <c r="CB252" s="161"/>
      <c r="CC252" t="str">
        <f>IFERROR(VLOOKUP($BX252,$E$293:$H$326,I$291,FALSE),"")</f>
        <v/>
      </c>
    </row>
    <row r="253" spans="1:81" ht="15.75" thickBot="1">
      <c r="A253">
        <v>245</v>
      </c>
      <c r="B253" t="s">
        <v>339</v>
      </c>
      <c r="C253" t="s">
        <v>334</v>
      </c>
      <c r="D253" t="s">
        <v>339</v>
      </c>
      <c r="E253" s="972" t="s">
        <v>936</v>
      </c>
      <c r="F253" s="613" t="s">
        <v>928</v>
      </c>
      <c r="G253" s="613" t="s">
        <v>928</v>
      </c>
      <c r="H253" s="613" t="s">
        <v>928</v>
      </c>
      <c r="I253" s="613" t="s">
        <v>928</v>
      </c>
      <c r="J253" s="613" t="s">
        <v>928</v>
      </c>
      <c r="K253" s="613" t="s">
        <v>928</v>
      </c>
      <c r="L253" s="613" t="s">
        <v>928</v>
      </c>
      <c r="M253" s="613" t="s">
        <v>928</v>
      </c>
      <c r="N253" s="613" t="s">
        <v>928</v>
      </c>
      <c r="O253" s="613" t="s">
        <v>928</v>
      </c>
      <c r="P253" s="613" t="s">
        <v>928</v>
      </c>
      <c r="Q253" s="613" t="s">
        <v>928</v>
      </c>
      <c r="R253" s="614" t="s">
        <v>928</v>
      </c>
      <c r="T253" s="139" t="str">
        <f>HLOOKUP($E$6,$F$9:$R$255,$A253,FALSE)</f>
        <v>Yes/No</v>
      </c>
      <c r="U253" s="197"/>
      <c r="V253" s="195"/>
      <c r="W253" s="35"/>
      <c r="X253" s="35"/>
      <c r="Y253" s="138"/>
      <c r="Z253" s="138"/>
      <c r="AA253" s="139"/>
      <c r="AB253" s="175" t="str">
        <f>T253</f>
        <v>Yes/No</v>
      </c>
      <c r="AD253" s="141"/>
      <c r="AE253" s="196" t="s">
        <v>586</v>
      </c>
      <c r="AF253" s="196" t="s">
        <v>586</v>
      </c>
      <c r="AG253" s="196" t="s">
        <v>586</v>
      </c>
      <c r="AI253" s="176">
        <f>IF(VLOOKUP(E253,'Pre-Assessment Estimator'!$E$11:$AB$227,'Pre-Assessment Estimator'!$G$2,FALSE)&gt;AB253,AB253,VLOOKUP(E253,'Pre-Assessment Estimator'!$E$11:$AB$227,'Pre-Assessment Estimator'!$G$2,FALSE))</f>
        <v>0</v>
      </c>
      <c r="AJ253" s="142">
        <f>IF(VLOOKUP(E253,'Pre-Assessment Estimator'!$E$11:$AB$227,'Pre-Assessment Estimator'!$N$2,FALSE)&gt;AB253,AB253,VLOOKUP(E253,'Pre-Assessment Estimator'!$E$11:$AB$227,'Pre-Assessment Estimator'!$N$2,FALSE))</f>
        <v>0</v>
      </c>
      <c r="AK253" s="142">
        <f>IF(VLOOKUP(E253,'Pre-Assessment Estimator'!$E$11:$AB$227,'Pre-Assessment Estimator'!$U$2,FALSE)&gt;AB253,AB253,VLOOKUP(E253,'Pre-Assessment Estimator'!$E$11:$AB$227,'Pre-Assessment Estimator'!$U$2,FALSE))</f>
        <v>0</v>
      </c>
      <c r="AM253" s="505"/>
      <c r="AN253" s="505"/>
      <c r="AO253" s="505"/>
      <c r="AP253" s="505"/>
      <c r="AQ253" s="505"/>
      <c r="AS253" s="505"/>
      <c r="AT253" s="505"/>
      <c r="AU253" s="505"/>
      <c r="AV253" s="505"/>
      <c r="AW253" s="505"/>
      <c r="AY253" s="116"/>
      <c r="AZ253" s="116"/>
      <c r="BA253" s="116"/>
      <c r="BB253" s="116"/>
      <c r="BC253" s="116"/>
      <c r="BD253" s="116"/>
      <c r="BE253" s="518" t="s">
        <v>216</v>
      </c>
      <c r="BG253" s="116"/>
      <c r="BH253" s="518" t="s">
        <v>216</v>
      </c>
      <c r="BI253" s="518"/>
      <c r="BJ253" s="957"/>
      <c r="BK253" s="518" t="s">
        <v>216</v>
      </c>
      <c r="BP253" s="35" t="s">
        <v>123</v>
      </c>
      <c r="BQ253" s="35" t="str">
        <f t="shared" ref="BQ253:BQ255" si="661">IF(BO253&lt;&gt;"",BO253,IF(BP253&lt;&gt;"",BP253,""))</f>
        <v>Yes</v>
      </c>
      <c r="BR253" s="35">
        <f>IF(BQ253="",9,(IF(AI253=AD_Yes,5,0)))</f>
        <v>0</v>
      </c>
      <c r="BS253" s="35">
        <f>IF(BQ253="",9,(IF(AJ253=AD_Yes,5,0)))</f>
        <v>0</v>
      </c>
      <c r="BT253" s="35">
        <f>IF(BQ253="",9,(IF(AK253=AD_Yes,5,0)))</f>
        <v>0</v>
      </c>
    </row>
    <row r="254" spans="1:81" ht="15.75" thickBot="1">
      <c r="A254">
        <v>246</v>
      </c>
      <c r="B254" t="s">
        <v>390</v>
      </c>
      <c r="C254" t="s">
        <v>387</v>
      </c>
      <c r="D254" t="s">
        <v>390</v>
      </c>
      <c r="E254" s="973" t="s">
        <v>937</v>
      </c>
      <c r="F254" s="607" t="s">
        <v>928</v>
      </c>
      <c r="G254" s="607" t="s">
        <v>928</v>
      </c>
      <c r="H254" s="607" t="s">
        <v>928</v>
      </c>
      <c r="I254" s="607" t="s">
        <v>928</v>
      </c>
      <c r="J254" s="607" t="s">
        <v>928</v>
      </c>
      <c r="K254" s="607" t="s">
        <v>928</v>
      </c>
      <c r="L254" s="607" t="s">
        <v>928</v>
      </c>
      <c r="M254" s="607" t="s">
        <v>928</v>
      </c>
      <c r="N254" s="607" t="s">
        <v>928</v>
      </c>
      <c r="O254" s="607" t="s">
        <v>928</v>
      </c>
      <c r="P254" s="607" t="s">
        <v>928</v>
      </c>
      <c r="Q254" s="607" t="s">
        <v>928</v>
      </c>
      <c r="R254" s="608" t="s">
        <v>928</v>
      </c>
      <c r="T254" s="139" t="str">
        <f>HLOOKUP($E$6,$F$9:$R$255,$A254,FALSE)</f>
        <v>Yes/No</v>
      </c>
      <c r="U254" s="197"/>
      <c r="V254" s="195"/>
      <c r="W254" s="35"/>
      <c r="X254" s="35"/>
      <c r="Y254" s="138"/>
      <c r="Z254" s="138"/>
      <c r="AA254" s="139"/>
      <c r="AB254" s="175" t="str">
        <f>IF(AB114=0,0,T254)</f>
        <v>Yes/No</v>
      </c>
      <c r="AD254" s="141"/>
      <c r="AE254" s="196" t="s">
        <v>586</v>
      </c>
      <c r="AF254" s="196" t="s">
        <v>586</v>
      </c>
      <c r="AG254" s="196" t="s">
        <v>586</v>
      </c>
      <c r="AI254" s="176">
        <f>IF(VLOOKUP(E254,'Pre-Assessment Estimator'!$E$11:$AB$227,'Pre-Assessment Estimator'!$G$2,FALSE)&gt;AB254,AB254,VLOOKUP(E254,'Pre-Assessment Estimator'!$E$11:$AB$227,'Pre-Assessment Estimator'!$G$2,FALSE))</f>
        <v>0</v>
      </c>
      <c r="AJ254" s="142">
        <f>IF(VLOOKUP(E254,'Pre-Assessment Estimator'!$E$11:$AB$227,'Pre-Assessment Estimator'!$N$2,FALSE)&gt;AB254,AB254,VLOOKUP(E254,'Pre-Assessment Estimator'!$E$11:$AB$227,'Pre-Assessment Estimator'!$N$2,FALSE))</f>
        <v>0</v>
      </c>
      <c r="AK254" s="142">
        <f>IF(VLOOKUP(E254,'Pre-Assessment Estimator'!$E$11:$AB$227,'Pre-Assessment Estimator'!$U$2,FALSE)&gt;AB254,AB254,VLOOKUP(E254,'Pre-Assessment Estimator'!$E$11:$AB$227,'Pre-Assessment Estimator'!$U$2,FALSE))</f>
        <v>0</v>
      </c>
      <c r="AM254" s="505"/>
      <c r="AN254" s="505"/>
      <c r="AO254" s="505"/>
      <c r="AP254" s="505"/>
      <c r="AQ254" s="505"/>
      <c r="AS254" s="505"/>
      <c r="AT254" s="505"/>
      <c r="AU254" s="505"/>
      <c r="AV254" s="505"/>
      <c r="AW254" s="505"/>
      <c r="AY254" s="116"/>
      <c r="AZ254" s="116"/>
      <c r="BA254" s="116"/>
      <c r="BB254" s="116"/>
      <c r="BC254" s="116"/>
      <c r="BD254" s="116"/>
      <c r="BE254" s="518" t="s">
        <v>216</v>
      </c>
      <c r="BG254" s="116"/>
      <c r="BH254" s="518" t="s">
        <v>216</v>
      </c>
      <c r="BI254" s="518"/>
      <c r="BJ254" s="957"/>
      <c r="BK254" s="518" t="s">
        <v>216</v>
      </c>
      <c r="BP254" s="35" t="s">
        <v>123</v>
      </c>
      <c r="BQ254" s="35" t="str">
        <f t="shared" si="661"/>
        <v>Yes</v>
      </c>
      <c r="BR254" s="915">
        <f>IF(AB254=0,9,IF(BQ254="",9,(IF(AI254=AD_Yes,5,0))))</f>
        <v>0</v>
      </c>
      <c r="BS254" s="915">
        <f>IF(AB254=0,9,IF(BQ254="",9,(IF(AJ254=AD_Yes,5,0))))</f>
        <v>0</v>
      </c>
      <c r="BT254" s="915">
        <f>IF(AB254=0,9,IF(BQ254="",9,(IF(AK254=AD_Yes,5,0))))</f>
        <v>0</v>
      </c>
    </row>
    <row r="255" spans="1:81" ht="15.75" thickBot="1">
      <c r="A255">
        <v>247</v>
      </c>
      <c r="B255" t="s">
        <v>938</v>
      </c>
      <c r="C255" t="s">
        <v>444</v>
      </c>
      <c r="D255" t="s">
        <v>938</v>
      </c>
      <c r="E255" s="974" t="s">
        <v>939</v>
      </c>
      <c r="F255" s="615" t="s">
        <v>928</v>
      </c>
      <c r="G255" s="615" t="s">
        <v>928</v>
      </c>
      <c r="H255" s="615" t="s">
        <v>928</v>
      </c>
      <c r="I255" s="615" t="s">
        <v>928</v>
      </c>
      <c r="J255" s="615" t="s">
        <v>928</v>
      </c>
      <c r="K255" s="615" t="s">
        <v>928</v>
      </c>
      <c r="L255" s="615" t="s">
        <v>928</v>
      </c>
      <c r="M255" s="615" t="s">
        <v>928</v>
      </c>
      <c r="N255" s="615" t="s">
        <v>928</v>
      </c>
      <c r="O255" s="615" t="s">
        <v>928</v>
      </c>
      <c r="P255" s="615" t="s">
        <v>928</v>
      </c>
      <c r="Q255" s="615" t="s">
        <v>928</v>
      </c>
      <c r="R255" s="616" t="s">
        <v>928</v>
      </c>
      <c r="T255" s="139" t="str">
        <f>HLOOKUP($E$6,$F$9:$R$255,$A255,FALSE)</f>
        <v>Yes/No</v>
      </c>
      <c r="U255" s="197"/>
      <c r="V255" s="195"/>
      <c r="W255" s="35"/>
      <c r="X255" s="35"/>
      <c r="Y255" s="138"/>
      <c r="Z255" s="138"/>
      <c r="AA255" s="139"/>
      <c r="AB255" s="175" t="str">
        <f>T255</f>
        <v>Yes/No</v>
      </c>
      <c r="AD255" s="141"/>
      <c r="AE255" s="196" t="s">
        <v>586</v>
      </c>
      <c r="AF255" s="196" t="s">
        <v>586</v>
      </c>
      <c r="AG255" s="196" t="s">
        <v>586</v>
      </c>
      <c r="AI255" s="176">
        <f>IF(VLOOKUP(E255,'Pre-Assessment Estimator'!$E$11:$AB$227,'Pre-Assessment Estimator'!$G$2,FALSE)&gt;AB255,AB255,VLOOKUP(E255,'Pre-Assessment Estimator'!$E$11:$AB$227,'Pre-Assessment Estimator'!$G$2,FALSE))</f>
        <v>0</v>
      </c>
      <c r="AJ255" s="142">
        <f>IF(VLOOKUP(E255,'Pre-Assessment Estimator'!$E$11:$AB$227,'Pre-Assessment Estimator'!$N$2,FALSE)&gt;AB255,AB255,VLOOKUP(E255,'Pre-Assessment Estimator'!$E$11:$AB$227,'Pre-Assessment Estimator'!$N$2,FALSE))</f>
        <v>0</v>
      </c>
      <c r="AK255" s="142">
        <f>IF(VLOOKUP(E255,'Pre-Assessment Estimator'!$E$11:$AB$227,'Pre-Assessment Estimator'!$U$2,FALSE)&gt;AB255,AB255,VLOOKUP(E255,'Pre-Assessment Estimator'!$E$11:$AB$227,'Pre-Assessment Estimator'!$U$2,FALSE))</f>
        <v>0</v>
      </c>
      <c r="AM255" s="505"/>
      <c r="AN255" s="505"/>
      <c r="AO255" s="505"/>
      <c r="AP255" s="505"/>
      <c r="AQ255" s="505"/>
      <c r="AS255" s="505"/>
      <c r="AT255" s="505"/>
      <c r="AU255" s="505"/>
      <c r="AV255" s="505"/>
      <c r="AW255" s="505"/>
      <c r="AY255" s="116"/>
      <c r="AZ255" s="116"/>
      <c r="BA255" s="116"/>
      <c r="BB255" s="116"/>
      <c r="BC255" s="116"/>
      <c r="BD255" s="116"/>
      <c r="BE255" s="518" t="s">
        <v>216</v>
      </c>
      <c r="BG255" s="116"/>
      <c r="BH255" s="518" t="s">
        <v>216</v>
      </c>
      <c r="BI255" s="518"/>
      <c r="BJ255" s="957"/>
      <c r="BK255" s="518" t="s">
        <v>216</v>
      </c>
      <c r="BP255" s="35" t="s">
        <v>123</v>
      </c>
      <c r="BQ255" s="35" t="str">
        <f t="shared" si="661"/>
        <v>Yes</v>
      </c>
      <c r="BR255" s="35">
        <f>IF(BQ255="",9,(IF(AI255=AD_Yes,5,0)))</f>
        <v>0</v>
      </c>
      <c r="BS255" s="35">
        <f>IF(BQ255="",9,(IF(AJ255=AD_Yes,5,0)))</f>
        <v>0</v>
      </c>
      <c r="BT255" s="35">
        <f>IF(BQ255="",9,(IF(AK255=AD_Yes,5,0)))</f>
        <v>0</v>
      </c>
    </row>
    <row r="256" spans="1:81" ht="15.75" thickBot="1">
      <c r="A256">
        <v>248</v>
      </c>
      <c r="B256" t="s">
        <v>341</v>
      </c>
      <c r="C256" t="s">
        <v>334</v>
      </c>
      <c r="D256" t="s">
        <v>341</v>
      </c>
      <c r="E256" s="1001" t="s">
        <v>940</v>
      </c>
      <c r="F256" s="613" t="s">
        <v>928</v>
      </c>
      <c r="G256" s="613" t="s">
        <v>928</v>
      </c>
      <c r="H256" s="613" t="s">
        <v>928</v>
      </c>
      <c r="I256" s="613" t="s">
        <v>928</v>
      </c>
      <c r="J256" s="613" t="s">
        <v>928</v>
      </c>
      <c r="K256" s="613" t="s">
        <v>928</v>
      </c>
      <c r="L256" s="613" t="s">
        <v>928</v>
      </c>
      <c r="M256" s="613" t="s">
        <v>928</v>
      </c>
      <c r="N256" s="613" t="s">
        <v>928</v>
      </c>
      <c r="O256" s="613" t="s">
        <v>928</v>
      </c>
      <c r="P256" s="613" t="s">
        <v>928</v>
      </c>
      <c r="Q256" s="613" t="s">
        <v>928</v>
      </c>
      <c r="R256" s="614" t="s">
        <v>928</v>
      </c>
      <c r="T256" s="139" t="str">
        <f>HLOOKUP($E$6,$F$9:$R$256,$A256,FALSE)</f>
        <v>Yes/No</v>
      </c>
      <c r="U256" s="197"/>
      <c r="V256" s="195"/>
      <c r="W256" s="35"/>
      <c r="X256" s="35"/>
      <c r="Y256" s="138"/>
      <c r="Z256" s="138"/>
      <c r="AA256" s="139"/>
      <c r="AB256" s="175" t="str">
        <f>T256</f>
        <v>Yes/No</v>
      </c>
      <c r="AD256" s="141"/>
      <c r="AE256" s="196" t="s">
        <v>586</v>
      </c>
      <c r="AF256" s="196" t="s">
        <v>586</v>
      </c>
      <c r="AG256" s="196" t="s">
        <v>586</v>
      </c>
      <c r="AI256" s="176">
        <f>IF(VLOOKUP(E256,'Pre-Assessment Estimator'!$E$11:$AB$227,'Pre-Assessment Estimator'!$G$2,FALSE)&gt;AB256,AB256,VLOOKUP(E256,'Pre-Assessment Estimator'!$E$11:$AB$227,'Pre-Assessment Estimator'!$G$2,FALSE))</f>
        <v>0</v>
      </c>
      <c r="AJ256" s="142">
        <f>IF(VLOOKUP(E256,'Pre-Assessment Estimator'!$E$11:$AB$227,'Pre-Assessment Estimator'!$N$2,FALSE)&gt;AB256,AB256,VLOOKUP(E256,'Pre-Assessment Estimator'!$E$11:$AB$227,'Pre-Assessment Estimator'!$N$2,FALSE))</f>
        <v>0</v>
      </c>
      <c r="AK256" s="142">
        <f>IF(VLOOKUP(E256,'Pre-Assessment Estimator'!$E$11:$AB$227,'Pre-Assessment Estimator'!$U$2,FALSE)&gt;AB256,AB256,VLOOKUP(E256,'Pre-Assessment Estimator'!$E$11:$AB$227,'Pre-Assessment Estimator'!$U$2,FALSE))</f>
        <v>0</v>
      </c>
      <c r="AM256" s="505"/>
      <c r="AN256" s="505"/>
      <c r="AO256" s="505"/>
      <c r="AP256" s="505"/>
      <c r="AQ256" s="505"/>
      <c r="AS256" s="505"/>
      <c r="AT256" s="505"/>
      <c r="AU256" s="505"/>
      <c r="AV256" s="505"/>
      <c r="AW256" s="505"/>
      <c r="AY256" s="116"/>
      <c r="AZ256" s="116"/>
      <c r="BA256" s="116"/>
      <c r="BB256" s="116"/>
      <c r="BC256" s="116"/>
      <c r="BD256" s="116"/>
      <c r="BE256" s="518" t="s">
        <v>216</v>
      </c>
      <c r="BG256" s="116"/>
      <c r="BH256" s="518" t="s">
        <v>216</v>
      </c>
      <c r="BI256" s="518"/>
      <c r="BJ256" s="957"/>
      <c r="BK256" s="518" t="s">
        <v>216</v>
      </c>
      <c r="BP256" s="35" t="s">
        <v>123</v>
      </c>
      <c r="BQ256" s="35" t="str">
        <f t="shared" ref="BQ256" si="662">IF(BO256&lt;&gt;"",BO256,IF(BP256&lt;&gt;"",BP256,""))</f>
        <v>Yes</v>
      </c>
      <c r="BR256" s="35">
        <f>IF(BQ256="",9,(IF(AI256=AD_Yes,5,0)))</f>
        <v>0</v>
      </c>
      <c r="BS256" s="35">
        <f>IF(BQ256="",9,(IF(AJ256=AD_Yes,5,0)))</f>
        <v>0</v>
      </c>
      <c r="BT256" s="35">
        <f>IF(BQ256="",9,(IF(AK256=AD_Yes,5,0)))</f>
        <v>0</v>
      </c>
    </row>
    <row r="257" spans="1:73" ht="15.75" thickBot="1">
      <c r="A257">
        <v>249</v>
      </c>
      <c r="E257" s="891"/>
      <c r="BO257" s="207" t="s">
        <v>941</v>
      </c>
      <c r="BP257" s="208"/>
      <c r="BQ257" s="208"/>
      <c r="BR257" s="916">
        <f>MIN(BR10:BR256)</f>
        <v>0</v>
      </c>
      <c r="BS257" s="916">
        <f>MIN(BS10:BS256)</f>
        <v>0</v>
      </c>
      <c r="BT257" s="916">
        <f>MIN(BT10:BT256)</f>
        <v>0</v>
      </c>
    </row>
    <row r="258" spans="1:73" ht="15.75" thickBot="1">
      <c r="A258">
        <v>250</v>
      </c>
      <c r="E258" t="s">
        <v>942</v>
      </c>
      <c r="F258" s="601">
        <f t="shared" ref="F258:R258" si="663">F36+F66+F97+F110+F123+F152+F166+F197+F214</f>
        <v>143</v>
      </c>
      <c r="G258" s="601">
        <f t="shared" si="663"/>
        <v>137</v>
      </c>
      <c r="H258" s="601">
        <f t="shared" si="663"/>
        <v>136</v>
      </c>
      <c r="I258" s="601">
        <f t="shared" si="663"/>
        <v>142</v>
      </c>
      <c r="J258" s="601">
        <f t="shared" si="663"/>
        <v>142</v>
      </c>
      <c r="K258" s="601">
        <f t="shared" si="663"/>
        <v>137</v>
      </c>
      <c r="L258" s="601">
        <f t="shared" si="663"/>
        <v>137</v>
      </c>
      <c r="M258" s="601">
        <f t="shared" si="663"/>
        <v>139</v>
      </c>
      <c r="N258" s="601">
        <f t="shared" si="663"/>
        <v>138</v>
      </c>
      <c r="O258" s="601">
        <f t="shared" si="663"/>
        <v>137</v>
      </c>
      <c r="P258" s="601">
        <f t="shared" si="663"/>
        <v>137</v>
      </c>
      <c r="Q258" s="601">
        <f t="shared" si="663"/>
        <v>142</v>
      </c>
      <c r="R258" s="601">
        <f t="shared" si="663"/>
        <v>142</v>
      </c>
      <c r="T258">
        <f>T36+T66+T97+T110+T123+T152+T166+T197+T214+T231</f>
        <v>153</v>
      </c>
      <c r="AA258">
        <f>Poeng_tot-Poeng_tilgj</f>
        <v>0</v>
      </c>
      <c r="AB258">
        <f>AB36+AB66+AB97+AB110+AB123+AB152+AB166+AB197+AB214+AB231</f>
        <v>153</v>
      </c>
      <c r="BR258" s="35" t="str">
        <f>IF(BR257=0,AD_no,AD_Yes)</f>
        <v>No</v>
      </c>
      <c r="BS258" s="35" t="str">
        <f>IF(BS257=0,AD_no,AD_Yes)</f>
        <v>No</v>
      </c>
      <c r="BT258" s="35" t="str">
        <f>IF(BT257=0,AD_no,AD_Yes)</f>
        <v>No</v>
      </c>
    </row>
    <row r="259" spans="1:73">
      <c r="AA259">
        <f>AA36+AA66+AA97+AA110+AA123+AA152+AA166+AA197+AA214+AA231</f>
        <v>0</v>
      </c>
      <c r="AI259" t="str">
        <f>AD_Yes</f>
        <v>Yes</v>
      </c>
      <c r="AX259" s="1055" t="s">
        <v>943</v>
      </c>
      <c r="AY259" s="1056"/>
      <c r="AZ259" s="1056"/>
      <c r="BA259" s="1056"/>
      <c r="BB259" s="1056"/>
      <c r="BC259" s="1057"/>
      <c r="BD259" s="198">
        <f>MIN(BD10:BD252)</f>
        <v>0</v>
      </c>
      <c r="BE259" s="70" t="str">
        <f>VLOOKUP(BD259,$BO$284:$BP$290,2,FALSE)</f>
        <v>Unclassified</v>
      </c>
      <c r="BF259" s="71">
        <f>VLOOKUP(BP_MinStandards,BQ262:BS267,2,FALSE)</f>
        <v>0</v>
      </c>
      <c r="BG259" s="198">
        <f>MIN(BG10:BG252)</f>
        <v>0</v>
      </c>
      <c r="BH259" s="70" t="str">
        <f>VLOOKUP(BG259,$BO$284:$BP$290,2,FALSE)</f>
        <v>Unclassified</v>
      </c>
      <c r="BI259" s="71">
        <f>VLOOKUP(BP_MinStandards_design,BQ262:BS267,2,FALSE)</f>
        <v>0</v>
      </c>
      <c r="BJ259" s="198">
        <f>MIN(BJ10:BJ252)</f>
        <v>0</v>
      </c>
      <c r="BK259" s="70" t="str">
        <f>VLOOKUP(BJ259,$BO$284:$BP$290,2,FALSE)</f>
        <v>Unclassified</v>
      </c>
      <c r="BL259" s="71">
        <f>VLOOKUP(BP_MinStandards_const,BQ262:BS267,2,FALSE)</f>
        <v>0</v>
      </c>
    </row>
    <row r="260" spans="1:73">
      <c r="D260" s="206"/>
      <c r="E260" s="206" t="s">
        <v>944</v>
      </c>
      <c r="F260" s="534"/>
      <c r="G260" s="534"/>
      <c r="H260" s="534"/>
      <c r="I260" s="534"/>
      <c r="J260" s="534"/>
      <c r="K260" s="534"/>
      <c r="L260" s="534"/>
      <c r="M260" s="534"/>
      <c r="N260" s="534"/>
      <c r="O260" s="534"/>
      <c r="P260" s="534"/>
      <c r="Q260" s="534"/>
      <c r="R260" s="534"/>
      <c r="AE260">
        <f>Man_cont_tot+Hea_cont_tot+Ene_cont_tot+Tra_cont_tot+Wat_cont_tot+Mat_cont_tot+Wst_cont_tot+LE_cont_tot+Pol_cont_tot+Inn_cont_tot</f>
        <v>0</v>
      </c>
      <c r="AI260" t="str">
        <f>AD_no</f>
        <v>No</v>
      </c>
      <c r="AX260" s="1058" t="s">
        <v>945</v>
      </c>
      <c r="AY260" s="1059"/>
      <c r="AZ260" s="1059"/>
      <c r="BA260" s="1059"/>
      <c r="BB260" s="1059"/>
      <c r="BC260" s="1060"/>
      <c r="BD260" s="195">
        <f>Man_Credits+Hea_Credits+Ene_Credits+Tra_Credits+Wat__Credits+Mat_Credits+Wst_Credits+LE_Credits+Pol_Credits+Inn_Credits</f>
        <v>153</v>
      </c>
      <c r="BE260" s="35"/>
      <c r="BF260" s="154"/>
      <c r="BG260" s="195">
        <f>Man_Credits+Hea_Credits+Ene_Credits+Tra_Credits+Wat__Credits+Mat_Credits+Wst_Credits+LE_Credits+Pol_Credits+Inn_Credits</f>
        <v>153</v>
      </c>
      <c r="BH260" s="35"/>
      <c r="BI260" s="154"/>
      <c r="BJ260" s="195">
        <f>Man_Credits+Hea_Credits+Ene_Credits+Tra_Credits+Wat__Credits+Mat_Credits+Wst_Credits+LE_Credits+Pol_Credits+Inn_Credits</f>
        <v>153</v>
      </c>
      <c r="BK260" s="35"/>
      <c r="BL260" s="154"/>
    </row>
    <row r="261" spans="1:73" ht="15.75" thickBot="1">
      <c r="E261" t="s">
        <v>946</v>
      </c>
      <c r="AX261" s="1058" t="s">
        <v>947</v>
      </c>
      <c r="AY261" s="1059"/>
      <c r="AZ261" s="1059"/>
      <c r="BA261" s="1059"/>
      <c r="BB261" s="1059"/>
      <c r="BC261" s="1060"/>
      <c r="BD261" s="195">
        <f>Achieved_initial</f>
        <v>0</v>
      </c>
      <c r="BE261" s="35"/>
      <c r="BF261" s="154"/>
      <c r="BG261" s="195">
        <f>Achieved_design</f>
        <v>0</v>
      </c>
      <c r="BH261" s="35"/>
      <c r="BI261" s="154"/>
      <c r="BJ261" s="195">
        <f>Achieved_const</f>
        <v>0</v>
      </c>
      <c r="BK261" s="35"/>
      <c r="BL261" s="154"/>
    </row>
    <row r="262" spans="1:73" ht="15.75" thickBot="1">
      <c r="E262" t="s">
        <v>948</v>
      </c>
      <c r="N262"/>
      <c r="AX262" s="1062" t="s">
        <v>949</v>
      </c>
      <c r="AY262" s="1063"/>
      <c r="AZ262" s="1063"/>
      <c r="BA262" s="1063"/>
      <c r="BB262" s="1063"/>
      <c r="BC262" s="1064"/>
      <c r="BD262" s="74">
        <f>Score_Initial</f>
        <v>0</v>
      </c>
      <c r="BE262" s="72" t="str">
        <f>IF(BD262&gt;=BP267,BQ267,IF(BD262&gt;=BP266,BQ266,IF(BD262&gt;=BP265,BQ265,IF(BD262&gt;=BP264,BQ264,IF(BD262&gt;=BP263,BQ263,BQ262)))))</f>
        <v>Unclassified</v>
      </c>
      <c r="BF262" s="73">
        <f>VLOOKUP(BE262,BQ262:BS267,2,FALSE)</f>
        <v>0</v>
      </c>
      <c r="BG262" s="74">
        <f>Score_design</f>
        <v>0</v>
      </c>
      <c r="BH262" s="72" t="str">
        <f>IF(BG262&gt;=BP267,BQ267,IF(BG262&gt;=BP266,BQ266,IF(BG262&gt;=BP265,BQ265,IF(BG262&gt;=BP264,BQ264,IF(BG262&gt;=BP263,BQ263,BQ262)))))</f>
        <v>Unclassified</v>
      </c>
      <c r="BI262" s="73">
        <f>VLOOKUP(BH262,BQ262:BS267,2,FALSE)</f>
        <v>0</v>
      </c>
      <c r="BJ262" s="74">
        <f>Score_const</f>
        <v>0</v>
      </c>
      <c r="BK262" s="72" t="str">
        <f>IF(BJ262&gt;=BP267,BQ267,IF(BJ262&gt;=BP266,BQ266,IF(BJ262&gt;=BP265,BQ265,IF(BJ262&gt;=BP264,BQ264,IF(BJ262&gt;=BP263,BQ263,BQ262)))))</f>
        <v>Unclassified</v>
      </c>
      <c r="BL262" s="73">
        <f>VLOOKUP(BK262,BQ262:BS267,2,FALSE)</f>
        <v>0</v>
      </c>
      <c r="BO262" s="199" t="s">
        <v>950</v>
      </c>
      <c r="BP262" s="200">
        <v>0</v>
      </c>
      <c r="BQ262" s="201" t="s">
        <v>951</v>
      </c>
      <c r="BR262" s="202">
        <v>0</v>
      </c>
      <c r="BT262" t="s">
        <v>951</v>
      </c>
      <c r="BU262" t="s">
        <v>952</v>
      </c>
    </row>
    <row r="263" spans="1:73" ht="15.75" thickBot="1">
      <c r="E263" t="s">
        <v>953</v>
      </c>
      <c r="N263"/>
      <c r="BO263" s="203" t="s">
        <v>954</v>
      </c>
      <c r="BP263" s="204">
        <v>0.3</v>
      </c>
      <c r="BQ263" t="s">
        <v>955</v>
      </c>
      <c r="BR263" s="205">
        <v>1</v>
      </c>
      <c r="BT263" t="s">
        <v>955</v>
      </c>
      <c r="BU263" t="s">
        <v>872</v>
      </c>
    </row>
    <row r="264" spans="1:73" ht="15.75" thickBot="1">
      <c r="E264" t="s">
        <v>956</v>
      </c>
      <c r="L264"/>
      <c r="N264"/>
      <c r="AX264" s="207" t="s">
        <v>957</v>
      </c>
      <c r="AY264" s="208"/>
      <c r="AZ264" s="208"/>
      <c r="BA264" s="208"/>
      <c r="BB264" s="208"/>
      <c r="BC264" s="209"/>
      <c r="BD264" s="210" t="s">
        <v>958</v>
      </c>
      <c r="BE264" s="49" t="str">
        <f>IF(BF264=1,(BP_MinStandards&amp;"*"),BE262)</f>
        <v>Unclassified</v>
      </c>
      <c r="BF264" s="48">
        <f>IF(BF259&lt;BF262,1,0)</f>
        <v>0</v>
      </c>
      <c r="BH264" s="49" t="str">
        <f>IF(BI264=1,(BP_MinStandards_design&amp;"*"),BH262)</f>
        <v>Unclassified</v>
      </c>
      <c r="BI264" s="48">
        <f>IF(BI259&lt;BI262,1,0)</f>
        <v>0</v>
      </c>
      <c r="BK264" s="49" t="str">
        <f>IF(BL264=1,(BP_MinStandards_const&amp;"*"),BK262)</f>
        <v>Unclassified</v>
      </c>
      <c r="BL264" s="48">
        <f>IF(BL259&lt;BL262,1,0)</f>
        <v>0</v>
      </c>
      <c r="BO264" s="203" t="s">
        <v>954</v>
      </c>
      <c r="BP264" s="204">
        <v>0.45</v>
      </c>
      <c r="BQ264" t="s">
        <v>959</v>
      </c>
      <c r="BR264" s="205">
        <v>2</v>
      </c>
      <c r="BT264" t="s">
        <v>959</v>
      </c>
      <c r="BU264" t="s">
        <v>873</v>
      </c>
    </row>
    <row r="265" spans="1:73">
      <c r="E265" t="s">
        <v>960</v>
      </c>
      <c r="L265" t="s">
        <v>961</v>
      </c>
      <c r="T265">
        <f>IF(OR(AI74&lt;&gt;AB74,Ene02_user&lt;&gt;Ene02_credits),0,1)</f>
        <v>0</v>
      </c>
      <c r="BO265" s="203" t="s">
        <v>954</v>
      </c>
      <c r="BP265" s="204">
        <v>0.55000000000000004</v>
      </c>
      <c r="BQ265" t="s">
        <v>962</v>
      </c>
      <c r="BR265" s="205">
        <v>3</v>
      </c>
      <c r="BT265" t="s">
        <v>962</v>
      </c>
      <c r="BU265" t="s">
        <v>874</v>
      </c>
    </row>
    <row r="266" spans="1:73">
      <c r="E266" t="s">
        <v>963</v>
      </c>
      <c r="L266" t="s">
        <v>964</v>
      </c>
      <c r="AX266" t="s">
        <v>965</v>
      </c>
      <c r="BO266" s="203" t="s">
        <v>954</v>
      </c>
      <c r="BP266" s="204">
        <v>0.7</v>
      </c>
      <c r="BQ266" t="s">
        <v>966</v>
      </c>
      <c r="BR266" s="205">
        <v>4</v>
      </c>
      <c r="BT266" t="s">
        <v>966</v>
      </c>
      <c r="BU266" t="s">
        <v>875</v>
      </c>
    </row>
    <row r="267" spans="1:73" ht="15.75" thickBot="1">
      <c r="E267" t="s">
        <v>967</v>
      </c>
      <c r="L267" t="s">
        <v>968</v>
      </c>
      <c r="BE267" s="215" t="str">
        <f>IF(BF264=1,AX266,"")</f>
        <v/>
      </c>
      <c r="BH267" s="215" t="str">
        <f>IF(BI264=1,AX266,"")</f>
        <v/>
      </c>
      <c r="BK267" s="215" t="str">
        <f>IF(BL264=1,AX266,"")</f>
        <v/>
      </c>
      <c r="BO267" s="211" t="s">
        <v>954</v>
      </c>
      <c r="BP267" s="212">
        <v>0.85</v>
      </c>
      <c r="BQ267" s="213" t="s">
        <v>969</v>
      </c>
      <c r="BR267" s="214">
        <v>5</v>
      </c>
      <c r="BT267" t="s">
        <v>969</v>
      </c>
      <c r="BU267" t="s">
        <v>876</v>
      </c>
    </row>
    <row r="268" spans="1:73">
      <c r="E268" t="s">
        <v>970</v>
      </c>
      <c r="L268"/>
    </row>
    <row r="269" spans="1:73">
      <c r="E269" t="s">
        <v>971</v>
      </c>
      <c r="L269" t="s">
        <v>972</v>
      </c>
      <c r="AX269" t="str">
        <f>"* = "&amp;AX266</f>
        <v>* = The rating has been limited to the min. standards level achieved</v>
      </c>
    </row>
    <row r="270" spans="1:73">
      <c r="E270" t="s">
        <v>973</v>
      </c>
      <c r="L270" t="s">
        <v>974</v>
      </c>
    </row>
    <row r="271" spans="1:73">
      <c r="E271" t="s">
        <v>975</v>
      </c>
      <c r="L271"/>
    </row>
    <row r="272" spans="1:73">
      <c r="E272" t="s">
        <v>976</v>
      </c>
      <c r="L272" t="s">
        <v>977</v>
      </c>
    </row>
    <row r="273" spans="3:73">
      <c r="E273" t="s">
        <v>978</v>
      </c>
      <c r="L273" t="s">
        <v>979</v>
      </c>
    </row>
    <row r="274" spans="3:73">
      <c r="E274" t="s">
        <v>980</v>
      </c>
      <c r="L274"/>
    </row>
    <row r="275" spans="3:73">
      <c r="E275" t="s">
        <v>981</v>
      </c>
      <c r="L275"/>
    </row>
    <row r="276" spans="3:73">
      <c r="L276" t="s">
        <v>982</v>
      </c>
    </row>
    <row r="277" spans="3:73" ht="45">
      <c r="D277" t="s">
        <v>123</v>
      </c>
      <c r="E277" t="s">
        <v>229</v>
      </c>
      <c r="F277" s="601" t="s">
        <v>983</v>
      </c>
    </row>
    <row r="278" spans="3:73" ht="45">
      <c r="D278" t="s">
        <v>127</v>
      </c>
      <c r="E278" t="s">
        <v>229</v>
      </c>
      <c r="F278" s="601" t="s">
        <v>984</v>
      </c>
    </row>
    <row r="281" spans="3:73">
      <c r="C281" t="s">
        <v>424</v>
      </c>
      <c r="D281" t="s">
        <v>985</v>
      </c>
      <c r="E281" s="871" t="s">
        <v>911</v>
      </c>
      <c r="AI281">
        <f>'Pre-Assessment Estimator'!G135</f>
        <v>0</v>
      </c>
      <c r="AJ281">
        <f>'Pre-Assessment Estimator'!N135</f>
        <v>0</v>
      </c>
      <c r="AK281">
        <f>'Pre-Assessment Estimator'!U135</f>
        <v>0</v>
      </c>
    </row>
    <row r="284" spans="3:73">
      <c r="BN284" t="s">
        <v>969</v>
      </c>
      <c r="BO284">
        <v>5</v>
      </c>
      <c r="BP284" t="s">
        <v>969</v>
      </c>
      <c r="BR284" t="s">
        <v>986</v>
      </c>
      <c r="BT284" t="s">
        <v>969</v>
      </c>
      <c r="BU284" t="s">
        <v>876</v>
      </c>
    </row>
    <row r="285" spans="3:73">
      <c r="BN285" t="s">
        <v>966</v>
      </c>
      <c r="BO285">
        <v>4</v>
      </c>
      <c r="BP285" t="s">
        <v>966</v>
      </c>
      <c r="BR285" t="s">
        <v>987</v>
      </c>
      <c r="BT285" t="s">
        <v>966</v>
      </c>
      <c r="BU285" t="s">
        <v>875</v>
      </c>
    </row>
    <row r="286" spans="3:73">
      <c r="BN286" t="s">
        <v>962</v>
      </c>
      <c r="BO286">
        <v>3</v>
      </c>
      <c r="BP286" t="s">
        <v>962</v>
      </c>
      <c r="BR286" t="s">
        <v>988</v>
      </c>
      <c r="BT286" t="s">
        <v>962</v>
      </c>
      <c r="BU286" t="s">
        <v>874</v>
      </c>
    </row>
    <row r="287" spans="3:73">
      <c r="BN287" t="s">
        <v>959</v>
      </c>
      <c r="BO287">
        <v>2</v>
      </c>
      <c r="BP287" t="s">
        <v>959</v>
      </c>
      <c r="BR287" t="s">
        <v>959</v>
      </c>
      <c r="BT287" t="s">
        <v>959</v>
      </c>
      <c r="BU287" t="s">
        <v>873</v>
      </c>
    </row>
    <row r="288" spans="3:73">
      <c r="BN288" t="s">
        <v>955</v>
      </c>
      <c r="BO288">
        <v>1</v>
      </c>
      <c r="BP288" t="s">
        <v>955</v>
      </c>
      <c r="BR288" t="s">
        <v>955</v>
      </c>
      <c r="BT288" t="s">
        <v>955</v>
      </c>
      <c r="BU288" t="s">
        <v>872</v>
      </c>
    </row>
    <row r="289" spans="4:73">
      <c r="BN289" t="s">
        <v>951</v>
      </c>
      <c r="BO289">
        <v>0</v>
      </c>
      <c r="BP289" t="s">
        <v>951</v>
      </c>
      <c r="BR289" t="s">
        <v>951</v>
      </c>
      <c r="BT289" t="s">
        <v>951</v>
      </c>
      <c r="BU289" t="s">
        <v>952</v>
      </c>
    </row>
    <row r="290" spans="4:73">
      <c r="BN290" t="s">
        <v>216</v>
      </c>
      <c r="BO290">
        <v>9</v>
      </c>
      <c r="BP290" t="s">
        <v>216</v>
      </c>
      <c r="BR290" t="s">
        <v>216</v>
      </c>
      <c r="BT290" t="s">
        <v>216</v>
      </c>
      <c r="BU290" t="s">
        <v>216</v>
      </c>
    </row>
    <row r="291" spans="4:73" ht="15.75" thickBot="1">
      <c r="E291" s="518">
        <v>1</v>
      </c>
      <c r="F291" s="617">
        <v>2</v>
      </c>
      <c r="G291" s="617">
        <v>3</v>
      </c>
      <c r="H291" s="617">
        <v>4</v>
      </c>
    </row>
    <row r="292" spans="4:73" ht="15.75" thickBot="1">
      <c r="D292" s="118"/>
      <c r="E292" s="509" t="s">
        <v>871</v>
      </c>
      <c r="F292" s="618" t="s">
        <v>989</v>
      </c>
      <c r="G292" s="618" t="s">
        <v>990</v>
      </c>
      <c r="H292" s="619" t="s">
        <v>991</v>
      </c>
    </row>
    <row r="293" spans="4:73" ht="15.75" thickBot="1">
      <c r="D293" s="135" t="s">
        <v>992</v>
      </c>
      <c r="E293" s="506" t="str">
        <f>'Pre-Assessment Estimator'!AK38</f>
        <v>O1: Glare ctrl/artificial light</v>
      </c>
      <c r="F293" s="620">
        <v>0</v>
      </c>
      <c r="G293" s="620" t="s">
        <v>993</v>
      </c>
      <c r="H293" s="621"/>
    </row>
    <row r="294" spans="4:73" ht="15.75" thickBot="1">
      <c r="D294" s="137" t="s">
        <v>992</v>
      </c>
      <c r="E294" s="56" t="str">
        <f>'Pre-Assessment Estimator'!AL38</f>
        <v>O2: Glare control (-0,5 c)</v>
      </c>
      <c r="F294" s="622">
        <v>-0.5</v>
      </c>
      <c r="G294" s="622" t="s">
        <v>993</v>
      </c>
      <c r="H294" s="623"/>
      <c r="BI294" s="124" t="s">
        <v>994</v>
      </c>
      <c r="BJ294" s="124" t="s">
        <v>995</v>
      </c>
      <c r="BK294" s="125" t="s">
        <v>996</v>
      </c>
      <c r="BP294" s="123" t="s">
        <v>997</v>
      </c>
      <c r="BQ294" s="124" t="s">
        <v>722</v>
      </c>
      <c r="BR294" s="124" t="s">
        <v>994</v>
      </c>
      <c r="BS294" s="124" t="s">
        <v>995</v>
      </c>
      <c r="BT294" s="125" t="s">
        <v>996</v>
      </c>
    </row>
    <row r="295" spans="4:73">
      <c r="D295" s="137" t="s">
        <v>992</v>
      </c>
      <c r="E295" s="56" t="str">
        <f>'Pre-Assessment Estimator'!AM38</f>
        <v>O2: Artificial lighting (-0,5 c)</v>
      </c>
      <c r="F295" s="622">
        <v>-0.5</v>
      </c>
      <c r="G295" s="622" t="s">
        <v>993</v>
      </c>
      <c r="H295" s="623"/>
      <c r="BH295" s="54" t="s">
        <v>255</v>
      </c>
      <c r="BI295">
        <f t="shared" ref="BI295:BI327" si="664">VLOOKUP($BH295,$B$10:$BK$252,BD$1,FALSE)</f>
        <v>3</v>
      </c>
      <c r="BJ295">
        <f t="shared" ref="BJ295:BJ327" si="665">VLOOKUP($BH295,$B$10:$BK$252,BG$1,FALSE)</f>
        <v>3</v>
      </c>
      <c r="BK295">
        <f t="shared" ref="BK295:BK327" si="666">VLOOKUP($BH295,$B$10:$BK$252,BJ$1,FALSE)</f>
        <v>3</v>
      </c>
      <c r="BP295" s="180" t="s">
        <v>998</v>
      </c>
      <c r="BQ295" s="147" t="s">
        <v>253</v>
      </c>
      <c r="BR295" s="147">
        <f>MIN(BI295:BI296)</f>
        <v>3</v>
      </c>
      <c r="BS295" s="147">
        <f t="shared" ref="BS295:BT295" si="667">MIN(BJ295:BJ296)</f>
        <v>3</v>
      </c>
      <c r="BT295" s="147">
        <f t="shared" si="667"/>
        <v>3</v>
      </c>
    </row>
    <row r="296" spans="4:73" ht="15.75" thickBot="1">
      <c r="D296" s="137" t="s">
        <v>992</v>
      </c>
      <c r="E296" s="507" t="str">
        <f>'Pre-Assessment Estimator'!AN38</f>
        <v>O2: Glare ctrl &amp; artif light (-1,0 c)</v>
      </c>
      <c r="F296" s="622">
        <v>-1</v>
      </c>
      <c r="G296" s="622" t="s">
        <v>993</v>
      </c>
      <c r="H296" s="623"/>
      <c r="BH296" s="917" t="s">
        <v>256</v>
      </c>
      <c r="BI296" s="213">
        <f t="shared" si="664"/>
        <v>3</v>
      </c>
      <c r="BJ296" s="213">
        <f t="shared" si="665"/>
        <v>3</v>
      </c>
      <c r="BK296" s="213">
        <f t="shared" si="666"/>
        <v>3</v>
      </c>
      <c r="BP296" s="137" t="s">
        <v>697</v>
      </c>
      <c r="BQ296" s="35" t="s">
        <v>188</v>
      </c>
      <c r="BR296" s="35">
        <f>MIN(BI297:BI299)</f>
        <v>0</v>
      </c>
      <c r="BS296" s="35">
        <f t="shared" ref="BS296:BT296" si="668">MIN(BJ297:BJ299)</f>
        <v>0</v>
      </c>
      <c r="BT296" s="35">
        <f t="shared" si="668"/>
        <v>0</v>
      </c>
    </row>
    <row r="297" spans="4:73">
      <c r="D297" s="137" t="s">
        <v>992</v>
      </c>
      <c r="E297" s="506" t="str">
        <f>'Pre-Assessment Estimator'!AO38</f>
        <v>O3: Glare ctrl/artif lighting</v>
      </c>
      <c r="F297" s="622">
        <v>0</v>
      </c>
      <c r="G297" s="622" t="s">
        <v>993</v>
      </c>
      <c r="H297" s="623"/>
      <c r="BH297" s="54" t="s">
        <v>267</v>
      </c>
      <c r="BI297">
        <f t="shared" si="664"/>
        <v>0</v>
      </c>
      <c r="BJ297">
        <f t="shared" si="665"/>
        <v>0</v>
      </c>
      <c r="BK297">
        <f t="shared" si="666"/>
        <v>0</v>
      </c>
      <c r="BP297" s="137" t="s">
        <v>271</v>
      </c>
      <c r="BQ297" s="35" t="s">
        <v>271</v>
      </c>
      <c r="BR297" s="35">
        <f>MIN(BI300:BI301)</f>
        <v>0</v>
      </c>
      <c r="BS297" s="35">
        <f t="shared" ref="BS297:BT297" si="669">MIN(BJ300:BJ301)</f>
        <v>0</v>
      </c>
      <c r="BT297" s="35">
        <f t="shared" si="669"/>
        <v>0</v>
      </c>
    </row>
    <row r="298" spans="4:73" ht="15.75" thickBot="1">
      <c r="D298" s="159" t="s">
        <v>992</v>
      </c>
      <c r="E298" s="507" t="str">
        <f>'Pre-Assessment Estimator'!AP38</f>
        <v>Glare ctrl/artif lighting N/A</v>
      </c>
      <c r="F298" s="624">
        <v>0</v>
      </c>
      <c r="G298" s="624" t="s">
        <v>993</v>
      </c>
      <c r="H298" s="625">
        <v>2</v>
      </c>
      <c r="BH298" s="54" t="s">
        <v>268</v>
      </c>
      <c r="BI298">
        <f t="shared" si="664"/>
        <v>2</v>
      </c>
      <c r="BJ298">
        <f t="shared" si="665"/>
        <v>2</v>
      </c>
      <c r="BK298">
        <f t="shared" si="666"/>
        <v>2</v>
      </c>
      <c r="BP298" s="137" t="s">
        <v>999</v>
      </c>
      <c r="BQ298" s="35" t="str">
        <f>IF(E6=H9,"","Man 05")</f>
        <v>Man 05</v>
      </c>
      <c r="BR298" s="35">
        <f>MIN(BI302)</f>
        <v>3</v>
      </c>
      <c r="BS298" s="35">
        <f t="shared" ref="BS298:BT298" si="670">MIN(BJ302)</f>
        <v>3</v>
      </c>
      <c r="BT298" s="35">
        <f t="shared" si="670"/>
        <v>3</v>
      </c>
      <c r="BU298" s="183" t="s">
        <v>1000</v>
      </c>
    </row>
    <row r="299" spans="4:73" ht="15.75" thickBot="1">
      <c r="D299" s="135" t="s">
        <v>1001</v>
      </c>
      <c r="E299" s="506" t="str">
        <f>'Pre-Assessment Estimator'!AK46</f>
        <v>O1: VOC</v>
      </c>
      <c r="F299" s="620">
        <v>0</v>
      </c>
      <c r="G299" s="620" t="s">
        <v>993</v>
      </c>
      <c r="H299" s="621"/>
      <c r="BH299" s="917" t="s">
        <v>270</v>
      </c>
      <c r="BI299" s="213">
        <f t="shared" si="664"/>
        <v>3</v>
      </c>
      <c r="BJ299" s="213">
        <f t="shared" si="665"/>
        <v>3</v>
      </c>
      <c r="BK299" s="213">
        <f t="shared" si="666"/>
        <v>3</v>
      </c>
      <c r="BP299" s="137" t="s">
        <v>699</v>
      </c>
      <c r="BQ299" t="s">
        <v>288</v>
      </c>
      <c r="BR299" s="35">
        <f>MIN(BI303)</f>
        <v>0</v>
      </c>
      <c r="BS299" s="35">
        <f>MIN(BJ303)</f>
        <v>0</v>
      </c>
      <c r="BT299" s="35">
        <f>MIN(BK303)</f>
        <v>0</v>
      </c>
    </row>
    <row r="300" spans="4:73">
      <c r="D300" s="137" t="s">
        <v>1001</v>
      </c>
      <c r="E300" s="56" t="str">
        <f>'Pre-Assessment Estimator'!AL46</f>
        <v>O2: VOC (AC 6-7: -0,5 c)</v>
      </c>
      <c r="F300" s="622">
        <v>-0.5</v>
      </c>
      <c r="G300" s="622" t="s">
        <v>993</v>
      </c>
      <c r="H300" s="623"/>
      <c r="BH300" s="54" t="s">
        <v>276</v>
      </c>
      <c r="BI300">
        <f t="shared" si="664"/>
        <v>0</v>
      </c>
      <c r="BJ300">
        <f t="shared" si="665"/>
        <v>0</v>
      </c>
      <c r="BK300">
        <f t="shared" si="666"/>
        <v>0</v>
      </c>
      <c r="BP300" s="137" t="s">
        <v>702</v>
      </c>
      <c r="BQ300" s="35" t="s">
        <v>187</v>
      </c>
      <c r="BR300" s="35">
        <f>MIN(BI304:BI305)</f>
        <v>0</v>
      </c>
      <c r="BS300" s="35">
        <f>MIN(BJ304:BJ305)</f>
        <v>0</v>
      </c>
      <c r="BT300" s="35">
        <f>MIN(BK304:BK305)</f>
        <v>0</v>
      </c>
    </row>
    <row r="301" spans="4:73" ht="15.75" thickBot="1">
      <c r="D301" s="137" t="s">
        <v>1001</v>
      </c>
      <c r="E301" s="56" t="str">
        <f>'Pre-Assessment Estimator'!AM46</f>
        <v>O2: VOC (AC 8-9: -1,0 c)</v>
      </c>
      <c r="F301" s="622">
        <v>-1</v>
      </c>
      <c r="G301" s="622" t="s">
        <v>993</v>
      </c>
      <c r="H301" s="623"/>
      <c r="BH301" s="917" t="s">
        <v>278</v>
      </c>
      <c r="BI301" s="213">
        <f t="shared" si="664"/>
        <v>2</v>
      </c>
      <c r="BJ301" s="213">
        <f t="shared" si="665"/>
        <v>2</v>
      </c>
      <c r="BK301" s="213">
        <f t="shared" si="666"/>
        <v>2</v>
      </c>
      <c r="BP301" s="137" t="s">
        <v>704</v>
      </c>
      <c r="BQ301" s="35" t="s">
        <v>334</v>
      </c>
      <c r="BR301" s="35">
        <f>MIN(BI306)</f>
        <v>3</v>
      </c>
      <c r="BS301" s="35">
        <f t="shared" ref="BS301:BT301" si="671">MIN(BJ306)</f>
        <v>3</v>
      </c>
      <c r="BT301" s="35">
        <f t="shared" si="671"/>
        <v>3</v>
      </c>
      <c r="BU301" s="183"/>
    </row>
    <row r="302" spans="4:73" ht="15.75" thickBot="1">
      <c r="D302" s="137" t="s">
        <v>1001</v>
      </c>
      <c r="E302" s="56" t="str">
        <f>'Pre-Assessment Estimator'!AN46</f>
        <v>O3: VOC</v>
      </c>
      <c r="F302" s="622">
        <v>0</v>
      </c>
      <c r="G302" s="622" t="s">
        <v>993</v>
      </c>
      <c r="H302" s="623"/>
      <c r="BH302" s="918" t="s">
        <v>282</v>
      </c>
      <c r="BI302" s="208">
        <f t="shared" si="664"/>
        <v>3</v>
      </c>
      <c r="BJ302" s="208">
        <f t="shared" si="665"/>
        <v>3</v>
      </c>
      <c r="BK302" s="208">
        <f t="shared" si="666"/>
        <v>3</v>
      </c>
      <c r="BP302" s="137" t="s">
        <v>1002</v>
      </c>
      <c r="BQ302" s="35" t="s">
        <v>364</v>
      </c>
      <c r="BR302" s="35">
        <f>MIN(BI307)</f>
        <v>0</v>
      </c>
      <c r="BS302" s="35">
        <f t="shared" ref="BS302:BT302" si="672">MIN(BJ307)</f>
        <v>0</v>
      </c>
      <c r="BT302" s="35">
        <f t="shared" si="672"/>
        <v>0</v>
      </c>
    </row>
    <row r="303" spans="4:73" ht="15.75" thickBot="1">
      <c r="D303" s="158" t="s">
        <v>1001</v>
      </c>
      <c r="E303" s="511" t="str">
        <f>'Pre-Assessment Estimator'!AO46</f>
        <v>VOC N/A</v>
      </c>
      <c r="F303" s="626">
        <v>0</v>
      </c>
      <c r="G303" s="626" t="s">
        <v>993</v>
      </c>
      <c r="H303" s="627">
        <v>5</v>
      </c>
      <c r="BH303" s="918" t="s">
        <v>296</v>
      </c>
      <c r="BI303" s="208">
        <f t="shared" si="664"/>
        <v>0</v>
      </c>
      <c r="BJ303" s="208">
        <f t="shared" si="665"/>
        <v>0</v>
      </c>
      <c r="BK303" s="208">
        <f t="shared" si="666"/>
        <v>0</v>
      </c>
      <c r="BP303" s="137" t="s">
        <v>190</v>
      </c>
      <c r="BQ303" s="35" t="s">
        <v>375</v>
      </c>
      <c r="BR303" s="35">
        <f>MIN(BI308)</f>
        <v>3</v>
      </c>
      <c r="BS303" s="35">
        <f t="shared" ref="BS303:BT303" si="673">MIN(BJ308)</f>
        <v>3</v>
      </c>
      <c r="BT303" s="35">
        <f t="shared" si="673"/>
        <v>3</v>
      </c>
      <c r="BU303" s="183"/>
    </row>
    <row r="304" spans="4:73">
      <c r="D304" s="180" t="s">
        <v>1003</v>
      </c>
      <c r="E304" s="510" t="str">
        <f>'Pre-Assessment Estimator'!AK74</f>
        <v>O1: Sub-metering</v>
      </c>
      <c r="F304" s="628">
        <v>0</v>
      </c>
      <c r="G304" s="628" t="s">
        <v>993</v>
      </c>
      <c r="H304" s="629"/>
      <c r="BH304" s="919" t="s">
        <v>309</v>
      </c>
      <c r="BI304" s="201">
        <f t="shared" si="664"/>
        <v>0</v>
      </c>
      <c r="BJ304" s="201">
        <f t="shared" si="665"/>
        <v>0</v>
      </c>
      <c r="BK304" s="201">
        <f t="shared" si="666"/>
        <v>0</v>
      </c>
      <c r="BP304" s="137" t="s">
        <v>387</v>
      </c>
      <c r="BQ304" s="35" t="s">
        <v>387</v>
      </c>
      <c r="BR304" s="35">
        <f>MIN(BI309)</f>
        <v>3</v>
      </c>
      <c r="BS304" s="35">
        <f t="shared" ref="BS304:BT304" si="674">MIN(BJ309)</f>
        <v>3</v>
      </c>
      <c r="BT304" s="35">
        <f t="shared" si="674"/>
        <v>3</v>
      </c>
      <c r="BU304" s="183"/>
    </row>
    <row r="305" spans="4:72" ht="15.75" thickBot="1">
      <c r="D305" s="137" t="s">
        <v>1003</v>
      </c>
      <c r="E305" s="56" t="str">
        <f>'Pre-Assessment Estimator'!AL74</f>
        <v>O2: Sub-met. (AC 1-3: -0,5 c)</v>
      </c>
      <c r="F305" s="622">
        <v>-0.5</v>
      </c>
      <c r="G305" s="622" t="s">
        <v>993</v>
      </c>
      <c r="H305" s="623"/>
      <c r="BH305" s="917" t="s">
        <v>311</v>
      </c>
      <c r="BI305" s="213">
        <f t="shared" si="664"/>
        <v>2</v>
      </c>
      <c r="BJ305" s="213">
        <f t="shared" si="665"/>
        <v>2</v>
      </c>
      <c r="BK305" s="213">
        <f t="shared" si="666"/>
        <v>2</v>
      </c>
      <c r="BP305" s="137" t="s">
        <v>191</v>
      </c>
      <c r="BQ305" s="35" t="s">
        <v>410</v>
      </c>
      <c r="BR305" s="35">
        <f>MIN(BI310:BI311)</f>
        <v>0</v>
      </c>
      <c r="BS305" s="35">
        <f t="shared" ref="BS305:BT305" si="675">MIN(BJ310:BJ311)</f>
        <v>0</v>
      </c>
      <c r="BT305" s="35">
        <f t="shared" si="675"/>
        <v>0</v>
      </c>
    </row>
    <row r="306" spans="4:72" ht="15.75" thickBot="1">
      <c r="D306" s="137" t="s">
        <v>1003</v>
      </c>
      <c r="E306" s="56" t="str">
        <f>'Pre-Assessment Estimator'!AM74</f>
        <v>O2: Sub-met. (AC 4-7: -1,0 c)</v>
      </c>
      <c r="F306" s="622">
        <v>-1</v>
      </c>
      <c r="G306" s="622" t="s">
        <v>993</v>
      </c>
      <c r="H306" s="623"/>
      <c r="BH306" s="918" t="s">
        <v>340</v>
      </c>
      <c r="BI306" s="208">
        <f t="shared" si="664"/>
        <v>3</v>
      </c>
      <c r="BJ306" s="208">
        <f t="shared" si="665"/>
        <v>3</v>
      </c>
      <c r="BK306" s="208">
        <f t="shared" si="666"/>
        <v>3</v>
      </c>
      <c r="BP306" s="137" t="s">
        <v>1004</v>
      </c>
      <c r="BQ306" s="35" t="s">
        <v>415</v>
      </c>
      <c r="BR306" s="35">
        <f>MIN(BI312)</f>
        <v>0</v>
      </c>
      <c r="BS306" s="35">
        <f t="shared" ref="BS306:BT306" si="676">MIN(BJ312)</f>
        <v>0</v>
      </c>
      <c r="BT306" s="35">
        <f t="shared" si="676"/>
        <v>0</v>
      </c>
    </row>
    <row r="307" spans="4:72" ht="15.75" thickBot="1">
      <c r="D307" s="137" t="s">
        <v>1003</v>
      </c>
      <c r="E307" s="56" t="str">
        <f>'Pre-Assessment Estimator'!AN74</f>
        <v>O3: Sub-metering</v>
      </c>
      <c r="F307" s="622">
        <v>0</v>
      </c>
      <c r="G307" s="622" t="s">
        <v>993</v>
      </c>
      <c r="H307" s="623"/>
      <c r="BH307" s="918" t="s">
        <v>366</v>
      </c>
      <c r="BI307" s="208">
        <f t="shared" si="664"/>
        <v>0</v>
      </c>
      <c r="BJ307" s="208">
        <f t="shared" si="665"/>
        <v>0</v>
      </c>
      <c r="BK307" s="208">
        <f t="shared" si="666"/>
        <v>0</v>
      </c>
      <c r="BP307" s="137" t="s">
        <v>1005</v>
      </c>
      <c r="BQ307" s="35" t="s">
        <v>419</v>
      </c>
      <c r="BR307" s="35">
        <f>MIN(BI313)</f>
        <v>0</v>
      </c>
      <c r="BS307" s="35">
        <f t="shared" ref="BS307:BT307" si="677">MIN(BJ313)</f>
        <v>0</v>
      </c>
      <c r="BT307" s="35">
        <f t="shared" si="677"/>
        <v>0</v>
      </c>
    </row>
    <row r="308" spans="4:72" ht="15.75" thickBot="1">
      <c r="D308" s="158" t="s">
        <v>1003</v>
      </c>
      <c r="E308" s="511" t="str">
        <f>'Pre-Assessment Estimator'!AO74</f>
        <v>Sub-metering N/A</v>
      </c>
      <c r="F308" s="626">
        <v>0</v>
      </c>
      <c r="G308" s="626" t="s">
        <v>993</v>
      </c>
      <c r="H308" s="627">
        <v>1</v>
      </c>
      <c r="BH308" s="918" t="s">
        <v>378</v>
      </c>
      <c r="BI308" s="208">
        <f t="shared" si="664"/>
        <v>3</v>
      </c>
      <c r="BJ308" s="208">
        <f t="shared" si="665"/>
        <v>3</v>
      </c>
      <c r="BK308" s="208">
        <f t="shared" si="666"/>
        <v>3</v>
      </c>
      <c r="BP308" s="137" t="s">
        <v>1006</v>
      </c>
      <c r="BQ308" s="35" t="s">
        <v>424</v>
      </c>
      <c r="BR308" s="35">
        <f>MIN(BI314)</f>
        <v>3</v>
      </c>
      <c r="BS308" s="35">
        <f t="shared" ref="BS308:BT308" si="678">MIN(BJ314)</f>
        <v>3</v>
      </c>
      <c r="BT308" s="35">
        <f t="shared" si="678"/>
        <v>3</v>
      </c>
    </row>
    <row r="309" spans="4:72" ht="15.75" thickBot="1">
      <c r="D309" s="180" t="s">
        <v>1007</v>
      </c>
      <c r="E309" s="510" t="str">
        <f>'Pre-Assessment Estimator'!AK110</f>
        <v>O1: Flow control</v>
      </c>
      <c r="F309" s="628">
        <v>0</v>
      </c>
      <c r="G309" s="628" t="s">
        <v>993</v>
      </c>
      <c r="H309" s="629"/>
      <c r="BH309" s="918" t="s">
        <v>389</v>
      </c>
      <c r="BI309" s="208">
        <f t="shared" si="664"/>
        <v>3</v>
      </c>
      <c r="BJ309" s="208">
        <f t="shared" si="665"/>
        <v>3</v>
      </c>
      <c r="BK309" s="208">
        <f t="shared" si="666"/>
        <v>3</v>
      </c>
      <c r="BP309" s="137" t="s">
        <v>192</v>
      </c>
      <c r="BQ309" s="35" t="s">
        <v>431</v>
      </c>
      <c r="BR309" s="35">
        <f>MIN(BI315)</f>
        <v>0</v>
      </c>
      <c r="BS309" s="35">
        <f t="shared" ref="BS309:BT309" si="679">MIN(BJ315)</f>
        <v>0</v>
      </c>
      <c r="BT309" s="35">
        <f t="shared" si="679"/>
        <v>0</v>
      </c>
    </row>
    <row r="310" spans="4:72">
      <c r="D310" s="137" t="s">
        <v>1007</v>
      </c>
      <c r="E310" s="56" t="str">
        <f>'Pre-Assessment Estimator'!AL110</f>
        <v>O2: Flow control (-0,5 c)</v>
      </c>
      <c r="F310" s="622">
        <v>-0.5</v>
      </c>
      <c r="G310" s="622" t="s">
        <v>993</v>
      </c>
      <c r="H310" s="623"/>
      <c r="BH310" s="919" t="s">
        <v>412</v>
      </c>
      <c r="BI310" s="201">
        <f t="shared" si="664"/>
        <v>0</v>
      </c>
      <c r="BJ310" s="201">
        <f t="shared" si="665"/>
        <v>0</v>
      </c>
      <c r="BK310" s="201">
        <f t="shared" si="666"/>
        <v>0</v>
      </c>
      <c r="BP310" s="137" t="s">
        <v>193</v>
      </c>
      <c r="BQ310" s="35" t="s">
        <v>436</v>
      </c>
      <c r="BR310" s="35">
        <f>MIN(BI316:BI317)</f>
        <v>3</v>
      </c>
      <c r="BS310" s="35">
        <f t="shared" ref="BS310:BT310" si="680">MIN(BJ316:BJ317)</f>
        <v>3</v>
      </c>
      <c r="BT310" s="35">
        <f t="shared" si="680"/>
        <v>3</v>
      </c>
    </row>
    <row r="311" spans="4:72" ht="15.75" thickBot="1">
      <c r="D311" s="137" t="s">
        <v>1007</v>
      </c>
      <c r="E311" s="56" t="str">
        <f>'Pre-Assessment Estimator'!AM110</f>
        <v xml:space="preserve">O3: Flow control </v>
      </c>
      <c r="F311" s="622">
        <v>0</v>
      </c>
      <c r="G311" s="622" t="s">
        <v>993</v>
      </c>
      <c r="H311" s="623"/>
      <c r="BH311" s="917" t="s">
        <v>413</v>
      </c>
      <c r="BI311" s="213">
        <f t="shared" si="664"/>
        <v>2</v>
      </c>
      <c r="BJ311" s="213">
        <f t="shared" si="665"/>
        <v>2</v>
      </c>
      <c r="BK311" s="213">
        <f t="shared" si="666"/>
        <v>2</v>
      </c>
      <c r="BP311" s="137" t="s">
        <v>194</v>
      </c>
      <c r="BQ311" s="35" t="s">
        <v>444</v>
      </c>
      <c r="BR311" s="35">
        <f>MIN(BI318:BI321)</f>
        <v>2</v>
      </c>
      <c r="BS311" s="35">
        <f t="shared" ref="BS311:BT311" si="681">MIN(BJ318:BJ321)</f>
        <v>2</v>
      </c>
      <c r="BT311" s="35">
        <f t="shared" si="681"/>
        <v>2</v>
      </c>
    </row>
    <row r="312" spans="4:72" ht="15.75" thickBot="1">
      <c r="D312" s="159" t="s">
        <v>1007</v>
      </c>
      <c r="E312" s="507" t="str">
        <f>'Pre-Assessment Estimator'!AN110</f>
        <v>Flow control N/A</v>
      </c>
      <c r="F312" s="624">
        <v>0</v>
      </c>
      <c r="G312" s="624" t="s">
        <v>993</v>
      </c>
      <c r="H312" s="625">
        <v>1</v>
      </c>
      <c r="BH312" s="918" t="s">
        <v>416</v>
      </c>
      <c r="BI312" s="201">
        <f t="shared" si="664"/>
        <v>0</v>
      </c>
      <c r="BJ312" s="201">
        <f t="shared" si="665"/>
        <v>0</v>
      </c>
      <c r="BK312" s="201">
        <f t="shared" si="666"/>
        <v>0</v>
      </c>
      <c r="BP312" s="137" t="s">
        <v>1008</v>
      </c>
      <c r="BQ312" s="35" t="s">
        <v>1009</v>
      </c>
      <c r="BR312" s="35">
        <f>MIN(BI322:BI323)</f>
        <v>3</v>
      </c>
      <c r="BS312" s="35">
        <f t="shared" ref="BS312:BT312" si="682">MIN(BJ322:BJ323)</f>
        <v>3</v>
      </c>
      <c r="BT312" s="35">
        <f t="shared" si="682"/>
        <v>3</v>
      </c>
    </row>
    <row r="313" spans="4:72" ht="15.75" thickBot="1">
      <c r="D313" s="515" t="s">
        <v>501</v>
      </c>
      <c r="E313" s="516" t="s">
        <v>503</v>
      </c>
      <c r="F313" s="630">
        <v>1</v>
      </c>
      <c r="G313" s="630" t="s">
        <v>1010</v>
      </c>
      <c r="H313" s="631"/>
      <c r="BH313" s="918" t="s">
        <v>421</v>
      </c>
      <c r="BI313" s="208">
        <f t="shared" si="664"/>
        <v>0</v>
      </c>
      <c r="BJ313" s="208">
        <f t="shared" si="665"/>
        <v>0</v>
      </c>
      <c r="BK313" s="208">
        <f t="shared" si="666"/>
        <v>0</v>
      </c>
      <c r="BP313" s="137" t="s">
        <v>463</v>
      </c>
      <c r="BQ313" s="35" t="s">
        <v>463</v>
      </c>
      <c r="BR313" s="35">
        <f>MIN(BI324)</f>
        <v>3</v>
      </c>
      <c r="BS313" s="35">
        <f t="shared" ref="BS313:BT313" si="683">MIN(BJ324)</f>
        <v>3</v>
      </c>
      <c r="BT313" s="35">
        <f t="shared" si="683"/>
        <v>3</v>
      </c>
    </row>
    <row r="314" spans="4:72" ht="15.75" thickBot="1">
      <c r="D314" s="180"/>
      <c r="E314" s="514" t="s">
        <v>1011</v>
      </c>
      <c r="F314" s="628"/>
      <c r="G314" s="628"/>
      <c r="H314" s="629"/>
      <c r="BH314" s="917" t="s">
        <v>429</v>
      </c>
      <c r="BI314" s="213">
        <f t="shared" si="664"/>
        <v>3</v>
      </c>
      <c r="BJ314" s="213">
        <f t="shared" si="665"/>
        <v>3</v>
      </c>
      <c r="BK314" s="213">
        <f t="shared" si="666"/>
        <v>3</v>
      </c>
      <c r="BP314" s="137" t="s">
        <v>467</v>
      </c>
      <c r="BQ314" s="35" t="s">
        <v>467</v>
      </c>
      <c r="BR314" s="35">
        <f>MIN(BI325)</f>
        <v>2</v>
      </c>
      <c r="BS314" s="35">
        <f t="shared" ref="BS314:BT314" si="684">MIN(BJ325)</f>
        <v>2</v>
      </c>
      <c r="BT314" s="35">
        <f t="shared" si="684"/>
        <v>2</v>
      </c>
    </row>
    <row r="315" spans="4:72" ht="15.75" thickBot="1">
      <c r="D315" s="137"/>
      <c r="E315" s="508" t="s">
        <v>1011</v>
      </c>
      <c r="F315" s="622"/>
      <c r="G315" s="622"/>
      <c r="H315" s="623"/>
      <c r="BH315" s="917" t="s">
        <v>433</v>
      </c>
      <c r="BI315" s="213">
        <f t="shared" si="664"/>
        <v>0</v>
      </c>
      <c r="BJ315" s="213">
        <f t="shared" si="665"/>
        <v>0</v>
      </c>
      <c r="BK315" s="213">
        <f t="shared" si="666"/>
        <v>0</v>
      </c>
      <c r="BP315" s="137" t="s">
        <v>476</v>
      </c>
      <c r="BQ315" s="35" t="s">
        <v>476</v>
      </c>
      <c r="BR315" s="35">
        <f>MIN(BI326)</f>
        <v>4</v>
      </c>
      <c r="BS315" s="35">
        <f t="shared" ref="BS315:BT315" si="685">MIN(BJ326)</f>
        <v>4</v>
      </c>
      <c r="BT315" s="35">
        <f t="shared" si="685"/>
        <v>4</v>
      </c>
    </row>
    <row r="316" spans="4:72">
      <c r="D316" s="137"/>
      <c r="E316" s="508" t="s">
        <v>1011</v>
      </c>
      <c r="F316" s="622"/>
      <c r="G316" s="622"/>
      <c r="H316" s="623"/>
      <c r="BH316" s="54" t="s">
        <v>438</v>
      </c>
      <c r="BI316">
        <f t="shared" si="664"/>
        <v>3</v>
      </c>
      <c r="BJ316">
        <f t="shared" si="665"/>
        <v>3</v>
      </c>
      <c r="BK316">
        <f t="shared" si="666"/>
        <v>3</v>
      </c>
      <c r="BP316" s="137" t="s">
        <v>486</v>
      </c>
      <c r="BQ316" s="35" t="s">
        <v>486</v>
      </c>
      <c r="BR316" s="35">
        <f>MIN(BI327)</f>
        <v>3</v>
      </c>
      <c r="BS316" s="35">
        <f t="shared" ref="BS316:BT316" si="686">MIN(BJ327)</f>
        <v>3</v>
      </c>
      <c r="BT316" s="35">
        <f t="shared" si="686"/>
        <v>3</v>
      </c>
    </row>
    <row r="317" spans="4:72" ht="15.75" thickBot="1">
      <c r="D317" s="137"/>
      <c r="E317" s="508" t="s">
        <v>1011</v>
      </c>
      <c r="F317" s="622"/>
      <c r="G317" s="622"/>
      <c r="H317" s="623"/>
      <c r="BH317" s="917" t="s">
        <v>439</v>
      </c>
      <c r="BI317" s="213">
        <f t="shared" si="664"/>
        <v>3</v>
      </c>
      <c r="BJ317" s="213">
        <f t="shared" si="665"/>
        <v>3</v>
      </c>
      <c r="BK317" s="213">
        <f t="shared" si="666"/>
        <v>3</v>
      </c>
    </row>
    <row r="318" spans="4:72" ht="15.75" thickBot="1">
      <c r="D318" s="158"/>
      <c r="E318" s="513" t="s">
        <v>1011</v>
      </c>
      <c r="F318" s="626"/>
      <c r="G318" s="626"/>
      <c r="H318" s="627"/>
      <c r="BH318" s="54" t="s">
        <v>446</v>
      </c>
      <c r="BI318">
        <f t="shared" si="664"/>
        <v>2</v>
      </c>
      <c r="BJ318">
        <f t="shared" si="665"/>
        <v>2</v>
      </c>
      <c r="BK318">
        <f t="shared" si="666"/>
        <v>2</v>
      </c>
    </row>
    <row r="319" spans="4:72">
      <c r="D319" s="180"/>
      <c r="E319" s="147" t="s">
        <v>273</v>
      </c>
      <c r="F319" s="628">
        <v>1</v>
      </c>
      <c r="G319" s="628"/>
      <c r="H319" s="629"/>
      <c r="BH319" s="54" t="s">
        <v>448</v>
      </c>
      <c r="BI319">
        <f t="shared" si="664"/>
        <v>4</v>
      </c>
      <c r="BJ319">
        <f t="shared" si="665"/>
        <v>4</v>
      </c>
      <c r="BK319">
        <f t="shared" si="666"/>
        <v>4</v>
      </c>
    </row>
    <row r="320" spans="4:72">
      <c r="D320" s="137"/>
      <c r="E320" s="35" t="s">
        <v>1012</v>
      </c>
      <c r="F320" s="622">
        <v>0.5</v>
      </c>
      <c r="G320" s="622"/>
      <c r="H320" s="623"/>
      <c r="BH320" s="54" t="s">
        <v>449</v>
      </c>
      <c r="BI320">
        <f t="shared" si="664"/>
        <v>3</v>
      </c>
      <c r="BJ320">
        <f t="shared" si="665"/>
        <v>3</v>
      </c>
      <c r="BK320">
        <f t="shared" si="666"/>
        <v>3</v>
      </c>
    </row>
    <row r="321" spans="4:63" ht="15.75" thickBot="1">
      <c r="D321" s="159"/>
      <c r="E321" s="161" t="s">
        <v>275</v>
      </c>
      <c r="F321" s="624">
        <v>1</v>
      </c>
      <c r="G321" s="624"/>
      <c r="H321" s="625"/>
      <c r="BH321" s="917" t="s">
        <v>450</v>
      </c>
      <c r="BI321" s="213">
        <f t="shared" si="664"/>
        <v>3</v>
      </c>
      <c r="BJ321" s="213">
        <f t="shared" si="665"/>
        <v>3</v>
      </c>
      <c r="BK321" s="213">
        <f t="shared" si="666"/>
        <v>3</v>
      </c>
    </row>
    <row r="322" spans="4:63">
      <c r="D322" s="135"/>
      <c r="E322" s="512" t="s">
        <v>1011</v>
      </c>
      <c r="F322" s="620"/>
      <c r="G322" s="620"/>
      <c r="H322" s="621"/>
      <c r="BH322" s="54" t="s">
        <v>453</v>
      </c>
      <c r="BI322">
        <f t="shared" si="664"/>
        <v>3</v>
      </c>
      <c r="BJ322">
        <f t="shared" si="665"/>
        <v>3</v>
      </c>
      <c r="BK322">
        <f t="shared" si="666"/>
        <v>3</v>
      </c>
    </row>
    <row r="323" spans="4:63" ht="15.75" thickBot="1">
      <c r="D323" s="137"/>
      <c r="E323" s="508" t="s">
        <v>1011</v>
      </c>
      <c r="F323" s="622"/>
      <c r="G323" s="622"/>
      <c r="H323" s="623"/>
      <c r="BH323" s="917" t="s">
        <v>455</v>
      </c>
      <c r="BI323" s="213">
        <f t="shared" si="664"/>
        <v>9</v>
      </c>
      <c r="BJ323" s="213">
        <f t="shared" si="665"/>
        <v>9</v>
      </c>
      <c r="BK323" s="213">
        <f t="shared" si="666"/>
        <v>9</v>
      </c>
    </row>
    <row r="324" spans="4:63" ht="15.75" thickBot="1">
      <c r="D324" s="137"/>
      <c r="E324" s="508" t="s">
        <v>1011</v>
      </c>
      <c r="F324" s="622"/>
      <c r="G324" s="622"/>
      <c r="H324" s="623"/>
      <c r="BH324" s="918" t="s">
        <v>466</v>
      </c>
      <c r="BI324" s="208">
        <f t="shared" si="664"/>
        <v>3</v>
      </c>
      <c r="BJ324" s="208">
        <f t="shared" si="665"/>
        <v>3</v>
      </c>
      <c r="BK324" s="208">
        <f t="shared" si="666"/>
        <v>3</v>
      </c>
    </row>
    <row r="325" spans="4:63" ht="15.75" thickBot="1">
      <c r="D325" s="137"/>
      <c r="E325" s="35" t="str">
        <f>AIS_NA</f>
        <v>N/A</v>
      </c>
      <c r="F325" s="622">
        <v>1</v>
      </c>
      <c r="G325" s="622"/>
      <c r="H325" s="623"/>
      <c r="BH325" s="917" t="s">
        <v>470</v>
      </c>
      <c r="BI325" s="213">
        <f t="shared" si="664"/>
        <v>2</v>
      </c>
      <c r="BJ325" s="213">
        <f t="shared" si="665"/>
        <v>2</v>
      </c>
      <c r="BK325" s="213">
        <f t="shared" si="666"/>
        <v>2</v>
      </c>
    </row>
    <row r="326" spans="4:63" ht="15.75" thickBot="1">
      <c r="D326" s="159"/>
      <c r="E326" s="161" t="s">
        <v>127</v>
      </c>
      <c r="F326" s="624">
        <v>1</v>
      </c>
      <c r="G326" s="624"/>
      <c r="H326" s="625"/>
      <c r="BH326" s="917" t="s">
        <v>479</v>
      </c>
      <c r="BI326" s="213">
        <f t="shared" si="664"/>
        <v>4</v>
      </c>
      <c r="BJ326" s="213">
        <f t="shared" si="665"/>
        <v>4</v>
      </c>
      <c r="BK326" s="213">
        <f t="shared" si="666"/>
        <v>4</v>
      </c>
    </row>
    <row r="327" spans="4:63" ht="15.75" thickBot="1">
      <c r="BH327" s="917" t="s">
        <v>488</v>
      </c>
      <c r="BI327" s="213">
        <f t="shared" si="664"/>
        <v>3</v>
      </c>
      <c r="BJ327" s="213">
        <f t="shared" si="665"/>
        <v>3</v>
      </c>
      <c r="BK327" s="213">
        <f t="shared" si="666"/>
        <v>3</v>
      </c>
    </row>
    <row r="335" spans="4:63">
      <c r="E335" s="112" t="s">
        <v>1013</v>
      </c>
    </row>
    <row r="337" spans="5:71">
      <c r="E337" t="s">
        <v>1014</v>
      </c>
    </row>
    <row r="338" spans="5:71">
      <c r="E338" t="s">
        <v>1015</v>
      </c>
    </row>
    <row r="339" spans="5:71">
      <c r="E339" t="s">
        <v>1016</v>
      </c>
    </row>
    <row r="340" spans="5:71">
      <c r="E340" t="s">
        <v>1017</v>
      </c>
    </row>
    <row r="341" spans="5:71">
      <c r="E341" t="s">
        <v>1018</v>
      </c>
      <c r="BP341" t="s">
        <v>1019</v>
      </c>
      <c r="BR341" t="s">
        <v>1020</v>
      </c>
      <c r="BS341" t="str">
        <f>ADPT</f>
        <v>New Construction (fully fitted)</v>
      </c>
    </row>
    <row r="342" spans="5:71">
      <c r="E342" t="s">
        <v>1021</v>
      </c>
      <c r="BO342" s="878"/>
      <c r="BP342" s="878" t="s">
        <v>1022</v>
      </c>
      <c r="BQ342" s="878" t="s">
        <v>1023</v>
      </c>
      <c r="BR342" s="878" t="s">
        <v>1024</v>
      </c>
      <c r="BS342" s="878" t="s">
        <v>1025</v>
      </c>
    </row>
    <row r="343" spans="5:71">
      <c r="E343" t="s">
        <v>1026</v>
      </c>
      <c r="BO343" s="35" t="s">
        <v>1027</v>
      </c>
      <c r="BP343" s="877">
        <v>0.13</v>
      </c>
      <c r="BQ343" s="877">
        <v>0.13</v>
      </c>
      <c r="BR343" s="877">
        <v>0.13</v>
      </c>
      <c r="BS343" s="879">
        <f>IF($BS$341='Assessment Details'!$Q$12,Poeng!BQ343,IF(Poeng!$BS$341=ADPT02,Poeng!BR343,Poeng!BP343))</f>
        <v>0.13</v>
      </c>
    </row>
    <row r="344" spans="5:71">
      <c r="E344" t="s">
        <v>1028</v>
      </c>
      <c r="BO344" s="35" t="s">
        <v>251</v>
      </c>
      <c r="BP344" s="877">
        <v>0.16</v>
      </c>
      <c r="BQ344" s="877">
        <v>0.09</v>
      </c>
      <c r="BR344" s="877">
        <v>0.08</v>
      </c>
      <c r="BS344" s="879">
        <f>IF($BS$341='Assessment Details'!$Q$12,Poeng!BQ344,IF(Poeng!$BS$341=ADPT02,Poeng!BR344,Poeng!BP344))</f>
        <v>0.16</v>
      </c>
    </row>
    <row r="345" spans="5:71">
      <c r="E345" t="s">
        <v>1029</v>
      </c>
      <c r="BO345" s="35" t="s">
        <v>286</v>
      </c>
      <c r="BP345" s="877">
        <v>0.14000000000000001</v>
      </c>
      <c r="BQ345" s="877">
        <v>0.12</v>
      </c>
      <c r="BR345" s="877">
        <v>7.0000000000000007E-2</v>
      </c>
      <c r="BS345" s="879">
        <f>IF($BS$341='Assessment Details'!$Q$12,Poeng!BQ345,IF(Poeng!$BS$341=ADPT02,Poeng!BR345,Poeng!BP345))</f>
        <v>0.14000000000000001</v>
      </c>
    </row>
    <row r="346" spans="5:71">
      <c r="E346" t="s">
        <v>1030</v>
      </c>
      <c r="BO346" s="35" t="s">
        <v>332</v>
      </c>
      <c r="BP346" s="877">
        <v>0.1</v>
      </c>
      <c r="BQ346" s="877">
        <v>0.12</v>
      </c>
      <c r="BR346" s="877">
        <v>0.15</v>
      </c>
      <c r="BS346" s="879">
        <f>IF($BS$341='Assessment Details'!$Q$12,Poeng!BQ346,IF(Poeng!$BS$341=ADPT02,Poeng!BR346,Poeng!BP346))</f>
        <v>0.1</v>
      </c>
    </row>
    <row r="347" spans="5:71">
      <c r="E347" t="s">
        <v>1031</v>
      </c>
      <c r="BO347" s="35" t="s">
        <v>373</v>
      </c>
      <c r="BP347" s="877">
        <v>0.04</v>
      </c>
      <c r="BQ347" s="877">
        <v>0.04</v>
      </c>
      <c r="BR347" s="877">
        <v>0.01</v>
      </c>
      <c r="BS347" s="879">
        <f>IF($BS$341='Assessment Details'!$Q$12,Poeng!BQ347,IF(Poeng!$BS$341=ADPT02,Poeng!BR347,Poeng!BP347))</f>
        <v>0.04</v>
      </c>
    </row>
    <row r="348" spans="5:71">
      <c r="E348" t="s">
        <v>1032</v>
      </c>
      <c r="BO348" s="35" t="s">
        <v>385</v>
      </c>
      <c r="BP348" s="877">
        <v>0.17</v>
      </c>
      <c r="BQ348" s="877">
        <v>0.2</v>
      </c>
      <c r="BR348" s="877">
        <v>0.24</v>
      </c>
      <c r="BS348" s="879">
        <f>IF($BS$341='Assessment Details'!$Q$12,Poeng!BQ348,IF(Poeng!$BS$341=ADPT02,Poeng!BR348,Poeng!BP348))</f>
        <v>0.17</v>
      </c>
    </row>
    <row r="349" spans="5:71">
      <c r="BO349" s="35" t="s">
        <v>408</v>
      </c>
      <c r="BP349" s="877">
        <v>7.0000000000000007E-2</v>
      </c>
      <c r="BQ349" s="877">
        <v>0.08</v>
      </c>
      <c r="BR349" s="877">
        <v>0.09</v>
      </c>
      <c r="BS349" s="879">
        <f>IF($BS$341='Assessment Details'!$Q$12,Poeng!BQ349,IF(Poeng!$BS$341=ADPT02,Poeng!BR349,Poeng!BP349))</f>
        <v>7.0000000000000007E-2</v>
      </c>
    </row>
    <row r="350" spans="5:71">
      <c r="BO350" s="35" t="s">
        <v>442</v>
      </c>
      <c r="BP350" s="877">
        <v>0.15</v>
      </c>
      <c r="BQ350" s="877">
        <v>0.17</v>
      </c>
      <c r="BR350" s="877">
        <v>0.21</v>
      </c>
      <c r="BS350" s="879">
        <f>IF($BS$341='Assessment Details'!$Q$12,Poeng!BQ350,IF(Poeng!$BS$341=ADPT02,Poeng!BR350,Poeng!BP350))</f>
        <v>0.15</v>
      </c>
    </row>
    <row r="351" spans="5:71">
      <c r="BO351" s="35" t="s">
        <v>461</v>
      </c>
      <c r="BP351" s="877">
        <v>0.04</v>
      </c>
      <c r="BQ351" s="877">
        <v>0.05</v>
      </c>
      <c r="BR351" s="877">
        <v>0.02</v>
      </c>
      <c r="BS351" s="879">
        <f>IF($BS$341='Assessment Details'!$Q$12,Poeng!BQ351,IF(Poeng!$BS$341=ADPT02,Poeng!BR351,Poeng!BP351))</f>
        <v>0.04</v>
      </c>
    </row>
    <row r="352" spans="5:71">
      <c r="BO352" s="35" t="s">
        <v>499</v>
      </c>
      <c r="BP352" s="877">
        <v>0.1</v>
      </c>
      <c r="BQ352" s="877">
        <v>0.1</v>
      </c>
      <c r="BR352" s="877">
        <v>0.1</v>
      </c>
      <c r="BS352" s="879">
        <f>IF($BS$341='Assessment Details'!$Q$12,Poeng!BQ352,IF(Poeng!$BS$341=ADPT02,Poeng!BR352,Poeng!BP352))</f>
        <v>0.1</v>
      </c>
    </row>
    <row r="353" spans="9:71">
      <c r="BO353" s="35" t="s">
        <v>1033</v>
      </c>
      <c r="BP353" s="877">
        <v>0.1</v>
      </c>
      <c r="BQ353" s="877">
        <v>0.1</v>
      </c>
      <c r="BR353" s="877">
        <v>0.1</v>
      </c>
      <c r="BS353" s="879">
        <f>IF($BS$341='Assessment Details'!$Q$12,Poeng!BQ353,IF(Poeng!$BS$341=ADPT02,Poeng!BR353,Poeng!BP353))</f>
        <v>0.1</v>
      </c>
    </row>
    <row r="360" spans="9:71">
      <c r="I360" t="s">
        <v>689</v>
      </c>
    </row>
    <row r="361" spans="9:71">
      <c r="I361" t="s">
        <v>813</v>
      </c>
    </row>
    <row r="362" spans="9:71">
      <c r="I362" t="s">
        <v>689</v>
      </c>
    </row>
    <row r="363" spans="9:71">
      <c r="I363" t="s">
        <v>815</v>
      </c>
    </row>
    <row r="364" spans="9:71">
      <c r="I364" t="s">
        <v>691</v>
      </c>
    </row>
    <row r="365" spans="9:71">
      <c r="I365" t="s">
        <v>817</v>
      </c>
    </row>
    <row r="366" spans="9:71">
      <c r="I366" t="s">
        <v>818</v>
      </c>
    </row>
    <row r="367" spans="9:71">
      <c r="I367" t="s">
        <v>1034</v>
      </c>
    </row>
    <row r="368" spans="9:71">
      <c r="I368" t="s">
        <v>820</v>
      </c>
    </row>
    <row r="369" spans="9:9">
      <c r="I369" t="s">
        <v>821</v>
      </c>
    </row>
    <row r="370" spans="9:9">
      <c r="I370" t="s">
        <v>695</v>
      </c>
    </row>
    <row r="371" spans="9:9">
      <c r="I371" t="s">
        <v>823</v>
      </c>
    </row>
    <row r="372" spans="9:9">
      <c r="I372" t="s">
        <v>824</v>
      </c>
    </row>
  </sheetData>
  <sheetProtection algorithmName="SHA-512" hashValue="TSVoqkX4YNDwFvQocZsybXSBo5eOq5WShkBeeTNjqOKpKOB+A7LRyhVgOxJXZLlylxq1Og7ejo7pc7ewtg/t7Q==" saltValue="zYy7aH1DA5YjYObkMs1w8A==" spinCount="100000" sheet="1" selectLockedCells="1"/>
  <autoFilter ref="A8:CL278" xr:uid="{00000000-0001-0000-03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20" showButton="0"/>
    <filterColumn colId="21" showButton="0"/>
    <filterColumn colId="22" showButton="0"/>
    <filterColumn colId="23" showButton="0"/>
    <filterColumn colId="24" showButton="0"/>
    <filterColumn colId="38" showButton="0"/>
    <filterColumn colId="39" showButton="0"/>
    <filterColumn colId="40" showButton="0"/>
    <filterColumn colId="41" showButton="0"/>
    <filterColumn colId="44" showButton="0"/>
    <filterColumn colId="45" showButton="0"/>
    <filterColumn colId="46" showButton="0"/>
    <filterColumn colId="47" showButton="0"/>
    <filterColumn colId="50" showButton="0"/>
    <filterColumn colId="51"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6" showButton="0"/>
    <filterColumn colId="67" showButton="0"/>
  </autoFilter>
  <sortState xmlns:xlrd2="http://schemas.microsoft.com/office/spreadsheetml/2017/richdata2" ref="E311:F394">
    <sortCondition ref="F311:F394"/>
  </sortState>
  <mergeCells count="14">
    <mergeCell ref="AX260:BC260"/>
    <mergeCell ref="AE7:AG7"/>
    <mergeCell ref="AX261:BC261"/>
    <mergeCell ref="AX262:BC262"/>
    <mergeCell ref="F8:R8"/>
    <mergeCell ref="U8:Z8"/>
    <mergeCell ref="AM8:AQ8"/>
    <mergeCell ref="AS8:AW8"/>
    <mergeCell ref="AY8:BC8"/>
    <mergeCell ref="BO8:BQ8"/>
    <mergeCell ref="BJ8:BL8"/>
    <mergeCell ref="BD8:BF8"/>
    <mergeCell ref="BG8:BI8"/>
    <mergeCell ref="AX259:BC259"/>
  </mergeCells>
  <phoneticPr fontId="49"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N306"/>
  <sheetViews>
    <sheetView topLeftCell="A89" zoomScaleNormal="100" workbookViewId="0">
      <selection activeCell="J66" sqref="J66"/>
    </sheetView>
  </sheetViews>
  <sheetFormatPr defaultColWidth="9.140625" defaultRowHeight="15"/>
  <cols>
    <col min="1" max="1" width="3" style="347" customWidth="1"/>
    <col min="2" max="2" width="23.28515625" style="347" customWidth="1"/>
    <col min="3" max="3" width="11" style="347" customWidth="1"/>
    <col min="4" max="4" width="9.7109375" style="347" customWidth="1"/>
    <col min="5" max="5" width="11.28515625" style="347" customWidth="1"/>
    <col min="6" max="6" width="10.28515625" style="347" customWidth="1"/>
    <col min="7" max="7" width="10.5703125" style="347" customWidth="1"/>
    <col min="8" max="8" width="11" style="347" customWidth="1"/>
    <col min="9" max="9" width="11.140625" style="347" customWidth="1"/>
    <col min="10" max="10" width="13" style="347" customWidth="1"/>
    <col min="11" max="11" width="16.5703125" style="347" customWidth="1"/>
    <col min="12" max="12" width="13.28515625" style="347" customWidth="1"/>
    <col min="13" max="13" width="15" style="347" customWidth="1"/>
    <col min="14" max="14" width="13.5703125" style="347" customWidth="1"/>
    <col min="15" max="15" width="13.140625" style="347" customWidth="1"/>
    <col min="16" max="16" width="8" style="347" customWidth="1"/>
    <col min="17" max="17" width="16.5703125" style="347" customWidth="1"/>
    <col min="18" max="19" width="9.140625" style="347" customWidth="1"/>
    <col min="20" max="32" width="9.140625" style="347" hidden="1" customWidth="1"/>
    <col min="33" max="42" width="9.140625" style="347" customWidth="1"/>
    <col min="43" max="16384" width="9.140625" style="347"/>
  </cols>
  <sheetData>
    <row r="1" spans="1:40">
      <c r="A1" s="346"/>
      <c r="B1" s="346"/>
      <c r="C1" s="346"/>
      <c r="D1" s="346"/>
      <c r="E1" s="346"/>
      <c r="F1" s="346"/>
      <c r="G1" s="346"/>
      <c r="H1" s="346"/>
      <c r="I1" s="346"/>
      <c r="J1" s="346"/>
      <c r="K1" s="346"/>
      <c r="L1" s="346"/>
      <c r="M1" s="346"/>
      <c r="N1" s="346"/>
      <c r="O1" s="346"/>
      <c r="P1" s="346"/>
      <c r="Q1" s="346"/>
      <c r="R1" s="346"/>
      <c r="S1" s="346"/>
    </row>
    <row r="2" spans="1:40" ht="42" customHeight="1">
      <c r="A2" s="346"/>
      <c r="B2" s="568" t="s">
        <v>1035</v>
      </c>
      <c r="C2" s="568"/>
      <c r="D2" s="568"/>
      <c r="E2" s="568"/>
      <c r="F2" s="568"/>
      <c r="G2" s="568"/>
      <c r="H2" s="1131"/>
      <c r="I2" s="1131"/>
      <c r="J2" s="1131"/>
      <c r="K2" s="1131"/>
      <c r="L2" s="310"/>
      <c r="M2" s="1131"/>
      <c r="N2" s="487" t="str">
        <f>IF('Manuell filtrering og justering'!I2='Manuell filtrering og justering'!J2,"Bespoke","")</f>
        <v/>
      </c>
      <c r="O2" s="487" t="str">
        <f>IF('Manuell filtrering og justering'!J2='Manuell filtrering og justering'!K2,"Bespoke","")</f>
        <v/>
      </c>
      <c r="P2" s="310"/>
      <c r="Q2" s="346"/>
      <c r="R2" s="346"/>
      <c r="S2" s="346"/>
    </row>
    <row r="3" spans="1:40" ht="15" customHeight="1">
      <c r="A3" s="346"/>
      <c r="B3" s="1132"/>
      <c r="C3" s="346"/>
      <c r="D3" s="346"/>
      <c r="E3" s="346"/>
      <c r="F3" s="346"/>
      <c r="G3" s="346"/>
      <c r="H3" s="346"/>
      <c r="I3" s="346"/>
      <c r="J3" s="346"/>
      <c r="K3" s="346"/>
      <c r="L3" s="346"/>
      <c r="M3" s="346"/>
      <c r="N3" s="391"/>
      <c r="O3" s="346"/>
      <c r="P3" s="346"/>
      <c r="Q3" s="346"/>
      <c r="R3" s="346"/>
      <c r="S3" s="346"/>
    </row>
    <row r="4" spans="1:40" ht="18.75">
      <c r="A4" s="346"/>
      <c r="B4" s="392" t="s">
        <v>1036</v>
      </c>
      <c r="C4" s="1133"/>
      <c r="D4" s="1134"/>
      <c r="E4" s="1134"/>
      <c r="F4" s="1134"/>
      <c r="G4" s="1134"/>
      <c r="H4" s="1134"/>
      <c r="I4" s="1134"/>
      <c r="J4" s="1134"/>
      <c r="K4" s="1134"/>
      <c r="L4" s="1134"/>
      <c r="M4" s="1134"/>
      <c r="N4" s="1134"/>
      <c r="O4" s="1134"/>
      <c r="P4" s="1134"/>
      <c r="Q4" s="346"/>
      <c r="R4" s="346"/>
      <c r="S4" s="346"/>
    </row>
    <row r="5" spans="1:40">
      <c r="A5" s="346"/>
      <c r="B5" s="346"/>
      <c r="C5" s="346"/>
      <c r="D5" s="346"/>
      <c r="E5" s="346"/>
      <c r="F5" s="346"/>
      <c r="G5" s="346"/>
      <c r="H5" s="346"/>
      <c r="I5" s="346"/>
      <c r="J5" s="346"/>
      <c r="K5" s="346"/>
      <c r="L5" s="346"/>
      <c r="M5" s="346"/>
      <c r="N5" s="346"/>
      <c r="O5" s="346"/>
      <c r="P5" s="346"/>
      <c r="Q5" s="346"/>
      <c r="R5" s="346"/>
      <c r="S5" s="346"/>
    </row>
    <row r="6" spans="1:40" ht="15.75">
      <c r="A6" s="346"/>
      <c r="B6" s="348"/>
      <c r="C6" s="1135" t="s">
        <v>94</v>
      </c>
      <c r="D6" s="1136" t="str">
        <f>IF(ADBN="","",ADBN)</f>
        <v/>
      </c>
      <c r="E6" s="349"/>
      <c r="F6" s="349"/>
      <c r="G6" s="349"/>
      <c r="H6" s="349"/>
      <c r="I6" s="350"/>
      <c r="J6" s="355"/>
      <c r="K6" s="351"/>
      <c r="L6" s="352"/>
      <c r="M6" s="351" t="str">
        <f>"Pre-Assessment Estimator Version: "&amp;TVC_current_version&amp;". Date: "</f>
        <v xml:space="preserve">Pre-Assessment Estimator Version: 1.6. Date: </v>
      </c>
      <c r="N6" s="353">
        <f>TVC_current_date</f>
        <v>45033</v>
      </c>
      <c r="O6" s="346"/>
      <c r="P6" s="346"/>
      <c r="Q6" s="346"/>
      <c r="R6" s="346"/>
      <c r="S6" s="346"/>
    </row>
    <row r="7" spans="1:40">
      <c r="A7" s="346"/>
      <c r="B7" s="355"/>
      <c r="C7" s="355"/>
      <c r="D7" s="355"/>
      <c r="E7" s="355"/>
      <c r="F7" s="355"/>
      <c r="G7" s="355"/>
      <c r="H7" s="355"/>
      <c r="I7" s="355"/>
      <c r="J7" s="355"/>
      <c r="K7" s="355"/>
      <c r="L7" s="346"/>
      <c r="M7" s="346"/>
      <c r="N7" s="346"/>
      <c r="O7" s="346"/>
      <c r="P7" s="346"/>
      <c r="Q7" s="346"/>
      <c r="R7" s="346"/>
      <c r="S7" s="346"/>
    </row>
    <row r="8" spans="1:40" ht="15.75">
      <c r="A8" s="346"/>
      <c r="B8" s="354"/>
      <c r="C8" s="22"/>
      <c r="D8" s="1081" t="s">
        <v>224</v>
      </c>
      <c r="E8" s="1082"/>
      <c r="F8" s="1073" t="s">
        <v>1037</v>
      </c>
      <c r="G8" s="1074"/>
      <c r="H8" s="1073" t="s">
        <v>1038</v>
      </c>
      <c r="I8" s="1074"/>
      <c r="J8" s="355"/>
      <c r="K8" s="355"/>
      <c r="L8" s="346"/>
      <c r="M8" s="346"/>
      <c r="N8" s="346"/>
      <c r="O8" s="346"/>
      <c r="P8" s="346"/>
      <c r="Q8" s="346"/>
      <c r="R8" s="346"/>
      <c r="S8" s="346"/>
    </row>
    <row r="9" spans="1:40" ht="15.75">
      <c r="A9" s="355"/>
      <c r="B9" s="1137"/>
      <c r="C9" s="1138" t="s">
        <v>1039</v>
      </c>
      <c r="D9" s="1091" t="s">
        <v>123</v>
      </c>
      <c r="E9" s="1091"/>
      <c r="F9" s="1091" t="s">
        <v>123</v>
      </c>
      <c r="G9" s="1091"/>
      <c r="H9" s="1091" t="s">
        <v>123</v>
      </c>
      <c r="I9" s="1091"/>
      <c r="J9" s="355"/>
      <c r="K9" s="355"/>
      <c r="L9" s="355"/>
      <c r="M9" s="355"/>
      <c r="N9" s="355"/>
      <c r="O9" s="355"/>
      <c r="P9" s="355"/>
      <c r="Q9" s="355"/>
      <c r="Z9" s="1139"/>
      <c r="AA9" s="1139"/>
      <c r="AB9" s="1139"/>
      <c r="AC9" s="1139"/>
      <c r="AD9" s="1139"/>
      <c r="AE9" s="1139"/>
      <c r="AF9" s="1139"/>
      <c r="AG9" s="1139"/>
      <c r="AH9" s="1139"/>
      <c r="AI9" s="1139"/>
      <c r="AJ9" s="1139"/>
      <c r="AK9" s="1139"/>
      <c r="AL9" s="1139"/>
      <c r="AM9" s="1139"/>
      <c r="AN9" s="1139"/>
    </row>
    <row r="10" spans="1:40" ht="15.75">
      <c r="A10" s="346"/>
      <c r="B10" s="1140"/>
      <c r="C10" s="1141" t="s">
        <v>229</v>
      </c>
      <c r="D10" s="1083" t="str">
        <f>BP_BREEAMRating</f>
        <v>Unclassified</v>
      </c>
      <c r="E10" s="1084"/>
      <c r="F10" s="1075" t="str">
        <f>Poeng!BH264</f>
        <v>Unclassified</v>
      </c>
      <c r="G10" s="1076"/>
      <c r="H10" s="1075" t="str">
        <f>Poeng!BK264</f>
        <v>Unclassified</v>
      </c>
      <c r="I10" s="1076"/>
      <c r="J10" s="355"/>
      <c r="K10" s="355" t="str">
        <f>IF(OR(Poeng!BF264=1,Poeng!BI264=1,Poeng!BL264=1),Poeng!AX269,"")</f>
        <v/>
      </c>
      <c r="L10" s="355"/>
      <c r="M10" s="355"/>
      <c r="N10" s="355"/>
      <c r="O10" s="355"/>
      <c r="P10" s="355"/>
      <c r="Q10" s="355"/>
      <c r="Z10" s="1142"/>
      <c r="AA10" s="1142"/>
      <c r="AB10" s="1142"/>
      <c r="AC10" s="1142"/>
      <c r="AD10" s="1142"/>
      <c r="AE10" s="1142"/>
      <c r="AF10" s="1142"/>
      <c r="AG10" s="1142"/>
      <c r="AH10" s="1142"/>
      <c r="AI10" s="1142"/>
      <c r="AJ10" s="1142"/>
      <c r="AK10" s="1142"/>
      <c r="AL10" s="1142"/>
      <c r="AM10" s="1142"/>
      <c r="AN10" s="1142"/>
    </row>
    <row r="11" spans="1:40" ht="18" customHeight="1">
      <c r="A11" s="346"/>
      <c r="B11" s="1143"/>
      <c r="C11" s="1144" t="s">
        <v>231</v>
      </c>
      <c r="D11" s="1085">
        <f>Score_Initial</f>
        <v>0</v>
      </c>
      <c r="E11" s="1086"/>
      <c r="F11" s="1077">
        <f>Poeng!BG262</f>
        <v>0</v>
      </c>
      <c r="G11" s="1078"/>
      <c r="H11" s="1077">
        <f>Poeng!BJ262</f>
        <v>0</v>
      </c>
      <c r="I11" s="1078"/>
      <c r="J11" s="355"/>
      <c r="K11" s="355"/>
      <c r="L11" s="355"/>
      <c r="M11" s="355"/>
      <c r="N11" s="355"/>
      <c r="O11" s="355"/>
      <c r="P11" s="355"/>
      <c r="Q11" s="355"/>
      <c r="Z11" s="1142"/>
      <c r="AA11" s="1142"/>
      <c r="AB11" s="1142"/>
      <c r="AC11" s="1142"/>
      <c r="AD11" s="1142"/>
      <c r="AE11" s="1142"/>
      <c r="AF11" s="1142"/>
      <c r="AG11" s="1142"/>
      <c r="AH11" s="1142"/>
      <c r="AI11" s="1142"/>
      <c r="AJ11" s="1142"/>
      <c r="AK11" s="1142"/>
      <c r="AL11" s="1142"/>
      <c r="AM11" s="1142"/>
      <c r="AN11" s="1142"/>
    </row>
    <row r="12" spans="1:40" ht="18" customHeight="1">
      <c r="A12" s="346"/>
      <c r="B12" s="1145"/>
      <c r="C12" s="882" t="s">
        <v>232</v>
      </c>
      <c r="D12" s="1085" t="str">
        <f>BP_MinStandards</f>
        <v>Unclassified</v>
      </c>
      <c r="E12" s="1086"/>
      <c r="F12" s="1077" t="str">
        <f>Poeng!BH259</f>
        <v>Unclassified</v>
      </c>
      <c r="G12" s="1078"/>
      <c r="H12" s="1077" t="str">
        <f>Poeng!BK259</f>
        <v>Unclassified</v>
      </c>
      <c r="I12" s="1078"/>
      <c r="J12" s="355"/>
      <c r="K12" s="355"/>
      <c r="L12" s="355"/>
      <c r="M12" s="355"/>
      <c r="N12" s="355"/>
      <c r="O12" s="355"/>
      <c r="P12" s="355"/>
      <c r="Q12" s="355"/>
      <c r="Z12" s="1142"/>
      <c r="AA12" s="1142"/>
      <c r="AB12" s="1142"/>
      <c r="AC12" s="1142"/>
      <c r="AD12" s="1142"/>
      <c r="AE12" s="1142"/>
      <c r="AF12" s="1142"/>
      <c r="AG12" s="1142"/>
      <c r="AH12" s="1142"/>
      <c r="AI12" s="1142"/>
      <c r="AJ12" s="1142"/>
      <c r="AK12" s="1142"/>
      <c r="AL12" s="1142"/>
      <c r="AM12" s="1142"/>
      <c r="AN12" s="1142"/>
    </row>
    <row r="13" spans="1:40" ht="15.75">
      <c r="A13" s="346"/>
      <c r="B13" s="1146"/>
      <c r="C13" s="889" t="str">
        <f>'Pre-Assessment Estimator'!G7</f>
        <v xml:space="preserve">Requirements for EU taxonomy </v>
      </c>
      <c r="D13" s="1087" t="str">
        <f>Poeng!BR258</f>
        <v>No</v>
      </c>
      <c r="E13" s="1088"/>
      <c r="F13" s="1079" t="str">
        <f>Poeng!BS258</f>
        <v>No</v>
      </c>
      <c r="G13" s="1080"/>
      <c r="H13" s="1079" t="str">
        <f>Poeng!BT258</f>
        <v>No</v>
      </c>
      <c r="I13" s="1080"/>
      <c r="J13" s="355"/>
      <c r="K13" s="355"/>
      <c r="L13" s="355"/>
      <c r="M13" s="355"/>
      <c r="N13" s="355"/>
      <c r="O13" s="355"/>
      <c r="P13" s="355"/>
      <c r="Q13" s="355"/>
      <c r="Z13" s="1142"/>
      <c r="AA13" s="1142"/>
      <c r="AB13" s="1142"/>
      <c r="AC13" s="1142"/>
      <c r="AD13" s="1142"/>
      <c r="AE13" s="1142"/>
      <c r="AF13" s="1142"/>
      <c r="AG13" s="1142"/>
      <c r="AH13" s="1142"/>
      <c r="AI13" s="1142"/>
      <c r="AJ13" s="1142"/>
      <c r="AK13" s="1142"/>
      <c r="AL13" s="1142"/>
      <c r="AM13" s="1142"/>
      <c r="AN13" s="1142"/>
    </row>
    <row r="14" spans="1:40" ht="42" customHeight="1">
      <c r="A14" s="346"/>
      <c r="B14" s="392" t="s">
        <v>1040</v>
      </c>
      <c r="C14" s="1133"/>
      <c r="D14" s="1134"/>
      <c r="E14" s="1134"/>
      <c r="F14" s="1134"/>
      <c r="G14" s="1134"/>
      <c r="H14" s="1134"/>
      <c r="I14" s="392" t="s">
        <v>232</v>
      </c>
      <c r="J14" s="1134"/>
      <c r="K14" s="1134"/>
      <c r="L14" s="566"/>
      <c r="M14" s="1134"/>
      <c r="N14" s="1134"/>
      <c r="O14" s="384"/>
      <c r="P14" s="384"/>
      <c r="Q14" s="346"/>
      <c r="R14" s="346"/>
      <c r="S14" s="346"/>
    </row>
    <row r="15" spans="1:40" ht="15" customHeight="1">
      <c r="A15" s="346"/>
      <c r="B15" s="356"/>
      <c r="C15" s="356"/>
      <c r="D15" s="356"/>
      <c r="E15" s="356"/>
      <c r="F15" s="356"/>
      <c r="G15" s="356"/>
      <c r="H15" s="356"/>
      <c r="I15" s="356"/>
      <c r="J15" s="356"/>
      <c r="K15" s="355"/>
      <c r="L15" s="346"/>
      <c r="M15" s="346"/>
      <c r="N15" s="346"/>
      <c r="O15" s="346"/>
      <c r="P15" s="346"/>
      <c r="Q15" s="346"/>
      <c r="R15" s="346"/>
      <c r="S15" s="346"/>
    </row>
    <row r="16" spans="1:40" ht="15" customHeight="1">
      <c r="A16" s="346"/>
      <c r="B16" s="346"/>
      <c r="C16" s="346"/>
      <c r="D16" s="346"/>
      <c r="E16" s="346"/>
      <c r="F16" s="346"/>
      <c r="G16" s="346"/>
      <c r="H16" s="346"/>
      <c r="I16" s="346"/>
      <c r="J16" s="346"/>
      <c r="K16" s="355"/>
      <c r="L16" s="346"/>
      <c r="M16" s="346"/>
      <c r="N16" s="346"/>
      <c r="O16" s="346"/>
      <c r="P16" s="346"/>
      <c r="Q16" s="346"/>
      <c r="R16" s="346"/>
      <c r="S16" s="346"/>
    </row>
    <row r="17" spans="1:32" ht="15" customHeight="1">
      <c r="A17" s="346"/>
      <c r="B17" s="346"/>
      <c r="C17" s="346"/>
      <c r="D17" s="346"/>
      <c r="E17" s="346"/>
      <c r="F17" s="346"/>
      <c r="G17" s="346"/>
      <c r="H17" s="346"/>
      <c r="I17" s="346"/>
      <c r="J17" s="346"/>
      <c r="K17" s="355"/>
      <c r="L17" s="346"/>
      <c r="M17" s="346"/>
      <c r="N17" s="346"/>
      <c r="O17" s="346"/>
      <c r="P17" s="346"/>
      <c r="Q17" s="346"/>
      <c r="R17" s="346"/>
      <c r="S17" s="346"/>
    </row>
    <row r="18" spans="1:32" ht="15" customHeight="1">
      <c r="A18" s="346"/>
      <c r="B18" s="346"/>
      <c r="C18" s="346"/>
      <c r="D18" s="346"/>
      <c r="E18" s="346"/>
      <c r="F18" s="346"/>
      <c r="G18" s="346"/>
      <c r="H18" s="346"/>
      <c r="I18" s="346"/>
      <c r="J18" s="346"/>
      <c r="K18" s="355"/>
      <c r="L18" s="346"/>
      <c r="M18" s="346"/>
      <c r="N18" s="346"/>
      <c r="O18" s="346"/>
      <c r="P18" s="355"/>
      <c r="Q18" s="346"/>
      <c r="R18" s="346"/>
      <c r="S18" s="346"/>
    </row>
    <row r="19" spans="1:32" ht="15" customHeight="1">
      <c r="A19" s="346"/>
      <c r="B19" s="346"/>
      <c r="C19" s="346"/>
      <c r="D19" s="346"/>
      <c r="E19" s="346"/>
      <c r="F19" s="346"/>
      <c r="G19" s="346"/>
      <c r="H19" s="346"/>
      <c r="I19" s="346"/>
      <c r="J19" s="346"/>
      <c r="K19" s="355"/>
      <c r="L19" s="346"/>
      <c r="M19" s="346"/>
      <c r="N19" s="346"/>
      <c r="O19" s="346"/>
      <c r="P19" s="355"/>
      <c r="Q19" s="346"/>
      <c r="R19" s="346"/>
      <c r="S19" s="346"/>
    </row>
    <row r="20" spans="1:32" ht="15" customHeight="1">
      <c r="A20" s="346"/>
      <c r="B20" s="346"/>
      <c r="C20" s="346"/>
      <c r="D20" s="346"/>
      <c r="E20" s="346"/>
      <c r="F20" s="346"/>
      <c r="G20" s="346"/>
      <c r="H20" s="346"/>
      <c r="I20" s="346"/>
      <c r="J20" s="346"/>
      <c r="K20" s="355"/>
      <c r="L20" s="346"/>
      <c r="M20" s="346"/>
      <c r="N20" s="346"/>
      <c r="O20" s="346"/>
      <c r="P20" s="355"/>
      <c r="Q20" s="346"/>
      <c r="R20" s="346"/>
      <c r="S20" s="346"/>
    </row>
    <row r="21" spans="1:32" ht="15" customHeight="1" thickBot="1">
      <c r="A21" s="346"/>
      <c r="B21" s="346"/>
      <c r="C21" s="346"/>
      <c r="D21" s="346"/>
      <c r="E21" s="346"/>
      <c r="F21" s="346"/>
      <c r="G21" s="346"/>
      <c r="H21" s="346"/>
      <c r="I21" s="346"/>
      <c r="J21" s="346"/>
      <c r="K21" s="355"/>
      <c r="L21" s="346"/>
      <c r="M21" s="346"/>
      <c r="N21" s="346"/>
      <c r="O21" s="346"/>
      <c r="P21" s="355"/>
      <c r="Q21" s="346"/>
      <c r="R21" s="346"/>
      <c r="S21" s="346"/>
    </row>
    <row r="22" spans="1:32" ht="15" customHeight="1">
      <c r="A22" s="346"/>
      <c r="B22" s="346"/>
      <c r="C22" s="346"/>
      <c r="D22" s="346"/>
      <c r="E22" s="346"/>
      <c r="F22" s="346"/>
      <c r="G22" s="346"/>
      <c r="H22" s="346"/>
      <c r="I22" s="346"/>
      <c r="J22" s="346"/>
      <c r="K22" s="355"/>
      <c r="L22" s="346"/>
      <c r="M22" s="346"/>
      <c r="N22" s="346"/>
      <c r="O22" s="346"/>
      <c r="P22" s="355"/>
      <c r="Q22" s="346"/>
      <c r="R22" s="346"/>
      <c r="S22" s="346"/>
      <c r="AB22" s="357"/>
      <c r="AC22" s="358" t="s">
        <v>1041</v>
      </c>
      <c r="AD22" s="358" t="str">
        <f>D34</f>
        <v>Initial target setting</v>
      </c>
      <c r="AE22" s="358" t="str">
        <f>F34</f>
        <v>Design phase</v>
      </c>
      <c r="AF22" s="359" t="str">
        <f>H34</f>
        <v>Construction phase</v>
      </c>
    </row>
    <row r="23" spans="1:32" ht="15" customHeight="1">
      <c r="A23" s="346"/>
      <c r="B23" s="346"/>
      <c r="C23" s="346"/>
      <c r="D23" s="346"/>
      <c r="E23" s="346"/>
      <c r="F23" s="346"/>
      <c r="G23" s="346"/>
      <c r="H23" s="346"/>
      <c r="I23" s="346"/>
      <c r="J23" s="346"/>
      <c r="K23" s="355"/>
      <c r="L23" s="346"/>
      <c r="M23" s="346"/>
      <c r="N23" s="346"/>
      <c r="O23" s="346"/>
      <c r="P23" s="355"/>
      <c r="Q23" s="346"/>
      <c r="R23" s="346"/>
      <c r="S23" s="346"/>
      <c r="AB23" s="360" t="s">
        <v>1042</v>
      </c>
      <c r="AC23" s="361">
        <f>Man_Weight</f>
        <v>0.13</v>
      </c>
      <c r="AD23" s="361">
        <f t="shared" ref="AD23:AD32" si="0">IF(D$9=$AA$36,K36,"")</f>
        <v>0</v>
      </c>
      <c r="AE23" s="361">
        <f t="shared" ref="AE23:AE32" si="1">IF(F$9=$AA$36,L36,"")</f>
        <v>0</v>
      </c>
      <c r="AF23" s="362">
        <f t="shared" ref="AF23:AF32" si="2">IF(H$9=$AA$36,M36,"")</f>
        <v>0</v>
      </c>
    </row>
    <row r="24" spans="1:32" ht="15" customHeight="1">
      <c r="A24" s="346"/>
      <c r="B24" s="346"/>
      <c r="C24" s="346"/>
      <c r="D24" s="346"/>
      <c r="E24" s="346"/>
      <c r="F24" s="346"/>
      <c r="G24" s="346"/>
      <c r="H24" s="346"/>
      <c r="I24" s="346"/>
      <c r="J24" s="346"/>
      <c r="K24" s="355"/>
      <c r="L24" s="346"/>
      <c r="M24" s="346"/>
      <c r="N24" s="346"/>
      <c r="O24" s="346"/>
      <c r="P24" s="346"/>
      <c r="Q24" s="346"/>
      <c r="R24" s="346"/>
      <c r="S24" s="346"/>
      <c r="AB24" s="360" t="s">
        <v>1043</v>
      </c>
      <c r="AC24" s="361">
        <f>J37</f>
        <v>0.16</v>
      </c>
      <c r="AD24" s="361">
        <f t="shared" si="0"/>
        <v>0</v>
      </c>
      <c r="AE24" s="361">
        <f t="shared" si="1"/>
        <v>0</v>
      </c>
      <c r="AF24" s="362">
        <f t="shared" si="2"/>
        <v>0</v>
      </c>
    </row>
    <row r="25" spans="1:32" ht="15" customHeight="1">
      <c r="A25" s="346"/>
      <c r="B25" s="346"/>
      <c r="C25" s="346"/>
      <c r="D25" s="346"/>
      <c r="E25" s="346"/>
      <c r="F25" s="346"/>
      <c r="G25" s="346"/>
      <c r="H25" s="346"/>
      <c r="I25" s="346"/>
      <c r="J25" s="346"/>
      <c r="K25" s="355"/>
      <c r="L25" s="346"/>
      <c r="M25" s="346"/>
      <c r="N25" s="346"/>
      <c r="O25" s="346"/>
      <c r="P25" s="346"/>
      <c r="Q25" s="346"/>
      <c r="R25" s="346"/>
      <c r="S25" s="346"/>
      <c r="AB25" s="360" t="s">
        <v>1044</v>
      </c>
      <c r="AC25" s="361">
        <f>Ene_Weight</f>
        <v>0.14000000000000001</v>
      </c>
      <c r="AD25" s="361">
        <f t="shared" si="0"/>
        <v>0</v>
      </c>
      <c r="AE25" s="361">
        <f t="shared" si="1"/>
        <v>0</v>
      </c>
      <c r="AF25" s="362">
        <f t="shared" si="2"/>
        <v>0</v>
      </c>
    </row>
    <row r="26" spans="1:32" ht="15" customHeight="1">
      <c r="A26" s="346"/>
      <c r="B26" s="346"/>
      <c r="C26" s="346"/>
      <c r="D26" s="346"/>
      <c r="E26" s="346"/>
      <c r="F26" s="346"/>
      <c r="G26" s="346"/>
      <c r="H26" s="346"/>
      <c r="I26" s="346"/>
      <c r="J26" s="346"/>
      <c r="K26" s="355"/>
      <c r="L26" s="346"/>
      <c r="M26" s="346"/>
      <c r="N26" s="346"/>
      <c r="O26" s="346"/>
      <c r="P26" s="346"/>
      <c r="Q26" s="346"/>
      <c r="R26" s="346"/>
      <c r="S26" s="346"/>
      <c r="AB26" s="360" t="s">
        <v>1045</v>
      </c>
      <c r="AC26" s="361">
        <f>Tra_Weight</f>
        <v>0.1</v>
      </c>
      <c r="AD26" s="361">
        <f t="shared" si="0"/>
        <v>0</v>
      </c>
      <c r="AE26" s="361">
        <f t="shared" si="1"/>
        <v>0</v>
      </c>
      <c r="AF26" s="362">
        <f t="shared" si="2"/>
        <v>0</v>
      </c>
    </row>
    <row r="27" spans="1:32" ht="15" customHeight="1">
      <c r="A27" s="346"/>
      <c r="B27" s="346"/>
      <c r="C27" s="346"/>
      <c r="D27" s="346"/>
      <c r="E27" s="346"/>
      <c r="F27" s="346"/>
      <c r="G27" s="346"/>
      <c r="H27" s="346"/>
      <c r="I27" s="346"/>
      <c r="J27" s="346"/>
      <c r="K27" s="355"/>
      <c r="L27" s="346"/>
      <c r="M27" s="346"/>
      <c r="N27" s="346"/>
      <c r="O27" s="346"/>
      <c r="P27" s="346"/>
      <c r="Q27" s="346"/>
      <c r="R27" s="346"/>
      <c r="S27" s="346"/>
      <c r="AB27" s="360" t="s">
        <v>1046</v>
      </c>
      <c r="AC27" s="361">
        <f>Wat_Weight</f>
        <v>0.04</v>
      </c>
      <c r="AD27" s="361">
        <f t="shared" si="0"/>
        <v>0</v>
      </c>
      <c r="AE27" s="361">
        <f t="shared" si="1"/>
        <v>0</v>
      </c>
      <c r="AF27" s="362">
        <f t="shared" si="2"/>
        <v>0</v>
      </c>
    </row>
    <row r="28" spans="1:32" ht="15" customHeight="1">
      <c r="A28" s="346"/>
      <c r="B28" s="346"/>
      <c r="C28" s="346"/>
      <c r="D28" s="346"/>
      <c r="E28" s="346"/>
      <c r="F28" s="346"/>
      <c r="G28" s="346"/>
      <c r="H28" s="346"/>
      <c r="I28" s="346"/>
      <c r="J28" s="346"/>
      <c r="K28" s="355"/>
      <c r="L28" s="346"/>
      <c r="M28" s="346"/>
      <c r="N28" s="346"/>
      <c r="O28" s="346"/>
      <c r="P28" s="346"/>
      <c r="Q28" s="346"/>
      <c r="R28" s="346"/>
      <c r="S28" s="346"/>
      <c r="AB28" s="360" t="s">
        <v>1047</v>
      </c>
      <c r="AC28" s="361">
        <f>Mat_Weight</f>
        <v>0.17</v>
      </c>
      <c r="AD28" s="361">
        <f t="shared" si="0"/>
        <v>0</v>
      </c>
      <c r="AE28" s="361">
        <f t="shared" si="1"/>
        <v>0</v>
      </c>
      <c r="AF28" s="362">
        <f t="shared" si="2"/>
        <v>0</v>
      </c>
    </row>
    <row r="29" spans="1:32" ht="15" customHeight="1">
      <c r="A29" s="346"/>
      <c r="B29" s="346"/>
      <c r="C29" s="346"/>
      <c r="D29" s="346"/>
      <c r="E29" s="346"/>
      <c r="F29" s="346"/>
      <c r="G29" s="346"/>
      <c r="H29" s="346"/>
      <c r="I29" s="346"/>
      <c r="J29" s="346"/>
      <c r="K29" s="355"/>
      <c r="L29" s="346"/>
      <c r="M29" s="346"/>
      <c r="N29" s="346"/>
      <c r="O29" s="346"/>
      <c r="P29" s="346"/>
      <c r="Q29" s="346"/>
      <c r="R29" s="346"/>
      <c r="S29" s="346"/>
      <c r="AB29" s="360" t="s">
        <v>1048</v>
      </c>
      <c r="AC29" s="361">
        <f>Wst_Weight</f>
        <v>7.0000000000000007E-2</v>
      </c>
      <c r="AD29" s="361">
        <f t="shared" si="0"/>
        <v>0</v>
      </c>
      <c r="AE29" s="361">
        <f t="shared" si="1"/>
        <v>0</v>
      </c>
      <c r="AF29" s="362">
        <f t="shared" si="2"/>
        <v>0</v>
      </c>
    </row>
    <row r="30" spans="1:32" ht="15" customHeight="1">
      <c r="A30" s="346"/>
      <c r="B30" s="346"/>
      <c r="C30" s="346"/>
      <c r="D30" s="346"/>
      <c r="E30" s="346"/>
      <c r="F30" s="346"/>
      <c r="G30" s="346"/>
      <c r="H30" s="346"/>
      <c r="I30" s="346"/>
      <c r="J30" s="346"/>
      <c r="K30" s="355"/>
      <c r="L30" s="346"/>
      <c r="M30" s="346"/>
      <c r="N30" s="346"/>
      <c r="O30" s="346"/>
      <c r="P30" s="346"/>
      <c r="Q30" s="346"/>
      <c r="R30" s="346"/>
      <c r="S30" s="346"/>
      <c r="AB30" s="360" t="s">
        <v>1049</v>
      </c>
      <c r="AC30" s="361">
        <f>LE_Weight</f>
        <v>0.15</v>
      </c>
      <c r="AD30" s="361">
        <f t="shared" si="0"/>
        <v>0</v>
      </c>
      <c r="AE30" s="361">
        <f t="shared" si="1"/>
        <v>0</v>
      </c>
      <c r="AF30" s="362">
        <f t="shared" si="2"/>
        <v>0</v>
      </c>
    </row>
    <row r="31" spans="1:32" ht="15" customHeight="1">
      <c r="A31" s="346"/>
      <c r="B31" s="346"/>
      <c r="C31" s="346"/>
      <c r="D31" s="346"/>
      <c r="E31" s="346"/>
      <c r="F31" s="346"/>
      <c r="G31" s="346"/>
      <c r="H31" s="346"/>
      <c r="I31" s="346"/>
      <c r="J31" s="346"/>
      <c r="K31" s="355"/>
      <c r="L31" s="346"/>
      <c r="M31" s="346"/>
      <c r="N31" s="346"/>
      <c r="O31" s="346"/>
      <c r="P31" s="346"/>
      <c r="Q31" s="346"/>
      <c r="R31" s="346"/>
      <c r="S31" s="346"/>
      <c r="AB31" s="360" t="s">
        <v>1050</v>
      </c>
      <c r="AC31" s="361">
        <f>J44</f>
        <v>0.04</v>
      </c>
      <c r="AD31" s="361">
        <f t="shared" si="0"/>
        <v>0</v>
      </c>
      <c r="AE31" s="361">
        <f t="shared" si="1"/>
        <v>0</v>
      </c>
      <c r="AF31" s="362">
        <f t="shared" si="2"/>
        <v>0</v>
      </c>
    </row>
    <row r="32" spans="1:32" ht="15" customHeight="1" thickBot="1">
      <c r="A32" s="346"/>
      <c r="B32" s="346"/>
      <c r="C32" s="346"/>
      <c r="D32" s="346"/>
      <c r="E32" s="346"/>
      <c r="F32" s="346"/>
      <c r="G32" s="346"/>
      <c r="H32" s="346"/>
      <c r="I32" s="346"/>
      <c r="J32" s="346"/>
      <c r="K32" s="355"/>
      <c r="L32" s="346"/>
      <c r="M32" s="346"/>
      <c r="N32" s="346"/>
      <c r="O32" s="346"/>
      <c r="P32" s="346"/>
      <c r="Q32" s="346"/>
      <c r="R32" s="346"/>
      <c r="S32" s="346"/>
      <c r="AB32" s="363" t="s">
        <v>1051</v>
      </c>
      <c r="AC32" s="364">
        <f>J45</f>
        <v>0.1</v>
      </c>
      <c r="AD32" s="364">
        <f t="shared" si="0"/>
        <v>0</v>
      </c>
      <c r="AE32" s="364">
        <f t="shared" si="1"/>
        <v>0</v>
      </c>
      <c r="AF32" s="365">
        <f t="shared" si="2"/>
        <v>0</v>
      </c>
    </row>
    <row r="33" spans="1:32" ht="15" customHeight="1">
      <c r="A33" s="346"/>
      <c r="B33" s="346"/>
      <c r="C33" s="346"/>
      <c r="D33" s="346"/>
      <c r="E33" s="346"/>
      <c r="F33" s="346"/>
      <c r="G33" s="346"/>
      <c r="H33" s="346"/>
      <c r="I33" s="346"/>
      <c r="J33" s="346"/>
      <c r="K33" s="355"/>
      <c r="L33" s="346"/>
      <c r="M33" s="346"/>
      <c r="N33" s="346"/>
      <c r="O33" s="346"/>
      <c r="P33" s="346"/>
      <c r="Q33" s="346"/>
      <c r="R33" s="346"/>
      <c r="S33" s="346"/>
    </row>
    <row r="34" spans="1:32" ht="15.75">
      <c r="A34" s="346"/>
      <c r="B34" s="985"/>
      <c r="C34" s="355"/>
      <c r="D34" s="1089" t="s">
        <v>224</v>
      </c>
      <c r="E34" s="1090"/>
      <c r="F34" s="1089" t="s">
        <v>1037</v>
      </c>
      <c r="G34" s="1090"/>
      <c r="H34" s="1089" t="s">
        <v>1038</v>
      </c>
      <c r="I34" s="1090"/>
      <c r="J34" s="366" t="s">
        <v>1052</v>
      </c>
      <c r="K34" s="1089" t="s">
        <v>1053</v>
      </c>
      <c r="L34" s="1092"/>
      <c r="M34" s="1090"/>
      <c r="N34" s="355"/>
      <c r="O34" s="355"/>
      <c r="P34" s="355"/>
      <c r="Q34" s="355"/>
    </row>
    <row r="35" spans="1:32" ht="32.25" thickBot="1">
      <c r="A35" s="346"/>
      <c r="B35" s="367" t="s">
        <v>1054</v>
      </c>
      <c r="C35" s="368" t="s">
        <v>161</v>
      </c>
      <c r="D35" s="369" t="s">
        <v>1055</v>
      </c>
      <c r="E35" s="370" t="s">
        <v>1056</v>
      </c>
      <c r="F35" s="368" t="s">
        <v>1055</v>
      </c>
      <c r="G35" s="368" t="s">
        <v>1056</v>
      </c>
      <c r="H35" s="369" t="s">
        <v>1055</v>
      </c>
      <c r="I35" s="370" t="s">
        <v>1056</v>
      </c>
      <c r="J35" s="371"/>
      <c r="K35" s="369" t="s">
        <v>224</v>
      </c>
      <c r="L35" s="372" t="s">
        <v>1037</v>
      </c>
      <c r="M35" s="370" t="s">
        <v>1038</v>
      </c>
      <c r="N35" s="355"/>
      <c r="O35" s="355"/>
      <c r="P35" s="355"/>
      <c r="Q35" s="355"/>
    </row>
    <row r="36" spans="1:32" ht="15.75" customHeight="1">
      <c r="A36" s="346"/>
      <c r="B36" s="1147" t="s">
        <v>251</v>
      </c>
      <c r="C36" s="1148">
        <f>Man_Credits</f>
        <v>21</v>
      </c>
      <c r="D36" s="1149">
        <f>Man_tot_user</f>
        <v>0</v>
      </c>
      <c r="E36" s="1150">
        <f>BP_11/BP_01</f>
        <v>0</v>
      </c>
      <c r="F36" s="1149">
        <f>Man_d_user</f>
        <v>0</v>
      </c>
      <c r="G36" s="1151">
        <f>F36/C36</f>
        <v>0</v>
      </c>
      <c r="H36" s="1149">
        <f>Man_c_user</f>
        <v>0</v>
      </c>
      <c r="I36" s="1150">
        <f>H36/C36</f>
        <v>0</v>
      </c>
      <c r="J36" s="880">
        <f>Poeng!BS343</f>
        <v>0.13</v>
      </c>
      <c r="K36" s="1152">
        <f>BP_22*J36</f>
        <v>0</v>
      </c>
      <c r="L36" s="1153">
        <f>G36*J36</f>
        <v>0</v>
      </c>
      <c r="M36" s="1154">
        <f>I36*J36</f>
        <v>0</v>
      </c>
      <c r="N36" s="355"/>
      <c r="O36" s="355"/>
      <c r="P36" s="355"/>
      <c r="Q36" s="355"/>
      <c r="AA36" s="373" t="s">
        <v>123</v>
      </c>
      <c r="AB36" s="358" t="str">
        <f>Poeng!BQ294</f>
        <v>Navn</v>
      </c>
      <c r="AC36" s="358" t="str">
        <f>AD22</f>
        <v>Initial target setting</v>
      </c>
      <c r="AD36" s="358" t="str">
        <f>AE22</f>
        <v>Design phase</v>
      </c>
      <c r="AE36" s="374" t="str">
        <f>AF22</f>
        <v>Construction phase</v>
      </c>
    </row>
    <row r="37" spans="1:32" ht="16.5" thickBot="1">
      <c r="A37" s="346"/>
      <c r="B37" s="1155" t="s">
        <v>286</v>
      </c>
      <c r="C37" s="1156">
        <f>Hea_Credits</f>
        <v>19</v>
      </c>
      <c r="D37" s="1157">
        <f>HW_tot_user</f>
        <v>0</v>
      </c>
      <c r="E37" s="1158">
        <f>BP_12/BP_02</f>
        <v>0</v>
      </c>
      <c r="F37" s="1157">
        <f>HW_d_user</f>
        <v>0</v>
      </c>
      <c r="G37" s="1151">
        <f t="shared" ref="G37:G45" si="3">F37/C37</f>
        <v>0</v>
      </c>
      <c r="H37" s="1157">
        <f>HW_c_user</f>
        <v>0</v>
      </c>
      <c r="I37" s="1150">
        <f t="shared" ref="I37:I45" si="4">H37/C37</f>
        <v>0</v>
      </c>
      <c r="J37" s="881">
        <f>Poeng!BS344</f>
        <v>0.16</v>
      </c>
      <c r="K37" s="1159">
        <f>BP_23*J37</f>
        <v>0</v>
      </c>
      <c r="L37" s="1153">
        <f t="shared" ref="L37:L45" si="5">G37*J37</f>
        <v>0</v>
      </c>
      <c r="M37" s="1160">
        <f t="shared" ref="M37:M45" si="6">I37*J37</f>
        <v>0</v>
      </c>
      <c r="N37" s="355"/>
      <c r="O37" s="355"/>
      <c r="P37" s="355"/>
      <c r="Q37" s="355"/>
      <c r="AA37" s="375" t="s">
        <v>127</v>
      </c>
      <c r="AB37" s="376" t="str">
        <f>Poeng!BQ295</f>
        <v>Man 01</v>
      </c>
      <c r="AC37" s="377">
        <f>IF(D$9=$AA$36,Poeng!BR295,"")</f>
        <v>3</v>
      </c>
      <c r="AD37" s="377">
        <f>IF(F$9=$AA$36,Poeng!BS295,"")</f>
        <v>3</v>
      </c>
      <c r="AE37" s="378">
        <f>IF(H$9=$AA$36,Poeng!BT295,"")</f>
        <v>3</v>
      </c>
    </row>
    <row r="38" spans="1:32" s="379" customFormat="1" ht="15.75">
      <c r="A38" s="346"/>
      <c r="B38" s="1155" t="s">
        <v>332</v>
      </c>
      <c r="C38" s="1156">
        <f>Ene_Credits</f>
        <v>27</v>
      </c>
      <c r="D38" s="1157">
        <f>Ene_tot_user</f>
        <v>0</v>
      </c>
      <c r="E38" s="1158">
        <f>BP_13/BP_03</f>
        <v>0</v>
      </c>
      <c r="F38" s="1157">
        <f>Ene_d_user</f>
        <v>0</v>
      </c>
      <c r="G38" s="1151">
        <f t="shared" si="3"/>
        <v>0</v>
      </c>
      <c r="H38" s="1157">
        <f>Ene_c_user</f>
        <v>0</v>
      </c>
      <c r="I38" s="1150">
        <f t="shared" si="4"/>
        <v>0</v>
      </c>
      <c r="J38" s="881">
        <f>Poeng!BS345</f>
        <v>0.14000000000000001</v>
      </c>
      <c r="K38" s="1159">
        <f>BP_24*J38</f>
        <v>0</v>
      </c>
      <c r="L38" s="1153">
        <f t="shared" si="5"/>
        <v>0</v>
      </c>
      <c r="M38" s="1160">
        <f t="shared" si="6"/>
        <v>0</v>
      </c>
      <c r="N38" s="1161"/>
      <c r="O38" s="1161"/>
      <c r="P38" s="1161"/>
      <c r="Q38" s="1161"/>
      <c r="R38" s="1162"/>
      <c r="S38" s="1162"/>
      <c r="T38" s="1162"/>
      <c r="U38" s="1162"/>
      <c r="V38" s="1162"/>
      <c r="W38" s="1162"/>
      <c r="X38" s="1162"/>
      <c r="Y38" s="1162"/>
      <c r="Z38" s="1162"/>
      <c r="AA38" s="347"/>
      <c r="AB38" s="376" t="str">
        <f>Poeng!BQ296</f>
        <v>Man 03</v>
      </c>
      <c r="AC38" s="377">
        <f>IF(D$9=$AA$36,Poeng!BR296,"")</f>
        <v>0</v>
      </c>
      <c r="AD38" s="377">
        <f>IF(F$9=$AA$36,Poeng!BS296,"")</f>
        <v>0</v>
      </c>
      <c r="AE38" s="378">
        <f>IF(H$9=$AA$36,Poeng!BT296,"")</f>
        <v>0</v>
      </c>
      <c r="AF38" s="1162"/>
    </row>
    <row r="39" spans="1:32" s="379" customFormat="1" ht="15.75">
      <c r="A39" s="346"/>
      <c r="B39" s="1155" t="s">
        <v>373</v>
      </c>
      <c r="C39" s="1156">
        <f>Tra_Credits</f>
        <v>13</v>
      </c>
      <c r="D39" s="1157">
        <f>Tra_tot_user</f>
        <v>0</v>
      </c>
      <c r="E39" s="1158">
        <f>BP_14/BP_04</f>
        <v>0</v>
      </c>
      <c r="F39" s="1157">
        <f>Tra_d_user</f>
        <v>0</v>
      </c>
      <c r="G39" s="1151">
        <f t="shared" si="3"/>
        <v>0</v>
      </c>
      <c r="H39" s="1157">
        <f>Tra_c_user</f>
        <v>0</v>
      </c>
      <c r="I39" s="1150">
        <f t="shared" si="4"/>
        <v>0</v>
      </c>
      <c r="J39" s="881">
        <f>Poeng!BS346</f>
        <v>0.1</v>
      </c>
      <c r="K39" s="1159">
        <f>BP_25*J39</f>
        <v>0</v>
      </c>
      <c r="L39" s="1153">
        <f t="shared" si="5"/>
        <v>0</v>
      </c>
      <c r="M39" s="1160">
        <f t="shared" si="6"/>
        <v>0</v>
      </c>
      <c r="N39" s="1161"/>
      <c r="O39" s="1161"/>
      <c r="P39" s="1161"/>
      <c r="Q39" s="1161"/>
      <c r="R39" s="1162"/>
      <c r="S39" s="1162"/>
      <c r="T39" s="1162"/>
      <c r="U39" s="1162"/>
      <c r="V39" s="1162"/>
      <c r="W39" s="1162"/>
      <c r="X39" s="1162"/>
      <c r="Y39" s="1162"/>
      <c r="Z39" s="1162"/>
      <c r="AA39" s="347"/>
      <c r="AB39" s="376" t="str">
        <f>Poeng!BQ297</f>
        <v>Man 04</v>
      </c>
      <c r="AC39" s="377">
        <f>IF(D$9=$AA$36,Poeng!BR297,"")</f>
        <v>0</v>
      </c>
      <c r="AD39" s="377">
        <f>IF(F$9=$AA$36,Poeng!BS297,"")</f>
        <v>0</v>
      </c>
      <c r="AE39" s="378">
        <f>IF(H$9=$AA$36,Poeng!BT297,"")</f>
        <v>0</v>
      </c>
      <c r="AF39" s="1162"/>
    </row>
    <row r="40" spans="1:32" s="379" customFormat="1" ht="15.75">
      <c r="A40" s="346"/>
      <c r="B40" s="1155" t="s">
        <v>385</v>
      </c>
      <c r="C40" s="1156">
        <f>Wat_Credits</f>
        <v>9</v>
      </c>
      <c r="D40" s="1157">
        <f>Wat_tot_user</f>
        <v>0</v>
      </c>
      <c r="E40" s="1158">
        <f>BP_15/BP_05</f>
        <v>0</v>
      </c>
      <c r="F40" s="1157">
        <f>Wat_d_user</f>
        <v>0</v>
      </c>
      <c r="G40" s="1151">
        <f t="shared" si="3"/>
        <v>0</v>
      </c>
      <c r="H40" s="1157">
        <f>Wat_c_user</f>
        <v>0</v>
      </c>
      <c r="I40" s="1150">
        <f t="shared" si="4"/>
        <v>0</v>
      </c>
      <c r="J40" s="881">
        <f>Poeng!BS347</f>
        <v>0.04</v>
      </c>
      <c r="K40" s="1159">
        <f>BP_26*J40</f>
        <v>0</v>
      </c>
      <c r="L40" s="1153">
        <f t="shared" si="5"/>
        <v>0</v>
      </c>
      <c r="M40" s="1160">
        <f t="shared" si="6"/>
        <v>0</v>
      </c>
      <c r="N40" s="1161"/>
      <c r="O40" s="1161"/>
      <c r="P40" s="1161"/>
      <c r="Q40" s="1161"/>
      <c r="R40" s="1162"/>
      <c r="S40" s="1162"/>
      <c r="T40" s="1162"/>
      <c r="U40" s="1162"/>
      <c r="V40" s="1162"/>
      <c r="W40" s="1162"/>
      <c r="X40" s="1162"/>
      <c r="Y40" s="1162"/>
      <c r="Z40" s="1162"/>
      <c r="AA40" s="347"/>
      <c r="AB40" s="376" t="str">
        <f>Poeng!BQ298</f>
        <v>Man 05</v>
      </c>
      <c r="AC40" s="377">
        <f>IF(D$9=$AA$36,Poeng!BR298,"")</f>
        <v>3</v>
      </c>
      <c r="AD40" s="377">
        <f>IF(F$9=$AA$36,Poeng!BS298,"")</f>
        <v>3</v>
      </c>
      <c r="AE40" s="378">
        <f>IF(H$9=$AA$36,Poeng!BT298,"")</f>
        <v>3</v>
      </c>
      <c r="AF40" s="1162"/>
    </row>
    <row r="41" spans="1:32" s="379" customFormat="1" ht="15.75">
      <c r="A41" s="346"/>
      <c r="B41" s="1155" t="s">
        <v>408</v>
      </c>
      <c r="C41" s="1156">
        <f>Mat_Credits</f>
        <v>21</v>
      </c>
      <c r="D41" s="1157">
        <f>Mat_tot_user</f>
        <v>0</v>
      </c>
      <c r="E41" s="1158">
        <f>BP_16/BP_06</f>
        <v>0</v>
      </c>
      <c r="F41" s="1157">
        <f>Mat_d_user</f>
        <v>0</v>
      </c>
      <c r="G41" s="1151">
        <f t="shared" si="3"/>
        <v>0</v>
      </c>
      <c r="H41" s="1157">
        <f>Mat_c_user</f>
        <v>0</v>
      </c>
      <c r="I41" s="1150">
        <f t="shared" si="4"/>
        <v>0</v>
      </c>
      <c r="J41" s="881">
        <f>Poeng!BS348</f>
        <v>0.17</v>
      </c>
      <c r="K41" s="1159">
        <f>BP_27*J41</f>
        <v>0</v>
      </c>
      <c r="L41" s="1153">
        <f t="shared" si="5"/>
        <v>0</v>
      </c>
      <c r="M41" s="1160">
        <f t="shared" si="6"/>
        <v>0</v>
      </c>
      <c r="N41" s="1161"/>
      <c r="O41" s="1161"/>
      <c r="P41" s="1161"/>
      <c r="Q41" s="1161"/>
      <c r="R41" s="1162"/>
      <c r="S41" s="1162"/>
      <c r="T41" s="1162"/>
      <c r="U41" s="1162"/>
      <c r="V41" s="1162"/>
      <c r="W41" s="1162"/>
      <c r="X41" s="1162"/>
      <c r="Y41" s="1162"/>
      <c r="Z41" s="1162"/>
      <c r="AA41" s="347"/>
      <c r="AB41" s="376" t="str">
        <f>Poeng!BQ299</f>
        <v>Hea 01</v>
      </c>
      <c r="AC41" s="377">
        <f>IF(D$9=$AA$36,Poeng!BR299,"")</f>
        <v>0</v>
      </c>
      <c r="AD41" s="377">
        <f>IF(F$9=$AA$36,Poeng!BS299,"")</f>
        <v>0</v>
      </c>
      <c r="AE41" s="378">
        <f>IF(H$9=$AA$36,Poeng!BT299,"")</f>
        <v>0</v>
      </c>
      <c r="AF41" s="1162"/>
    </row>
    <row r="42" spans="1:32" ht="15.75">
      <c r="A42" s="346"/>
      <c r="B42" s="1155" t="s">
        <v>442</v>
      </c>
      <c r="C42" s="1156">
        <f>Wst_Credits</f>
        <v>7</v>
      </c>
      <c r="D42" s="1157">
        <f>Wst_tot_user</f>
        <v>0</v>
      </c>
      <c r="E42" s="1158">
        <f>BP_18/BP_07</f>
        <v>0</v>
      </c>
      <c r="F42" s="1157">
        <f>Wst_d_user</f>
        <v>0</v>
      </c>
      <c r="G42" s="1151">
        <f t="shared" si="3"/>
        <v>0</v>
      </c>
      <c r="H42" s="1157">
        <f>Wst_c_user</f>
        <v>0</v>
      </c>
      <c r="I42" s="1150">
        <f t="shared" si="4"/>
        <v>0</v>
      </c>
      <c r="J42" s="881">
        <f>Poeng!BS349</f>
        <v>7.0000000000000007E-2</v>
      </c>
      <c r="K42" s="1159">
        <f>BP_28*J42</f>
        <v>0</v>
      </c>
      <c r="L42" s="1153">
        <f t="shared" si="5"/>
        <v>0</v>
      </c>
      <c r="M42" s="1160">
        <f t="shared" si="6"/>
        <v>0</v>
      </c>
      <c r="N42" s="355"/>
      <c r="O42" s="355"/>
      <c r="P42" s="355"/>
      <c r="Q42" s="355"/>
      <c r="AB42" s="376" t="str">
        <f>Poeng!BQ300</f>
        <v>Hea 02</v>
      </c>
      <c r="AC42" s="377">
        <f>IF(D$9=$AA$36,Poeng!BR300,"")</f>
        <v>0</v>
      </c>
      <c r="AD42" s="377">
        <f>IF(F$9=$AA$36,Poeng!BS300,"")</f>
        <v>0</v>
      </c>
      <c r="AE42" s="378">
        <f>IF(H$9=$AA$36,Poeng!BT300,"")</f>
        <v>0</v>
      </c>
    </row>
    <row r="43" spans="1:32" ht="15.75">
      <c r="A43" s="346"/>
      <c r="B43" s="1155" t="s">
        <v>461</v>
      </c>
      <c r="C43" s="1156">
        <f>LE_Credits</f>
        <v>19</v>
      </c>
      <c r="D43" s="1157">
        <f>Lue_tot_user</f>
        <v>0</v>
      </c>
      <c r="E43" s="1158">
        <f>BP_19/BP_08</f>
        <v>0</v>
      </c>
      <c r="F43" s="1157">
        <f>Lue_d_user</f>
        <v>0</v>
      </c>
      <c r="G43" s="1151">
        <f t="shared" si="3"/>
        <v>0</v>
      </c>
      <c r="H43" s="1157">
        <f>Lue_c_user</f>
        <v>0</v>
      </c>
      <c r="I43" s="1150">
        <f t="shared" si="4"/>
        <v>0</v>
      </c>
      <c r="J43" s="881">
        <f>Poeng!BS350</f>
        <v>0.15</v>
      </c>
      <c r="K43" s="1159">
        <f>BP_29*J43</f>
        <v>0</v>
      </c>
      <c r="L43" s="1153">
        <f t="shared" si="5"/>
        <v>0</v>
      </c>
      <c r="M43" s="1160">
        <f t="shared" si="6"/>
        <v>0</v>
      </c>
      <c r="N43" s="355"/>
      <c r="O43" s="355"/>
      <c r="P43" s="355"/>
      <c r="Q43" s="355"/>
      <c r="AB43" s="376" t="str">
        <f>Poeng!BQ301</f>
        <v>Ene 01</v>
      </c>
      <c r="AC43" s="377">
        <f>IF(D$9=$AA$36,Poeng!BR301,"")</f>
        <v>3</v>
      </c>
      <c r="AD43" s="377">
        <f>IF(F$9=$AA$36,Poeng!BS301,"")</f>
        <v>3</v>
      </c>
      <c r="AE43" s="378">
        <f>IF(H$9=$AA$36,Poeng!BT301,"")</f>
        <v>3</v>
      </c>
    </row>
    <row r="44" spans="1:32" ht="15.75" customHeight="1">
      <c r="A44" s="346"/>
      <c r="B44" s="1155" t="s">
        <v>499</v>
      </c>
      <c r="C44" s="1156">
        <f>Pol_Credits</f>
        <v>7</v>
      </c>
      <c r="D44" s="1157">
        <f>Pol_tot_user</f>
        <v>0</v>
      </c>
      <c r="E44" s="1158">
        <f>BP_20/BP_09</f>
        <v>0</v>
      </c>
      <c r="F44" s="1157">
        <f>Pol_d_user</f>
        <v>0</v>
      </c>
      <c r="G44" s="1151">
        <f t="shared" si="3"/>
        <v>0</v>
      </c>
      <c r="H44" s="1157">
        <f>Pol_c_user</f>
        <v>0</v>
      </c>
      <c r="I44" s="1150">
        <f t="shared" si="4"/>
        <v>0</v>
      </c>
      <c r="J44" s="881">
        <f>Poeng!BS351</f>
        <v>0.04</v>
      </c>
      <c r="K44" s="1159">
        <f>BP_30*J44</f>
        <v>0</v>
      </c>
      <c r="L44" s="1153">
        <f t="shared" si="5"/>
        <v>0</v>
      </c>
      <c r="M44" s="1160">
        <f t="shared" si="6"/>
        <v>0</v>
      </c>
      <c r="N44" s="355"/>
      <c r="O44" s="355"/>
      <c r="P44" s="355"/>
      <c r="Q44" s="355"/>
      <c r="AB44" s="376" t="str">
        <f>IF(AF44=9,"",Poeng!BQ302)</f>
        <v>Ene 07</v>
      </c>
      <c r="AC44" s="377">
        <f>IF(AF44=9,"",IF(D$9=$AA$36,Poeng!BR302,""))</f>
        <v>0</v>
      </c>
      <c r="AD44" s="377">
        <f>IF(AF44=9,"",IF(F$9=$AA$36,Poeng!BS302,""))</f>
        <v>0</v>
      </c>
      <c r="AE44" s="378">
        <f>IF(AF44=9,"",IF(H$9=$AA$36,Poeng!BT302,""))</f>
        <v>0</v>
      </c>
      <c r="AF44" s="347">
        <f>Poeng!BR302</f>
        <v>0</v>
      </c>
    </row>
    <row r="45" spans="1:32" ht="15.75">
      <c r="A45" s="346"/>
      <c r="B45" s="1155" t="s">
        <v>1033</v>
      </c>
      <c r="C45" s="1156">
        <f>Inn_Credits</f>
        <v>10</v>
      </c>
      <c r="D45" s="1157">
        <f>Inn_tot_user</f>
        <v>0</v>
      </c>
      <c r="E45" s="1158">
        <f>BP_21/BP_10</f>
        <v>0</v>
      </c>
      <c r="F45" s="1157">
        <f>Inn_d_user</f>
        <v>0</v>
      </c>
      <c r="G45" s="1151">
        <f t="shared" si="3"/>
        <v>0</v>
      </c>
      <c r="H45" s="1157">
        <f>Inn_c_user</f>
        <v>0</v>
      </c>
      <c r="I45" s="1150">
        <f t="shared" si="4"/>
        <v>0</v>
      </c>
      <c r="J45" s="881">
        <v>0.1</v>
      </c>
      <c r="K45" s="1159">
        <f>BP_31*J45</f>
        <v>0</v>
      </c>
      <c r="L45" s="1153">
        <f t="shared" si="5"/>
        <v>0</v>
      </c>
      <c r="M45" s="1160">
        <f t="shared" si="6"/>
        <v>0</v>
      </c>
      <c r="N45" s="355"/>
      <c r="O45" s="355"/>
      <c r="P45" s="355"/>
      <c r="Q45" s="355"/>
      <c r="AB45" s="376" t="str">
        <f>Poeng!BQ303</f>
        <v>Tra 01</v>
      </c>
      <c r="AC45" s="377">
        <f>IF(D$9=$AA$36,Poeng!BR303,"")</f>
        <v>3</v>
      </c>
      <c r="AD45" s="377">
        <f>IF(F$9=$AA$36,Poeng!BS303,"")</f>
        <v>3</v>
      </c>
      <c r="AE45" s="378">
        <f>IF(H$9=$AA$36,Poeng!BT303,"")</f>
        <v>3</v>
      </c>
    </row>
    <row r="46" spans="1:32" ht="15.75">
      <c r="A46" s="346"/>
      <c r="B46" s="380" t="s">
        <v>725</v>
      </c>
      <c r="C46" s="1163">
        <f>SUM(C36:C45)</f>
        <v>153</v>
      </c>
      <c r="D46" s="1164">
        <f>SUM(D36:D45)</f>
        <v>0</v>
      </c>
      <c r="E46" s="1165"/>
      <c r="F46" s="1166">
        <f>SUM(F36:F45)</f>
        <v>0</v>
      </c>
      <c r="G46" s="1167"/>
      <c r="H46" s="1164">
        <f>SUM(H36:H45)</f>
        <v>0</v>
      </c>
      <c r="I46" s="1165"/>
      <c r="J46" s="1168">
        <f>SUM(J36:J45)</f>
        <v>1.1000000000000001</v>
      </c>
      <c r="K46" s="1169">
        <f>IF(SUM(K36:K45)&gt;1,1,SUM(K36:K45))</f>
        <v>0</v>
      </c>
      <c r="L46" s="1170">
        <f t="shared" ref="L46:M46" si="7">IF(SUM(L36:L45)&gt;1,1,SUM(L36:L45))</f>
        <v>0</v>
      </c>
      <c r="M46" s="1171">
        <f t="shared" si="7"/>
        <v>0</v>
      </c>
      <c r="N46" s="355"/>
      <c r="O46" s="355"/>
      <c r="P46" s="355"/>
      <c r="Q46" s="355"/>
      <c r="AB46" s="376" t="str">
        <f>Poeng!BQ304</f>
        <v>Wat 01</v>
      </c>
      <c r="AC46" s="377">
        <f>IF(D$9=$AA$36,Poeng!BR304,"")</f>
        <v>3</v>
      </c>
      <c r="AD46" s="377">
        <f>IF(F$9=$AA$36,Poeng!BS304,"")</f>
        <v>3</v>
      </c>
      <c r="AE46" s="378">
        <f>IF(H$9=$AA$36,Poeng!BT304,"")</f>
        <v>3</v>
      </c>
    </row>
    <row r="47" spans="1:32" ht="15.75">
      <c r="A47" s="346"/>
      <c r="B47" s="1172" t="s">
        <v>229</v>
      </c>
      <c r="C47" s="1173"/>
      <c r="D47" s="1173"/>
      <c r="E47" s="1173"/>
      <c r="F47" s="1173"/>
      <c r="G47" s="1173"/>
      <c r="H47" s="1173"/>
      <c r="I47" s="1173"/>
      <c r="J47" s="1174"/>
      <c r="K47" s="1159" t="str">
        <f>D10</f>
        <v>Unclassified</v>
      </c>
      <c r="L47" s="1175" t="str">
        <f>F10</f>
        <v>Unclassified</v>
      </c>
      <c r="M47" s="1165" t="str">
        <f>H10</f>
        <v>Unclassified</v>
      </c>
      <c r="N47" s="355"/>
      <c r="O47" s="355"/>
      <c r="P47" s="355"/>
      <c r="Q47" s="355"/>
      <c r="AB47" s="376" t="str">
        <f>Poeng!BQ305</f>
        <v>Mat 01</v>
      </c>
      <c r="AC47" s="377">
        <f>IF(D$9=$AA$36,Poeng!BR305,"")</f>
        <v>0</v>
      </c>
      <c r="AD47" s="377">
        <f>IF(F$9=$AA$36,Poeng!BS305,"")</f>
        <v>0</v>
      </c>
      <c r="AE47" s="378">
        <f>IF(H$9=$AA$36,Poeng!BT305,"")</f>
        <v>0</v>
      </c>
    </row>
    <row r="48" spans="1:32" ht="15.75">
      <c r="A48" s="986"/>
      <c r="B48" s="1172" t="s">
        <v>232</v>
      </c>
      <c r="C48" s="1173"/>
      <c r="D48" s="1173"/>
      <c r="E48" s="1173"/>
      <c r="F48" s="1173"/>
      <c r="G48" s="1173"/>
      <c r="H48" s="1173"/>
      <c r="I48" s="1173"/>
      <c r="J48" s="1174"/>
      <c r="K48" s="1159" t="str">
        <f>D12</f>
        <v>Unclassified</v>
      </c>
      <c r="L48" s="1175" t="str">
        <f>F12</f>
        <v>Unclassified</v>
      </c>
      <c r="M48" s="1165" t="str">
        <f>H12</f>
        <v>Unclassified</v>
      </c>
      <c r="N48" s="3"/>
      <c r="O48" s="1176"/>
      <c r="P48" s="381"/>
      <c r="Q48" s="381"/>
      <c r="R48" s="381"/>
      <c r="S48" s="381"/>
      <c r="AB48" s="376" t="str">
        <f>Poeng!BQ306</f>
        <v>Mat 02</v>
      </c>
      <c r="AC48" s="377">
        <f>IF(D$9=$AA$36,Poeng!BR306,"")</f>
        <v>0</v>
      </c>
      <c r="AD48" s="377">
        <f>IF(F$9=$AA$36,Poeng!BS306,"")</f>
        <v>0</v>
      </c>
      <c r="AE48" s="378">
        <f>IF(H$9=$AA$36,Poeng!BT306,"")</f>
        <v>0</v>
      </c>
    </row>
    <row r="49" spans="1:33" s="382" customFormat="1" ht="15.75">
      <c r="A49" s="340"/>
      <c r="B49" s="1172" t="str">
        <f>C13</f>
        <v xml:space="preserve">Requirements for EU taxonomy </v>
      </c>
      <c r="C49" s="1173"/>
      <c r="D49" s="1173"/>
      <c r="E49" s="1173"/>
      <c r="F49" s="1173"/>
      <c r="G49" s="1173"/>
      <c r="H49" s="1173"/>
      <c r="I49" s="1173"/>
      <c r="J49" s="1174"/>
      <c r="K49" s="1159" t="str">
        <f>D13</f>
        <v>No</v>
      </c>
      <c r="L49" s="1175" t="str">
        <f>F13</f>
        <v>No</v>
      </c>
      <c r="M49" s="1165" t="str">
        <f>H13</f>
        <v>No</v>
      </c>
      <c r="N49" s="340"/>
      <c r="O49" s="383"/>
      <c r="P49" s="383"/>
      <c r="Q49" s="383"/>
      <c r="R49" s="383"/>
      <c r="S49" s="383"/>
      <c r="T49" s="383"/>
      <c r="U49" s="383"/>
      <c r="V49" s="340"/>
      <c r="W49" s="340"/>
      <c r="X49" s="340"/>
      <c r="Y49" s="340"/>
      <c r="Z49" s="340"/>
      <c r="AA49" s="347"/>
      <c r="AB49" s="376" t="str">
        <f>Poeng!BQ307</f>
        <v>Mat 03</v>
      </c>
      <c r="AC49" s="377">
        <f>IF(D$9=$AA$36,Poeng!BR307,"")</f>
        <v>0</v>
      </c>
      <c r="AD49" s="377">
        <f>IF(F$9=$AA$36,Poeng!BS307,"")</f>
        <v>0</v>
      </c>
      <c r="AE49" s="378">
        <f>IF(H$9=$AA$36,Poeng!BT307,"")</f>
        <v>0</v>
      </c>
      <c r="AF49" s="347"/>
      <c r="AG49" s="347"/>
    </row>
    <row r="50" spans="1:33" s="382" customFormat="1">
      <c r="A50" s="340"/>
      <c r="B50" s="346"/>
      <c r="C50" s="346"/>
      <c r="D50" s="346"/>
      <c r="E50" s="346"/>
      <c r="F50" s="346"/>
      <c r="G50" s="346"/>
      <c r="H50" s="346"/>
      <c r="I50" s="346"/>
      <c r="J50" s="346"/>
      <c r="K50" s="346"/>
      <c r="L50" s="346"/>
      <c r="M50" s="346"/>
      <c r="N50" s="340"/>
      <c r="O50" s="340"/>
      <c r="P50" s="340"/>
      <c r="Q50" s="340"/>
      <c r="R50" s="340"/>
      <c r="S50" s="340"/>
      <c r="T50" s="340"/>
      <c r="U50" s="340"/>
      <c r="V50" s="340"/>
      <c r="W50" s="340"/>
      <c r="X50" s="340"/>
      <c r="Y50" s="340"/>
      <c r="Z50" s="340"/>
      <c r="AA50" s="347"/>
      <c r="AB50" s="376" t="str">
        <f>Poeng!BQ308</f>
        <v>Mat 05</v>
      </c>
      <c r="AC50" s="377">
        <f>IF(D$9=$AA$36,Poeng!BR308,"")</f>
        <v>3</v>
      </c>
      <c r="AD50" s="377">
        <f>IF(F$9=$AA$36,Poeng!BS308,"")</f>
        <v>3</v>
      </c>
      <c r="AE50" s="378">
        <f>IF(H$9=$AA$36,Poeng!BT308,"")</f>
        <v>3</v>
      </c>
      <c r="AF50" s="347"/>
      <c r="AG50" s="347"/>
    </row>
    <row r="51" spans="1:33" s="346" customFormat="1">
      <c r="AA51" s="347"/>
      <c r="AB51" s="376" t="str">
        <f>Poeng!BQ309</f>
        <v>Mat 06</v>
      </c>
      <c r="AC51" s="377">
        <f>IF(D$9=$AA$36,Poeng!BR309,"")</f>
        <v>0</v>
      </c>
      <c r="AD51" s="377">
        <f>IF(F$9=$AA$36,Poeng!BS309,"")</f>
        <v>0</v>
      </c>
      <c r="AE51" s="378">
        <f>IF(H$9=$AA$36,Poeng!BT309,"")</f>
        <v>0</v>
      </c>
      <c r="AF51" s="340"/>
      <c r="AG51" s="340"/>
    </row>
    <row r="52" spans="1:33" s="346" customFormat="1" ht="32.25">
      <c r="A52" s="14"/>
      <c r="B52" s="392" t="s">
        <v>234</v>
      </c>
      <c r="C52" s="1133"/>
      <c r="D52" s="1134"/>
      <c r="E52" s="1134"/>
      <c r="F52" s="1134"/>
      <c r="G52" s="1134"/>
      <c r="H52" s="1134"/>
      <c r="I52" s="1134"/>
      <c r="J52" s="369" t="s">
        <v>1057</v>
      </c>
      <c r="K52" s="369" t="s">
        <v>224</v>
      </c>
      <c r="L52" s="372" t="s">
        <v>1037</v>
      </c>
      <c r="M52" s="370" t="s">
        <v>1038</v>
      </c>
      <c r="N52" s="1134"/>
      <c r="O52" s="1134"/>
      <c r="AA52" s="385"/>
      <c r="AB52" s="376" t="str">
        <f>Poeng!BQ310</f>
        <v>Mat 07</v>
      </c>
      <c r="AC52" s="377">
        <f>IF(D$9=$AA$36,Poeng!BR310,"")</f>
        <v>3</v>
      </c>
      <c r="AD52" s="377">
        <f>IF(F$9=$AA$36,Poeng!BS310,"")</f>
        <v>3</v>
      </c>
      <c r="AE52" s="378">
        <f>IF(H$9=$AA$36,Poeng!BT310,"")</f>
        <v>3</v>
      </c>
      <c r="AF52" s="340"/>
      <c r="AG52" s="340"/>
    </row>
    <row r="53" spans="1:33" s="346" customFormat="1">
      <c r="A53" s="50"/>
      <c r="B53" s="925" t="s">
        <v>251</v>
      </c>
      <c r="AB53" s="376" t="str">
        <f>Poeng!BQ311</f>
        <v>Wst 01</v>
      </c>
      <c r="AC53" s="377">
        <f>IF(D$9=$AA$36,Poeng!BR311,"")</f>
        <v>2</v>
      </c>
      <c r="AD53" s="377">
        <f>IF(F$9=$AA$36,Poeng!BS311,"")</f>
        <v>2</v>
      </c>
      <c r="AE53" s="378">
        <f>IF(H$9=$AA$36,Poeng!BT311,"")</f>
        <v>2</v>
      </c>
    </row>
    <row r="54" spans="1:33" s="346" customFormat="1">
      <c r="A54" s="343" t="s">
        <v>256</v>
      </c>
      <c r="B54" s="987" t="str">
        <f>VLOOKUP(A54,Poeng!$B$8:$BU$255,Poeng!$C$1,FALSE)</f>
        <v>Man 01</v>
      </c>
      <c r="C54" s="988" t="s">
        <v>1058</v>
      </c>
      <c r="D54" s="989"/>
      <c r="E54" s="989"/>
      <c r="F54" s="989"/>
      <c r="G54" s="989"/>
      <c r="H54" s="989"/>
      <c r="I54" s="989"/>
      <c r="J54" s="990">
        <f>VLOOKUP(A54,Poeng!$B$10:$BT$258,Poeng!$BQ$1,FALSE)</f>
        <v>1</v>
      </c>
      <c r="K54" s="991">
        <f>VLOOKUP(A54,Poeng!$B$10:$BT$258,Poeng!$AI$1,FALSE)</f>
        <v>0</v>
      </c>
      <c r="L54" s="991">
        <f>VLOOKUP(A54,Poeng!$B$10:$BT$258,Poeng!$AJ$1,FALSE)</f>
        <v>0</v>
      </c>
      <c r="M54" s="991">
        <f>VLOOKUP(A54,Poeng!$B$10:$BT$258,Poeng!$AK$1,FALSE)</f>
        <v>0</v>
      </c>
      <c r="T54" s="346" t="str">
        <f>IFERROR(VLOOKUP(A54,Poeng!$B$8:$BU$255,Poeng!$E$1,FALSE),"")</f>
        <v>Climate gas calculation for whole building life cycle (EU taxonomy requirement: criterion 2-3)</v>
      </c>
      <c r="AB54" s="376" t="str">
        <f>Poeng!BQ312</f>
        <v>Wst 03</v>
      </c>
      <c r="AC54" s="377">
        <f>IF(D$9=$AA$36,Poeng!BR312,"")</f>
        <v>3</v>
      </c>
      <c r="AD54" s="377">
        <f>IF(F$9=$AA$36,Poeng!BS312,"")</f>
        <v>3</v>
      </c>
      <c r="AE54" s="378">
        <f>IF(H$9=$AA$36,Poeng!BT312,"")</f>
        <v>3</v>
      </c>
    </row>
    <row r="55" spans="1:33">
      <c r="A55" s="343" t="s">
        <v>267</v>
      </c>
      <c r="B55" s="992" t="str">
        <f>VLOOKUP(A55,Poeng!$B$8:$BU$255,Poeng!$C$1,FALSE)</f>
        <v>Man 03</v>
      </c>
      <c r="C55" s="988" t="s">
        <v>1059</v>
      </c>
      <c r="D55" s="989"/>
      <c r="E55" s="989"/>
      <c r="F55" s="989"/>
      <c r="G55" s="989"/>
      <c r="H55" s="989"/>
      <c r="I55" s="989"/>
      <c r="J55" s="990">
        <f>VLOOKUP(A55,Poeng!$B$10:$BT$258,Poeng!$BQ$1,FALSE)</f>
        <v>1</v>
      </c>
      <c r="K55" s="991">
        <f>VLOOKUP(A55,Poeng!$B$10:$BT$258,Poeng!$AI$1,FALSE)</f>
        <v>0</v>
      </c>
      <c r="L55" s="991">
        <f>VLOOKUP(A55,Poeng!$B$10:$BT$258,Poeng!$AJ$1,FALSE)</f>
        <v>0</v>
      </c>
      <c r="M55" s="991">
        <f>VLOOKUP(A55,Poeng!$B$10:$BT$258,Poeng!$AK$1,FALSE)</f>
        <v>0</v>
      </c>
      <c r="N55" s="355"/>
      <c r="O55" s="355"/>
      <c r="P55" s="355"/>
      <c r="Q55" s="355"/>
      <c r="T55" s="346" t="str">
        <f>IFERROR(VLOOKUP(A55,Poeng!$B$8:$BU$255,Poeng!$E$1,FALSE),"")</f>
        <v>Considerate contruction: clean and tidy building process and checklist A1 (EU taxonomy requirement: criterion 5-6)</v>
      </c>
      <c r="AB55" s="376" t="str">
        <f>Poeng!BQ313</f>
        <v>LE 01</v>
      </c>
      <c r="AC55" s="377">
        <f>IF(D$9=$AA$36,Poeng!BR313,"")</f>
        <v>3</v>
      </c>
      <c r="AD55" s="377">
        <f>IF(F$9=$AA$36,Poeng!BS313,"")</f>
        <v>3</v>
      </c>
      <c r="AE55" s="378">
        <f>IF(H$9=$AA$36,Poeng!BT313,"")</f>
        <v>3</v>
      </c>
      <c r="AF55" s="346"/>
      <c r="AG55" s="346"/>
    </row>
    <row r="56" spans="1:33">
      <c r="A56" s="343" t="s">
        <v>268</v>
      </c>
      <c r="B56" s="992" t="str">
        <f>VLOOKUP(A56,Poeng!$B$8:$BU$255,Poeng!$C$1,FALSE)</f>
        <v>Man 03</v>
      </c>
      <c r="C56" s="988" t="s">
        <v>1060</v>
      </c>
      <c r="D56" s="989"/>
      <c r="E56" s="989"/>
      <c r="F56" s="989"/>
      <c r="G56" s="989"/>
      <c r="H56" s="989"/>
      <c r="I56" s="989"/>
      <c r="J56" s="990">
        <f>VLOOKUP(A56,Poeng!$B$10:$BT$258,Poeng!$BQ$1,FALSE)</f>
        <v>1</v>
      </c>
      <c r="K56" s="991">
        <f>VLOOKUP(A56,Poeng!$B$10:$BT$258,Poeng!$AI$1,FALSE)</f>
        <v>0</v>
      </c>
      <c r="L56" s="991">
        <f>VLOOKUP(A56,Poeng!$B$10:$BT$258,Poeng!$AJ$1,FALSE)</f>
        <v>0</v>
      </c>
      <c r="M56" s="991">
        <f>VLOOKUP(A56,Poeng!$B$10:$BT$258,Poeng!$AK$1,FALSE)</f>
        <v>0</v>
      </c>
      <c r="N56" s="355"/>
      <c r="O56" s="355"/>
      <c r="P56" s="355"/>
      <c r="Q56" s="355"/>
      <c r="T56" s="346" t="str">
        <f>IFERROR(VLOOKUP(A56,Poeng!$B$8:$BU$255,Poeng!$E$1,FALSE),"")</f>
        <v>Considerate contruction: INSTA 800 and checklist A1 (EU taxonomy requirement: criterion 7-9)</v>
      </c>
      <c r="AB56" s="376" t="str">
        <f>Poeng!BQ314</f>
        <v>LE 02</v>
      </c>
      <c r="AC56" s="377">
        <f>IF(D$9=$AA$36,Poeng!BR314,"")</f>
        <v>2</v>
      </c>
      <c r="AD56" s="377">
        <f>IF(F$9=$AA$36,Poeng!BS314,"")</f>
        <v>2</v>
      </c>
      <c r="AE56" s="378">
        <f>IF(H$9=$AA$36,Poeng!BT314,"")</f>
        <v>2</v>
      </c>
      <c r="AF56" s="346"/>
      <c r="AG56" s="346"/>
    </row>
    <row r="57" spans="1:33">
      <c r="A57" s="343"/>
      <c r="B57" s="355"/>
      <c r="C57" s="355" t="s">
        <v>1061</v>
      </c>
      <c r="D57" s="355"/>
      <c r="E57" s="355"/>
      <c r="F57" s="355"/>
      <c r="G57" s="355"/>
      <c r="H57" s="355"/>
      <c r="I57" s="355"/>
      <c r="J57" s="993"/>
      <c r="K57" s="355"/>
      <c r="L57" s="355"/>
      <c r="M57" s="355"/>
      <c r="N57" s="355"/>
      <c r="O57" s="355"/>
      <c r="P57" s="355"/>
      <c r="Q57" s="355"/>
      <c r="T57" s="346" t="str">
        <f>IFERROR(VLOOKUP(A57,Poeng!$B$8:$BU$255,Poeng!$E$1,FALSE),"")</f>
        <v/>
      </c>
      <c r="AB57" s="376" t="str">
        <f>Poeng!BQ315</f>
        <v>LE 04</v>
      </c>
      <c r="AC57" s="377">
        <f>IF(D$9=$AA$36,Poeng!BR315,"")</f>
        <v>4</v>
      </c>
      <c r="AD57" s="377">
        <f>IF(F$9=$AA$36,Poeng!BS315,"")</f>
        <v>4</v>
      </c>
      <c r="AE57" s="378">
        <f>IF(H$9=$AA$36,Poeng!BT315,"")</f>
        <v>4</v>
      </c>
    </row>
    <row r="58" spans="1:33">
      <c r="A58" s="343"/>
      <c r="B58" s="925" t="s">
        <v>286</v>
      </c>
      <c r="C58" s="346" t="s">
        <v>1061</v>
      </c>
      <c r="D58" s="355"/>
      <c r="E58" s="355"/>
      <c r="F58" s="355"/>
      <c r="G58" s="355"/>
      <c r="H58" s="355"/>
      <c r="I58" s="355"/>
      <c r="J58" s="993"/>
      <c r="K58" s="355"/>
      <c r="L58" s="355"/>
      <c r="M58" s="355"/>
      <c r="N58" s="355"/>
      <c r="O58" s="355"/>
      <c r="P58" s="355"/>
      <c r="Q58" s="355"/>
      <c r="T58" s="346" t="str">
        <f>IFERROR(VLOOKUP(A58,Poeng!$B$8:$BU$255,Poeng!$E$1,FALSE),"")</f>
        <v/>
      </c>
      <c r="AB58" s="376" t="str">
        <f>Poeng!BQ316</f>
        <v>LE 06</v>
      </c>
      <c r="AC58" s="377">
        <f>IF(D$9=$AA$36,Poeng!BR316,"")</f>
        <v>3</v>
      </c>
      <c r="AD58" s="377">
        <f>IF(F$9=$AA$36,Poeng!BS316,"")</f>
        <v>3</v>
      </c>
      <c r="AE58" s="378">
        <f>IF(H$9=$AA$36,Poeng!BT316,"")</f>
        <v>3</v>
      </c>
    </row>
    <row r="59" spans="1:33">
      <c r="A59" s="343" t="s">
        <v>311</v>
      </c>
      <c r="B59" s="987" t="str">
        <f>VLOOKUP(A59,Poeng!$B$8:$BU$255,Poeng!$C$1,FALSE)</f>
        <v>Hea 02</v>
      </c>
      <c r="C59" s="988" t="s">
        <v>1062</v>
      </c>
      <c r="D59" s="989"/>
      <c r="E59" s="989"/>
      <c r="F59" s="989"/>
      <c r="G59" s="989"/>
      <c r="H59" s="989"/>
      <c r="I59" s="989"/>
      <c r="J59" s="990">
        <f>IF(Poeng!AB49=0,"N/A",VLOOKUP(A59,Poeng!$B$10:$BT$258,Poeng!$BQ$1,FALSE))</f>
        <v>2</v>
      </c>
      <c r="K59" s="991">
        <f>IF(Poeng!AB49=0,"N/A",VLOOKUP(A59,Poeng!$B$10:$BT$258,Poeng!$AI$1,FALSE))</f>
        <v>0</v>
      </c>
      <c r="L59" s="991">
        <f>VLOOKUP(A59,Poeng!$B$10:$BT$258,Poeng!$AJ$1,FALSE)</f>
        <v>0</v>
      </c>
      <c r="M59" s="991">
        <f>VLOOKUP(A59,Poeng!$B$10:$BT$258,Poeng!$AK$1,FALSE)</f>
        <v>0</v>
      </c>
      <c r="N59" s="355"/>
      <c r="O59" s="355"/>
      <c r="P59" s="355"/>
      <c r="Q59" s="355"/>
      <c r="T59" s="346" t="str">
        <f>IFERROR(VLOOKUP(A59,Poeng!$B$8:$BU$255,Poeng!$E$1,FALSE),"")</f>
        <v>Emissions from construction products (EU taxonomy requirement: criterion 5)</v>
      </c>
    </row>
    <row r="60" spans="1:33">
      <c r="A60" s="343"/>
      <c r="B60" s="346"/>
      <c r="C60" s="346" t="s">
        <v>1061</v>
      </c>
      <c r="D60" s="355"/>
      <c r="E60" s="355"/>
      <c r="F60" s="355"/>
      <c r="G60" s="355"/>
      <c r="H60" s="355"/>
      <c r="I60" s="355"/>
      <c r="J60" s="993"/>
      <c r="K60" s="355"/>
      <c r="L60" s="355"/>
      <c r="M60" s="355"/>
      <c r="N60" s="355"/>
      <c r="O60" s="355"/>
      <c r="P60" s="355"/>
      <c r="Q60" s="355"/>
      <c r="T60" s="346" t="str">
        <f>IFERROR(VLOOKUP(A60,Poeng!$B$8:$BU$255,Poeng!$E$1,FALSE),"")</f>
        <v/>
      </c>
    </row>
    <row r="61" spans="1:33">
      <c r="A61" s="343"/>
      <c r="B61" s="925" t="s">
        <v>332</v>
      </c>
      <c r="C61" s="346" t="s">
        <v>1061</v>
      </c>
      <c r="D61" s="355"/>
      <c r="E61" s="355"/>
      <c r="F61" s="355"/>
      <c r="G61" s="355"/>
      <c r="H61" s="355"/>
      <c r="I61" s="355"/>
      <c r="J61" s="993"/>
      <c r="K61" s="355"/>
      <c r="L61" s="355"/>
      <c r="M61" s="355"/>
      <c r="N61" s="355"/>
      <c r="O61" s="355"/>
      <c r="P61" s="355"/>
      <c r="Q61" s="355"/>
      <c r="T61" s="346" t="str">
        <f>IFERROR(VLOOKUP(A61,Poeng!$B$8:$BU$255,Poeng!$E$1,FALSE),"")</f>
        <v/>
      </c>
      <c r="AB61" s="347" t="s">
        <v>1063</v>
      </c>
      <c r="AC61" s="347">
        <v>5</v>
      </c>
    </row>
    <row r="62" spans="1:33">
      <c r="A62" s="343" t="s">
        <v>339</v>
      </c>
      <c r="B62" s="987" t="str">
        <f>VLOOKUP(A62,Poeng!$B$8:$BU$255,Poeng!$C$1,FALSE)</f>
        <v>Ene 01</v>
      </c>
      <c r="C62" s="988" t="s">
        <v>1064</v>
      </c>
      <c r="D62" s="989"/>
      <c r="E62" s="989"/>
      <c r="F62" s="989"/>
      <c r="G62" s="989"/>
      <c r="H62" s="989"/>
      <c r="I62" s="989"/>
      <c r="J62" s="990" t="str">
        <f>VLOOKUP(A62,Poeng!$B$10:$BT$258,Poeng!$BQ$1,FALSE)</f>
        <v>Yes</v>
      </c>
      <c r="K62" s="991">
        <f>VLOOKUP(A62,Poeng!$B$10:$BT$258,Poeng!$AI$1,FALSE)</f>
        <v>0</v>
      </c>
      <c r="L62" s="991">
        <f>VLOOKUP(A62,Poeng!$B$10:$BT$258,Poeng!$AJ$1,FALSE)</f>
        <v>0</v>
      </c>
      <c r="M62" s="991">
        <f>VLOOKUP(A62,Poeng!$B$10:$BT$258,Poeng!$AK$1,FALSE)</f>
        <v>0</v>
      </c>
      <c r="N62" s="355"/>
      <c r="O62" s="355"/>
      <c r="P62" s="355"/>
      <c r="Q62" s="355"/>
      <c r="T62" s="346" t="str">
        <f>IFERROR(VLOOKUP(A62,Poeng!$B$8:$BU$255,Poeng!$E$1,FALSE),"")</f>
        <v>EU taxonomy requirements: criterion 10 - thermographic survey</v>
      </c>
      <c r="AB62" s="347" t="s">
        <v>1065</v>
      </c>
    </row>
    <row r="63" spans="1:33">
      <c r="A63" s="343" t="s">
        <v>341</v>
      </c>
      <c r="B63" s="987" t="str">
        <f>VLOOKUP(A63,Poeng!$B$8:$BU$260,Poeng!$C$1,FALSE)</f>
        <v>Ene 01</v>
      </c>
      <c r="C63" s="988" t="str">
        <f>Poeng!E256</f>
        <v>EU taxonomy requirements: criterion 11-12</v>
      </c>
      <c r="D63" s="989"/>
      <c r="E63" s="989"/>
      <c r="F63" s="989"/>
      <c r="G63" s="989"/>
      <c r="H63" s="989"/>
      <c r="I63" s="989"/>
      <c r="J63" s="990" t="str">
        <f>VLOOKUP(A63,Poeng!$B$10:$BT$258,Poeng!$BQ$1,FALSE)</f>
        <v>Yes</v>
      </c>
      <c r="K63" s="991">
        <f>VLOOKUP(A63,Poeng!$B$10:$BT$258,Poeng!$AI$1,FALSE)</f>
        <v>0</v>
      </c>
      <c r="L63" s="991">
        <f>VLOOKUP(A63,Poeng!$B$10:$BT$258,Poeng!$AJ$1,FALSE)</f>
        <v>0</v>
      </c>
      <c r="M63" s="991">
        <f>VLOOKUP(A63,Poeng!$B$10:$BT$258,Poeng!$AK$1,FALSE)</f>
        <v>0</v>
      </c>
      <c r="N63" s="355"/>
      <c r="O63" s="355"/>
      <c r="P63" s="986"/>
      <c r="Q63" s="355"/>
      <c r="T63" s="346" t="str">
        <f>IFERROR(VLOOKUP(A63,Poeng!$B$8:$BU$255,Poeng!$E$1,FALSE),"")</f>
        <v/>
      </c>
    </row>
    <row r="64" spans="1:33">
      <c r="A64" s="343"/>
      <c r="B64" s="346"/>
      <c r="C64" s="346" t="s">
        <v>1061</v>
      </c>
      <c r="D64" s="355"/>
      <c r="E64" s="355"/>
      <c r="F64" s="355"/>
      <c r="G64" s="355"/>
      <c r="H64" s="355"/>
      <c r="I64" s="355"/>
      <c r="J64" s="993"/>
      <c r="K64" s="355"/>
      <c r="L64" s="355"/>
      <c r="M64" s="355"/>
      <c r="N64" s="355"/>
      <c r="O64" s="355"/>
      <c r="P64" s="355"/>
      <c r="Q64" s="355"/>
      <c r="T64" s="346" t="str">
        <f>IFERROR(VLOOKUP(A64,Poeng!$B$8:$BU$255,Poeng!$E$1,FALSE),"")</f>
        <v/>
      </c>
    </row>
    <row r="65" spans="1:20">
      <c r="A65" s="343"/>
      <c r="B65" s="925" t="s">
        <v>385</v>
      </c>
      <c r="C65" s="346" t="s">
        <v>1061</v>
      </c>
      <c r="D65" s="355"/>
      <c r="E65" s="355"/>
      <c r="F65" s="355"/>
      <c r="G65" s="355"/>
      <c r="H65" s="355"/>
      <c r="I65" s="355"/>
      <c r="J65" s="993"/>
      <c r="K65" s="355"/>
      <c r="L65" s="355"/>
      <c r="M65" s="355"/>
      <c r="N65" s="355"/>
      <c r="O65" s="355"/>
      <c r="P65" s="355"/>
      <c r="Q65" s="355"/>
      <c r="T65" s="346" t="str">
        <f>IFERROR(VLOOKUP(A65,Poeng!$B$8:$BU$255,Poeng!$E$1,FALSE),"")</f>
        <v/>
      </c>
    </row>
    <row r="66" spans="1:20">
      <c r="A66" s="343" t="s">
        <v>390</v>
      </c>
      <c r="B66" s="987" t="str">
        <f>VLOOKUP(A66,Poeng!$B$8:$BU$255,Poeng!$C$1,FALSE)</f>
        <v>Wat 01</v>
      </c>
      <c r="C66" s="988" t="s">
        <v>937</v>
      </c>
      <c r="D66" s="989"/>
      <c r="E66" s="989"/>
      <c r="F66" s="989"/>
      <c r="G66" s="989"/>
      <c r="H66" s="989"/>
      <c r="I66" s="989"/>
      <c r="J66" s="990" t="str">
        <f>IF(Poeng!AB254=0,"N/A",VLOOKUP(A66,Poeng!$B$10:$BT$258,Poeng!$BQ$1,FALSE))</f>
        <v>Yes</v>
      </c>
      <c r="K66" s="991">
        <f>IF(Poeng!AB254=0,"N/A",VLOOKUP(A66,Poeng!$B$10:$BT$258,Poeng!$AI$1,FALSE))</f>
        <v>0</v>
      </c>
      <c r="L66" s="991">
        <f>VLOOKUP(A66,Poeng!$B$10:$BT$258,Poeng!$AJ$1,FALSE)</f>
        <v>0</v>
      </c>
      <c r="M66" s="991">
        <f>VLOOKUP(A66,Poeng!$B$10:$BT$258,Poeng!$AK$1,FALSE)</f>
        <v>0</v>
      </c>
      <c r="N66" s="355"/>
      <c r="O66" s="355"/>
      <c r="P66" s="355"/>
      <c r="Q66" s="355"/>
      <c r="T66" s="346" t="str">
        <f>IFERROR(VLOOKUP(A66,Poeng!$B$8:$BU$255,Poeng!$E$1,FALSE),"")</f>
        <v>EU taxonomy requirements: criterion 1-3</v>
      </c>
    </row>
    <row r="67" spans="1:20">
      <c r="A67" s="343"/>
      <c r="B67" s="346"/>
      <c r="C67" s="346" t="s">
        <v>1061</v>
      </c>
      <c r="D67" s="355"/>
      <c r="E67" s="355"/>
      <c r="F67" s="355"/>
      <c r="G67" s="355"/>
      <c r="H67" s="355"/>
      <c r="I67" s="355"/>
      <c r="J67" s="993"/>
      <c r="K67" s="355"/>
      <c r="L67" s="355"/>
      <c r="M67" s="355"/>
      <c r="N67" s="355"/>
      <c r="O67" s="355"/>
      <c r="P67" s="986"/>
      <c r="Q67" s="355"/>
      <c r="T67" s="346" t="str">
        <f>IFERROR(VLOOKUP(A67,Poeng!$B$8:$BU$255,Poeng!$E$1,FALSE),"")</f>
        <v/>
      </c>
    </row>
    <row r="68" spans="1:20">
      <c r="A68" s="343"/>
      <c r="B68" s="925" t="s">
        <v>408</v>
      </c>
      <c r="C68" s="346" t="s">
        <v>1061</v>
      </c>
      <c r="D68" s="355"/>
      <c r="E68" s="355"/>
      <c r="F68" s="355"/>
      <c r="G68" s="355"/>
      <c r="H68" s="355"/>
      <c r="I68" s="355"/>
      <c r="J68" s="993"/>
      <c r="K68" s="355"/>
      <c r="L68" s="355"/>
      <c r="M68" s="355"/>
      <c r="N68" s="355"/>
      <c r="O68" s="355"/>
      <c r="P68" s="355"/>
      <c r="Q68" s="355"/>
      <c r="T68" s="346" t="str">
        <f>IFERROR(VLOOKUP(A68,Poeng!$B$8:$BU$255,Poeng!$E$1,FALSE),"")</f>
        <v/>
      </c>
    </row>
    <row r="69" spans="1:20">
      <c r="A69" s="343" t="s">
        <v>416</v>
      </c>
      <c r="B69" s="987" t="str">
        <f>VLOOKUP(A69,Poeng!$B$8:$BU$255,Poeng!$C$1,FALSE)</f>
        <v>Mat 02</v>
      </c>
      <c r="C69" s="988" t="s">
        <v>1066</v>
      </c>
      <c r="D69" s="989"/>
      <c r="E69" s="989"/>
      <c r="F69" s="989"/>
      <c r="G69" s="989"/>
      <c r="H69" s="989"/>
      <c r="I69" s="989"/>
      <c r="J69" s="990" t="str">
        <f>VLOOKUP(A69,Poeng!$B$10:$BT$258,Poeng!$BQ$1,FALSE)</f>
        <v>Yes</v>
      </c>
      <c r="K69" s="991">
        <f>VLOOKUP(A69,Poeng!$B$10:$BT$258,Poeng!$AI$1,FALSE)</f>
        <v>0</v>
      </c>
      <c r="L69" s="991">
        <f>VLOOKUP(A69,Poeng!$B$10:$BT$258,Poeng!$AJ$1,FALSE)</f>
        <v>0</v>
      </c>
      <c r="M69" s="991">
        <f>VLOOKUP(A69,Poeng!$B$10:$BT$258,Poeng!$AK$1,FALSE)</f>
        <v>0</v>
      </c>
      <c r="N69" s="355"/>
      <c r="O69" s="355"/>
      <c r="P69" s="355"/>
      <c r="Q69" s="355"/>
      <c r="T69" s="346" t="str">
        <f>IFERROR(VLOOKUP(A69,Poeng!$B$8:$BU$255,Poeng!$E$1,FALSE),"")</f>
        <v>Minimum req: absence of environmental toxins (EU taxonomy requirement: criterion 1)</v>
      </c>
    </row>
    <row r="70" spans="1:20">
      <c r="A70" s="343" t="s">
        <v>433</v>
      </c>
      <c r="B70" s="987" t="str">
        <f>VLOOKUP(A70,Poeng!$B$8:$BU$255,Poeng!$C$1,FALSE)</f>
        <v>Mat 06</v>
      </c>
      <c r="C70" s="988" t="s">
        <v>1067</v>
      </c>
      <c r="D70" s="989"/>
      <c r="E70" s="989"/>
      <c r="F70" s="989"/>
      <c r="G70" s="989"/>
      <c r="H70" s="989"/>
      <c r="I70" s="989"/>
      <c r="J70" s="990">
        <f>IF(Poeng!AB145=0,"N/A",VLOOKUP(A70,Poeng!$B$10:$BT$258,Poeng!$BQ$1,FALSE))</f>
        <v>1</v>
      </c>
      <c r="K70" s="991">
        <f>IF(Poeng!AB145=0,"N/A",VLOOKUP(A70,Poeng!$B$10:$BT$258,Poeng!$AI$1,FALSE))</f>
        <v>0</v>
      </c>
      <c r="L70" s="991">
        <f>VLOOKUP(A70,Poeng!$B$10:$BT$258,Poeng!$AJ$1,FALSE)</f>
        <v>0</v>
      </c>
      <c r="M70" s="991">
        <f>VLOOKUP(A70,Poeng!$B$10:$BT$258,Poeng!$AK$1,FALSE)</f>
        <v>0</v>
      </c>
      <c r="N70" s="355"/>
      <c r="O70" s="355"/>
      <c r="P70" s="355"/>
      <c r="Q70" s="355"/>
      <c r="T70" s="346" t="str">
        <f>IFERROR(VLOOKUP(A70,Poeng!$B$8:$BU$255,Poeng!$E$1,FALSE),"")</f>
        <v>Mapping for component reuse and implementation (EU taxonomy requirement: criterion 1-3)</v>
      </c>
    </row>
    <row r="71" spans="1:20">
      <c r="A71" s="343" t="s">
        <v>438</v>
      </c>
      <c r="B71" s="987" t="str">
        <f>VLOOKUP(A71,Poeng!$B$8:$BU$255,Poeng!$C$1,FALSE)</f>
        <v>Mat 07</v>
      </c>
      <c r="C71" s="988" t="s">
        <v>1068</v>
      </c>
      <c r="D71" s="989"/>
      <c r="E71" s="989"/>
      <c r="F71" s="989"/>
      <c r="G71" s="989"/>
      <c r="H71" s="989"/>
      <c r="I71" s="989"/>
      <c r="J71" s="990">
        <f>VLOOKUP(A71,Poeng!$B$10:$BT$258,Poeng!$BQ$1,FALSE)</f>
        <v>1</v>
      </c>
      <c r="K71" s="991">
        <f>VLOOKUP(A71,Poeng!$B$10:$BT$258,Poeng!$AI$1,FALSE)</f>
        <v>0</v>
      </c>
      <c r="L71" s="991">
        <f>VLOOKUP(A71,Poeng!$B$10:$BT$258,Poeng!$AJ$1,FALSE)</f>
        <v>0</v>
      </c>
      <c r="M71" s="991">
        <f>VLOOKUP(A71,Poeng!$B$10:$BT$258,Poeng!$AK$1,FALSE)</f>
        <v>0</v>
      </c>
      <c r="N71" s="355"/>
      <c r="O71" s="355"/>
      <c r="P71" s="355"/>
      <c r="Q71" s="355"/>
      <c r="T71" s="346" t="str">
        <f>IFERROR(VLOOKUP(A71,Poeng!$B$8:$BU$255,Poeng!$E$1,FALSE),"")</f>
        <v>Design for disassembly and functional adaptability - recommendations (EU taxonomy requirement: criterion 2-3)</v>
      </c>
    </row>
    <row r="72" spans="1:20">
      <c r="A72" s="343" t="s">
        <v>439</v>
      </c>
      <c r="B72" s="987" t="str">
        <f>VLOOKUP(A72,Poeng!$B$8:$BU$255,Poeng!$C$1,FALSE)</f>
        <v>Mat 07</v>
      </c>
      <c r="C72" s="988" t="s">
        <v>1069</v>
      </c>
      <c r="D72" s="989"/>
      <c r="E72" s="989"/>
      <c r="F72" s="989"/>
      <c r="G72" s="989"/>
      <c r="H72" s="989"/>
      <c r="I72" s="989"/>
      <c r="J72" s="990">
        <f>VLOOKUP(A72,Poeng!$B$10:$BT$258,Poeng!$BQ$1,FALSE)</f>
        <v>1</v>
      </c>
      <c r="K72" s="991">
        <f>VLOOKUP(A72,Poeng!$B$10:$BT$258,Poeng!$AI$1,FALSE)</f>
        <v>0</v>
      </c>
      <c r="L72" s="991">
        <f>VLOOKUP(A72,Poeng!$B$10:$BT$258,Poeng!$AJ$1,FALSE)</f>
        <v>0</v>
      </c>
      <c r="M72" s="991">
        <f>VLOOKUP(A72,Poeng!$B$10:$BT$258,Poeng!$AK$1,FALSE)</f>
        <v>0</v>
      </c>
      <c r="N72" s="355"/>
      <c r="O72" s="355"/>
      <c r="P72" s="355"/>
      <c r="Q72" s="355"/>
      <c r="T72" s="346" t="str">
        <f>IFERROR(VLOOKUP(A72,Poeng!$B$8:$BU$255,Poeng!$E$1,FALSE),"")</f>
        <v>Disassembly and functional adaptability - implementation (EU taxonomy requirement: criterion 4-6)</v>
      </c>
    </row>
    <row r="73" spans="1:20">
      <c r="A73" s="343"/>
      <c r="B73" s="346"/>
      <c r="C73" s="346" t="s">
        <v>1061</v>
      </c>
      <c r="D73" s="355"/>
      <c r="E73" s="355"/>
      <c r="F73" s="355"/>
      <c r="G73" s="355"/>
      <c r="H73" s="355"/>
      <c r="I73" s="355"/>
      <c r="J73" s="993"/>
      <c r="K73" s="355"/>
      <c r="L73" s="355"/>
      <c r="M73" s="355"/>
      <c r="N73" s="355"/>
      <c r="O73" s="355"/>
      <c r="P73" s="355"/>
      <c r="Q73" s="355"/>
      <c r="T73" s="346" t="str">
        <f>IFERROR(VLOOKUP(A73,Poeng!$B$8:$BU$255,Poeng!$E$1,FALSE),"")</f>
        <v/>
      </c>
    </row>
    <row r="74" spans="1:20">
      <c r="A74" s="343"/>
      <c r="B74" s="925" t="s">
        <v>442</v>
      </c>
      <c r="C74" s="346" t="s">
        <v>1061</v>
      </c>
      <c r="D74" s="355"/>
      <c r="E74" s="355"/>
      <c r="F74" s="355"/>
      <c r="G74" s="355"/>
      <c r="H74" s="355"/>
      <c r="I74" s="355"/>
      <c r="J74" s="993"/>
      <c r="K74" s="355"/>
      <c r="L74" s="355"/>
      <c r="M74" s="355"/>
      <c r="N74" s="355"/>
      <c r="O74" s="355"/>
      <c r="P74" s="355"/>
      <c r="Q74" s="355"/>
      <c r="T74" s="346" t="str">
        <f>IFERROR(VLOOKUP(A74,Poeng!$B$8:$BU$255,Poeng!$E$1,FALSE),"")</f>
        <v/>
      </c>
    </row>
    <row r="75" spans="1:20">
      <c r="A75" s="343" t="s">
        <v>938</v>
      </c>
      <c r="B75" s="987" t="str">
        <f>VLOOKUP(A75,Poeng!$B$8:$BU$255,Poeng!$C$1,FALSE)</f>
        <v>Wst 01</v>
      </c>
      <c r="C75" s="988" t="s">
        <v>939</v>
      </c>
      <c r="D75" s="989"/>
      <c r="E75" s="989"/>
      <c r="F75" s="989"/>
      <c r="G75" s="989"/>
      <c r="H75" s="989"/>
      <c r="I75" s="989"/>
      <c r="J75" s="990" t="str">
        <f>VLOOKUP(A75,Poeng!$B$10:$BT$258,Poeng!$BQ$1,FALSE)</f>
        <v>Yes</v>
      </c>
      <c r="K75" s="991">
        <f>VLOOKUP(A75,Poeng!$B$10:$BT$258,Poeng!$AI$1,FALSE)</f>
        <v>0</v>
      </c>
      <c r="L75" s="991">
        <f>VLOOKUP(A75,Poeng!$B$10:$BT$258,Poeng!$AJ$1,FALSE)</f>
        <v>0</v>
      </c>
      <c r="M75" s="991">
        <f>VLOOKUP(A75,Poeng!$B$10:$BT$258,Poeng!$AK$1,FALSE)</f>
        <v>0</v>
      </c>
      <c r="N75" s="355"/>
      <c r="O75" s="355"/>
      <c r="P75" s="355"/>
      <c r="Q75" s="355"/>
      <c r="T75" s="346" t="str">
        <f>IFERROR(VLOOKUP(A75,Poeng!$B$8:$BU$255,Poeng!$E$1,FALSE),"")</f>
        <v>EU taxonomy requirement: criterion 1</v>
      </c>
    </row>
    <row r="76" spans="1:20">
      <c r="A76" s="343" t="s">
        <v>450</v>
      </c>
      <c r="B76" s="987" t="str">
        <f>VLOOKUP(A76,Poeng!$B$8:$BU$255,Poeng!$C$1,FALSE)</f>
        <v>Wst 01</v>
      </c>
      <c r="C76" s="988" t="s">
        <v>1070</v>
      </c>
      <c r="D76" s="989"/>
      <c r="E76" s="989"/>
      <c r="F76" s="989"/>
      <c r="G76" s="989"/>
      <c r="H76" s="989"/>
      <c r="I76" s="989"/>
      <c r="J76" s="990" t="str">
        <f>VLOOKUP(A76,Poeng!$B$10:$BT$258,Poeng!$BQ$1,FALSE)</f>
        <v>Yes</v>
      </c>
      <c r="K76" s="991">
        <f>VLOOKUP(A76,Poeng!$B$10:$BT$258,Poeng!$AI$1,FALSE)</f>
        <v>0</v>
      </c>
      <c r="L76" s="991">
        <f>VLOOKUP(A76,Poeng!$B$10:$BT$258,Poeng!$AJ$1,FALSE)</f>
        <v>0</v>
      </c>
      <c r="M76" s="991">
        <f>VLOOKUP(A76,Poeng!$B$10:$BT$258,Poeng!$AK$1,FALSE)</f>
        <v>0</v>
      </c>
      <c r="N76" s="355"/>
      <c r="O76" s="355"/>
      <c r="P76" s="355"/>
      <c r="Q76" s="355"/>
      <c r="T76" s="346" t="str">
        <f>IFERROR(VLOOKUP(A76,Poeng!$B$8:$BU$255,Poeng!$E$1,FALSE),"")</f>
        <v>EU taxonomy requirement: criterion 4, ready for reuse &gt;70%</v>
      </c>
    </row>
    <row r="77" spans="1:20">
      <c r="A77" s="343"/>
      <c r="B77" s="346"/>
      <c r="C77" s="346" t="s">
        <v>1061</v>
      </c>
      <c r="D77" s="355"/>
      <c r="E77" s="355"/>
      <c r="F77" s="355"/>
      <c r="G77" s="355"/>
      <c r="H77" s="355"/>
      <c r="I77" s="355"/>
      <c r="J77" s="993"/>
      <c r="K77" s="355"/>
      <c r="L77" s="355"/>
      <c r="M77" s="355"/>
      <c r="N77" s="355"/>
      <c r="O77" s="355"/>
      <c r="P77" s="355"/>
      <c r="Q77" s="355"/>
      <c r="T77" s="346" t="str">
        <f>IFERROR(VLOOKUP(A77,Poeng!$B$8:$BU$255,Poeng!$E$1,FALSE),"")</f>
        <v/>
      </c>
    </row>
    <row r="78" spans="1:20">
      <c r="A78" s="343"/>
      <c r="B78" s="925" t="s">
        <v>461</v>
      </c>
      <c r="C78" s="346" t="s">
        <v>1061</v>
      </c>
      <c r="D78" s="355"/>
      <c r="E78" s="355"/>
      <c r="F78" s="355"/>
      <c r="G78" s="355"/>
      <c r="H78" s="355"/>
      <c r="I78" s="355"/>
      <c r="J78" s="993"/>
      <c r="K78" s="346"/>
      <c r="L78" s="355"/>
      <c r="M78" s="355"/>
      <c r="N78" s="355"/>
      <c r="O78" s="355"/>
      <c r="P78" s="355"/>
      <c r="Q78" s="355"/>
      <c r="T78" s="346" t="str">
        <f>IFERROR(VLOOKUP(A78,Poeng!$B$8:$BU$255,Poeng!$E$1,FALSE),"")</f>
        <v/>
      </c>
    </row>
    <row r="79" spans="1:20">
      <c r="A79" s="343" t="s">
        <v>466</v>
      </c>
      <c r="B79" s="987" t="str">
        <f>VLOOKUP(A79,Poeng!$B$8:$BU$255,Poeng!$C$1,FALSE)</f>
        <v>LE 01</v>
      </c>
      <c r="C79" s="988" t="s">
        <v>1071</v>
      </c>
      <c r="D79" s="989"/>
      <c r="E79" s="989"/>
      <c r="F79" s="989"/>
      <c r="G79" s="989"/>
      <c r="H79" s="989"/>
      <c r="I79" s="989"/>
      <c r="J79" s="990" t="str">
        <f>VLOOKUP(A79,Poeng!$B$10:$BT$258,Poeng!$BQ$1,FALSE)</f>
        <v>Yes</v>
      </c>
      <c r="K79" s="991">
        <f>VLOOKUP(A79,Poeng!$B$10:$BT$258,Poeng!$AI$1,FALSE)</f>
        <v>0</v>
      </c>
      <c r="L79" s="991">
        <f>VLOOKUP(A79,Poeng!$B$10:$BT$258,Poeng!$AJ$1,FALSE)</f>
        <v>0</v>
      </c>
      <c r="M79" s="991">
        <f>VLOOKUP(A79,Poeng!$B$10:$BT$258,Poeng!$AK$1,FALSE)</f>
        <v>0</v>
      </c>
      <c r="N79" s="355"/>
      <c r="O79" s="355"/>
      <c r="P79" s="355"/>
      <c r="Q79" s="355"/>
      <c r="T79" s="346" t="str">
        <f>IFERROR(VLOOKUP(A79,Poeng!$B$8:$BU$255,Poeng!$E$1,FALSE),"")</f>
        <v>Minimum req: agricultural area / forest (EU taxonomy requirement: criterion 2)</v>
      </c>
    </row>
    <row r="80" spans="1:20">
      <c r="A80" s="343" t="s">
        <v>470</v>
      </c>
      <c r="B80" s="987" t="str">
        <f>VLOOKUP(A80,Poeng!$B$8:$BU$255,Poeng!$C$1,FALSE)</f>
        <v>LE 02</v>
      </c>
      <c r="C80" s="988" t="s">
        <v>1072</v>
      </c>
      <c r="D80" s="989"/>
      <c r="E80" s="989"/>
      <c r="F80" s="989"/>
      <c r="G80" s="989"/>
      <c r="H80" s="989"/>
      <c r="I80" s="989"/>
      <c r="J80" s="990">
        <f>VLOOKUP(A80,Poeng!$B$10:$BT$258,Poeng!$BQ$1,FALSE)</f>
        <v>1</v>
      </c>
      <c r="K80" s="991">
        <f>VLOOKUP(A80,Poeng!$B$10:$BT$258,Poeng!$AI$1,FALSE)</f>
        <v>0</v>
      </c>
      <c r="L80" s="991">
        <f>VLOOKUP(A80,Poeng!$B$10:$BT$258,Poeng!$AJ$1,FALSE)</f>
        <v>0</v>
      </c>
      <c r="M80" s="991">
        <f>VLOOKUP(A80,Poeng!$B$10:$BT$258,Poeng!$AK$1,FALSE)</f>
        <v>0</v>
      </c>
      <c r="N80" s="355"/>
      <c r="O80" s="355"/>
      <c r="P80" s="355"/>
      <c r="Q80" s="355"/>
      <c r="T80" s="346" t="str">
        <f>IFERROR(VLOOKUP(A80,Poeng!$B$8:$BU$255,Poeng!$E$1,FALSE),"")</f>
        <v>Survey and evaluation (EU taxonomy requirement: criterion 2-4)</v>
      </c>
    </row>
    <row r="81" spans="1:20">
      <c r="A81" s="343" t="s">
        <v>488</v>
      </c>
      <c r="B81" s="987" t="str">
        <f>VLOOKUP(A81,Poeng!$B$8:$BU$255,Poeng!$C$1,FALSE)</f>
        <v>LE 06</v>
      </c>
      <c r="C81" s="988" t="s">
        <v>1073</v>
      </c>
      <c r="D81" s="989"/>
      <c r="E81" s="989"/>
      <c r="F81" s="989"/>
      <c r="G81" s="989"/>
      <c r="H81" s="989"/>
      <c r="I81" s="989"/>
      <c r="J81" s="990">
        <f>VLOOKUP(A81,Poeng!$B$10:$BT$258,Poeng!$BQ$1,FALSE)</f>
        <v>1</v>
      </c>
      <c r="K81" s="991">
        <f>VLOOKUP(A81,Poeng!$B$10:$BT$258,Poeng!$AI$1,FALSE)</f>
        <v>0</v>
      </c>
      <c r="L81" s="991">
        <f>VLOOKUP(A81,Poeng!$B$10:$BT$258,Poeng!$AJ$1,FALSE)</f>
        <v>0</v>
      </c>
      <c r="M81" s="991">
        <f>VLOOKUP(A81,Poeng!$B$10:$BT$258,Poeng!$AK$1,FALSE)</f>
        <v>0</v>
      </c>
      <c r="N81" s="355"/>
      <c r="O81" s="355"/>
      <c r="P81" s="355"/>
      <c r="Q81" s="355"/>
      <c r="T81" s="346" t="str">
        <f>IFERROR(VLOOKUP(A81,Poeng!$B$8:$BU$255,Poeng!$E$1,FALSE),"")</f>
        <v>Risk assessment (EU taxonomy requirement: criterion 1-6)</v>
      </c>
    </row>
    <row r="82" spans="1:20">
      <c r="A82" s="343"/>
      <c r="B82" s="355"/>
      <c r="C82" s="355"/>
      <c r="D82" s="355"/>
      <c r="E82" s="355"/>
      <c r="F82" s="355"/>
      <c r="G82" s="355"/>
      <c r="H82" s="355"/>
      <c r="I82" s="355"/>
      <c r="J82" s="346"/>
      <c r="K82" s="355"/>
      <c r="L82" s="355"/>
      <c r="M82" s="355"/>
      <c r="N82" s="355"/>
      <c r="O82" s="355"/>
      <c r="P82" s="355"/>
      <c r="Q82" s="355"/>
      <c r="T82" s="346" t="str">
        <f>IFERROR(VLOOKUP(A82,Poeng!$B$8:$BU$255,Poeng!$E$1,FALSE),"")</f>
        <v/>
      </c>
    </row>
    <row r="83" spans="1:20">
      <c r="A83" s="654"/>
      <c r="B83" s="355"/>
      <c r="C83" s="355"/>
      <c r="D83" s="355"/>
      <c r="E83" s="355"/>
      <c r="F83" s="355"/>
      <c r="G83" s="355"/>
      <c r="H83" s="355"/>
      <c r="I83" s="355"/>
      <c r="J83" s="355"/>
      <c r="K83" s="355"/>
      <c r="L83" s="355"/>
      <c r="M83" s="355"/>
      <c r="N83" s="355"/>
      <c r="O83" s="355"/>
      <c r="P83" s="355"/>
      <c r="Q83" s="355"/>
      <c r="T83" s="346" t="str">
        <f>IFERROR(VLOOKUP(A83,Poeng!$B$8:$BU$255,Poeng!$E$1,FALSE),"")</f>
        <v/>
      </c>
    </row>
    <row r="84" spans="1:20">
      <c r="A84" s="654"/>
      <c r="B84" s="355"/>
      <c r="C84" s="355"/>
      <c r="D84" s="355"/>
      <c r="E84" s="355"/>
      <c r="F84" s="355"/>
      <c r="G84" s="355"/>
      <c r="H84" s="355"/>
      <c r="I84" s="355"/>
      <c r="J84" s="355"/>
      <c r="K84" s="355"/>
      <c r="L84" s="355"/>
      <c r="M84" s="355"/>
      <c r="N84" s="355"/>
      <c r="O84" s="355"/>
      <c r="P84" s="355"/>
      <c r="Q84" s="355"/>
    </row>
    <row r="85" spans="1:20">
      <c r="A85" s="654"/>
      <c r="B85" s="355"/>
      <c r="C85" s="355"/>
      <c r="D85" s="355"/>
      <c r="E85" s="355"/>
      <c r="F85" s="355"/>
      <c r="G85" s="355"/>
      <c r="H85" s="355"/>
      <c r="I85" s="355"/>
      <c r="J85" s="355"/>
      <c r="K85" s="346"/>
      <c r="L85" s="355"/>
      <c r="M85" s="355"/>
      <c r="N85" s="355"/>
      <c r="O85" s="355"/>
      <c r="P85" s="355"/>
      <c r="Q85" s="355"/>
    </row>
    <row r="86" spans="1:20">
      <c r="A86" s="654"/>
      <c r="B86" s="355"/>
      <c r="C86" s="355"/>
      <c r="D86" s="355"/>
      <c r="E86" s="355"/>
      <c r="F86" s="355"/>
      <c r="G86" s="355"/>
      <c r="H86" s="355"/>
      <c r="I86" s="355"/>
      <c r="J86" s="355"/>
      <c r="K86" s="355"/>
      <c r="L86" s="355"/>
      <c r="M86" s="355"/>
      <c r="N86" s="355"/>
      <c r="O86" s="355"/>
      <c r="P86" s="355"/>
      <c r="Q86" s="355"/>
    </row>
    <row r="87" spans="1:20">
      <c r="A87" s="654"/>
      <c r="B87" s="355"/>
      <c r="C87" s="355"/>
      <c r="D87" s="355"/>
      <c r="E87" s="355"/>
      <c r="F87" s="355"/>
      <c r="G87" s="355"/>
      <c r="H87" s="355"/>
      <c r="I87" s="355"/>
      <c r="J87" s="355"/>
      <c r="K87" s="355"/>
      <c r="L87" s="355"/>
      <c r="M87" s="355"/>
      <c r="N87" s="355"/>
      <c r="O87" s="355"/>
      <c r="P87" s="355"/>
      <c r="Q87" s="355"/>
    </row>
    <row r="88" spans="1:20">
      <c r="A88" s="654"/>
      <c r="B88" s="355"/>
      <c r="C88" s="355"/>
      <c r="D88" s="355"/>
      <c r="E88" s="355"/>
      <c r="F88" s="355"/>
      <c r="G88" s="355"/>
      <c r="H88" s="355"/>
      <c r="I88" s="355"/>
      <c r="J88" s="355"/>
      <c r="K88" s="355"/>
      <c r="L88" s="355"/>
      <c r="M88" s="355"/>
      <c r="N88" s="355"/>
      <c r="O88" s="355"/>
      <c r="P88" s="355"/>
      <c r="Q88" s="355"/>
    </row>
    <row r="89" spans="1:20">
      <c r="A89" s="654"/>
      <c r="B89" s="355"/>
      <c r="C89" s="355"/>
      <c r="D89" s="355"/>
      <c r="E89" s="355"/>
      <c r="F89" s="355"/>
      <c r="G89" s="355"/>
      <c r="H89" s="355"/>
      <c r="I89" s="355"/>
      <c r="J89" s="355"/>
      <c r="K89" s="355"/>
      <c r="L89" s="355"/>
      <c r="M89" s="355"/>
      <c r="N89" s="355"/>
      <c r="O89" s="355"/>
      <c r="P89" s="355"/>
      <c r="Q89" s="355"/>
    </row>
    <row r="90" spans="1:20">
      <c r="A90" s="654"/>
      <c r="B90" s="654"/>
      <c r="C90" s="654"/>
      <c r="D90" s="654"/>
      <c r="E90" s="654"/>
      <c r="F90" s="654"/>
      <c r="G90" s="654"/>
      <c r="H90" s="654"/>
      <c r="I90" s="654"/>
      <c r="J90" s="654"/>
      <c r="K90" s="654"/>
      <c r="L90" s="654"/>
      <c r="M90" s="654"/>
      <c r="N90" s="355"/>
      <c r="O90" s="355"/>
      <c r="P90" s="355"/>
      <c r="Q90" s="355"/>
    </row>
    <row r="91" spans="1:20">
      <c r="A91" s="654"/>
      <c r="B91" s="654"/>
      <c r="C91" s="654"/>
      <c r="D91" s="654"/>
      <c r="E91" s="654"/>
      <c r="F91" s="654"/>
      <c r="G91" s="654"/>
      <c r="H91" s="654"/>
      <c r="I91" s="654"/>
      <c r="J91" s="654"/>
      <c r="K91" s="654"/>
      <c r="L91" s="654"/>
      <c r="M91" s="654"/>
      <c r="N91" s="355"/>
      <c r="O91" s="355"/>
      <c r="P91" s="355"/>
      <c r="Q91" s="355"/>
    </row>
    <row r="92" spans="1:20">
      <c r="A92" s="654"/>
      <c r="B92" s="654"/>
      <c r="C92" s="654"/>
      <c r="D92" s="654"/>
      <c r="E92" s="654"/>
      <c r="F92" s="654"/>
      <c r="G92" s="654"/>
      <c r="H92" s="654"/>
      <c r="I92" s="654"/>
      <c r="J92" s="654"/>
      <c r="K92" s="654"/>
      <c r="L92" s="654"/>
      <c r="M92" s="654"/>
      <c r="N92" s="355"/>
      <c r="O92" s="355"/>
      <c r="P92" s="355"/>
      <c r="Q92" s="355"/>
    </row>
    <row r="93" spans="1:20" hidden="1">
      <c r="A93" s="654" t="s">
        <v>446</v>
      </c>
      <c r="B93" s="654"/>
      <c r="C93" s="654"/>
      <c r="D93" s="654"/>
      <c r="E93" s="654"/>
      <c r="F93" s="654"/>
      <c r="G93" s="654"/>
      <c r="H93" s="654"/>
      <c r="I93" s="654"/>
      <c r="J93" s="654"/>
      <c r="K93" s="654"/>
      <c r="L93" s="654"/>
      <c r="M93" s="654"/>
      <c r="N93" s="355"/>
      <c r="O93" s="355"/>
      <c r="P93" s="355"/>
      <c r="Q93" s="355"/>
    </row>
    <row r="94" spans="1:20" hidden="1">
      <c r="A94" s="654" t="s">
        <v>449</v>
      </c>
      <c r="B94" s="654"/>
      <c r="C94" s="654"/>
      <c r="D94" s="654"/>
      <c r="E94" s="654"/>
      <c r="F94" s="654"/>
      <c r="G94" s="654"/>
      <c r="H94" s="654"/>
      <c r="I94" s="654"/>
      <c r="J94" s="654"/>
      <c r="K94" s="654"/>
      <c r="L94" s="654"/>
      <c r="M94" s="654"/>
      <c r="N94" s="355"/>
      <c r="O94" s="355"/>
      <c r="P94" s="355"/>
      <c r="Q94" s="355"/>
    </row>
    <row r="95" spans="1:20" hidden="1">
      <c r="A95" s="654"/>
      <c r="B95" s="654"/>
      <c r="C95" s="654"/>
      <c r="D95" s="654"/>
      <c r="E95" s="654"/>
      <c r="F95" s="654"/>
      <c r="G95" s="654"/>
      <c r="H95" s="654"/>
      <c r="I95" s="654"/>
      <c r="J95" s="654"/>
      <c r="K95" s="654"/>
      <c r="L95" s="654"/>
      <c r="M95" s="654"/>
      <c r="N95" s="355"/>
      <c r="O95" s="355"/>
      <c r="P95" s="355"/>
      <c r="Q95" s="355"/>
    </row>
    <row r="96" spans="1:20" hidden="1">
      <c r="A96" s="654" t="s">
        <v>434</v>
      </c>
      <c r="B96" s="654"/>
      <c r="C96" s="654"/>
      <c r="D96" s="654"/>
      <c r="E96" s="654"/>
      <c r="F96" s="654"/>
      <c r="G96" s="654"/>
      <c r="H96" s="654"/>
      <c r="I96" s="654"/>
      <c r="J96" s="654"/>
      <c r="K96" s="654"/>
      <c r="L96" s="654"/>
      <c r="M96" s="654"/>
      <c r="N96" s="355"/>
      <c r="O96" s="355"/>
      <c r="P96" s="355"/>
      <c r="Q96" s="355"/>
    </row>
    <row r="97" spans="1:17" hidden="1">
      <c r="A97" s="654" t="s">
        <v>435</v>
      </c>
      <c r="B97" s="654"/>
      <c r="C97" s="654"/>
      <c r="D97" s="654"/>
      <c r="E97" s="654"/>
      <c r="F97" s="654"/>
      <c r="G97" s="654"/>
      <c r="H97" s="654"/>
      <c r="I97" s="654"/>
      <c r="J97" s="654"/>
      <c r="K97" s="654"/>
      <c r="L97" s="654"/>
      <c r="M97" s="654"/>
      <c r="N97" s="355"/>
      <c r="O97" s="355"/>
      <c r="P97" s="355"/>
      <c r="Q97" s="355"/>
    </row>
    <row r="98" spans="1:17" hidden="1">
      <c r="A98" s="654" t="s">
        <v>540</v>
      </c>
      <c r="B98" s="654"/>
      <c r="C98" s="654"/>
      <c r="D98" s="654"/>
      <c r="E98" s="654"/>
      <c r="F98" s="654"/>
      <c r="G98" s="654"/>
      <c r="H98" s="654"/>
      <c r="I98" s="654"/>
      <c r="J98" s="654"/>
      <c r="K98" s="654"/>
      <c r="L98" s="654"/>
      <c r="M98" s="654"/>
      <c r="N98" s="355"/>
      <c r="O98" s="355"/>
      <c r="P98" s="355"/>
      <c r="Q98" s="355"/>
    </row>
    <row r="99" spans="1:17" hidden="1">
      <c r="A99" s="654"/>
      <c r="B99" s="654"/>
      <c r="C99" s="654"/>
      <c r="D99" s="654"/>
      <c r="E99" s="654"/>
      <c r="F99" s="654"/>
      <c r="G99" s="654"/>
      <c r="H99" s="654"/>
      <c r="I99" s="654"/>
      <c r="J99" s="654"/>
      <c r="K99" s="654"/>
      <c r="L99" s="654"/>
      <c r="M99" s="654"/>
      <c r="N99" s="355"/>
      <c r="O99" s="355"/>
      <c r="P99" s="355"/>
      <c r="Q99" s="355"/>
    </row>
    <row r="100" spans="1:17">
      <c r="A100" s="654"/>
      <c r="B100" s="654"/>
      <c r="C100" s="654"/>
      <c r="D100" s="654"/>
      <c r="E100" s="654"/>
      <c r="F100" s="654"/>
      <c r="G100" s="654"/>
      <c r="H100" s="654"/>
      <c r="I100" s="654"/>
      <c r="J100" s="654"/>
      <c r="K100" s="654"/>
      <c r="L100" s="654"/>
      <c r="M100" s="654"/>
      <c r="N100" s="355"/>
      <c r="O100" s="355"/>
      <c r="P100" s="355"/>
      <c r="Q100" s="355"/>
    </row>
    <row r="101" spans="1:17">
      <c r="A101" s="654"/>
      <c r="B101" s="654"/>
      <c r="C101" s="654"/>
      <c r="D101" s="654"/>
      <c r="E101" s="654"/>
      <c r="F101" s="654"/>
      <c r="G101" s="654"/>
      <c r="H101" s="654"/>
      <c r="I101" s="654"/>
      <c r="J101" s="654"/>
      <c r="K101" s="654"/>
      <c r="L101" s="654"/>
      <c r="M101" s="654"/>
      <c r="N101" s="355"/>
      <c r="O101" s="355"/>
      <c r="P101" s="355"/>
      <c r="Q101" s="355"/>
    </row>
    <row r="102" spans="1:17">
      <c r="A102" s="654"/>
      <c r="B102" s="654"/>
      <c r="C102" s="654"/>
      <c r="D102" s="654"/>
      <c r="E102" s="654"/>
      <c r="F102" s="654"/>
      <c r="G102" s="654"/>
      <c r="H102" s="654"/>
      <c r="I102" s="654"/>
      <c r="J102" s="654"/>
      <c r="K102" s="654"/>
      <c r="L102" s="654"/>
      <c r="M102" s="654"/>
      <c r="N102" s="355"/>
      <c r="O102" s="355"/>
      <c r="P102" s="355"/>
      <c r="Q102" s="355"/>
    </row>
    <row r="103" spans="1:17">
      <c r="A103" s="654"/>
      <c r="B103" s="654"/>
      <c r="C103" s="654"/>
      <c r="D103" s="654"/>
      <c r="E103" s="654"/>
      <c r="F103" s="654"/>
      <c r="G103" s="654"/>
      <c r="H103" s="654"/>
      <c r="I103" s="654"/>
      <c r="J103" s="654"/>
      <c r="K103" s="654"/>
      <c r="L103" s="654"/>
      <c r="M103" s="654"/>
      <c r="N103" s="355"/>
      <c r="O103" s="355"/>
      <c r="P103" s="355"/>
      <c r="Q103" s="355"/>
    </row>
    <row r="104" spans="1:17">
      <c r="A104" s="654"/>
      <c r="B104" s="654"/>
      <c r="C104" s="654"/>
      <c r="D104" s="654"/>
      <c r="E104" s="654"/>
      <c r="F104" s="654"/>
      <c r="G104" s="654"/>
      <c r="H104" s="654"/>
      <c r="I104" s="654"/>
      <c r="J104" s="654"/>
      <c r="K104" s="654"/>
      <c r="L104" s="654"/>
      <c r="M104" s="654"/>
      <c r="N104" s="355"/>
      <c r="O104" s="355"/>
      <c r="P104" s="355"/>
      <c r="Q104" s="355"/>
    </row>
    <row r="105" spans="1:17">
      <c r="A105" s="654"/>
      <c r="B105" s="654"/>
      <c r="C105" s="654"/>
      <c r="D105" s="654"/>
      <c r="E105" s="654"/>
      <c r="F105" s="654"/>
      <c r="G105" s="654"/>
      <c r="H105" s="654"/>
      <c r="I105" s="654"/>
      <c r="J105" s="654"/>
      <c r="K105" s="654"/>
      <c r="L105" s="654"/>
      <c r="M105" s="654"/>
      <c r="N105" s="355"/>
      <c r="O105" s="355"/>
      <c r="P105" s="355"/>
      <c r="Q105" s="355"/>
    </row>
    <row r="106" spans="1:17">
      <c r="A106" s="654"/>
      <c r="B106" s="654"/>
      <c r="C106" s="654"/>
      <c r="D106" s="654"/>
      <c r="E106" s="654"/>
      <c r="F106" s="654"/>
      <c r="G106" s="654"/>
      <c r="H106" s="654"/>
      <c r="I106" s="654"/>
      <c r="J106" s="654"/>
      <c r="K106" s="654"/>
      <c r="L106" s="654"/>
      <c r="M106" s="654"/>
      <c r="N106" s="355"/>
      <c r="O106" s="355"/>
      <c r="P106" s="355"/>
      <c r="Q106" s="355"/>
    </row>
    <row r="107" spans="1:17">
      <c r="A107" s="654"/>
      <c r="B107" s="654"/>
      <c r="C107" s="654"/>
      <c r="D107" s="654"/>
      <c r="E107" s="654"/>
      <c r="F107" s="654"/>
      <c r="G107" s="654"/>
      <c r="H107" s="654"/>
      <c r="I107" s="654"/>
      <c r="J107" s="654"/>
      <c r="K107" s="654"/>
      <c r="L107" s="654"/>
      <c r="M107" s="654"/>
      <c r="N107" s="355"/>
      <c r="O107" s="355"/>
      <c r="P107" s="355"/>
      <c r="Q107" s="355"/>
    </row>
    <row r="108" spans="1:17">
      <c r="A108" s="654"/>
      <c r="B108" s="654"/>
      <c r="C108" s="654"/>
      <c r="D108" s="654"/>
      <c r="E108" s="654"/>
      <c r="F108" s="654"/>
      <c r="G108" s="654"/>
      <c r="H108" s="654"/>
      <c r="I108" s="654"/>
      <c r="J108" s="654"/>
      <c r="K108" s="654"/>
      <c r="L108" s="654"/>
      <c r="M108" s="654"/>
      <c r="N108" s="355"/>
      <c r="O108" s="355"/>
      <c r="P108" s="355"/>
      <c r="Q108" s="355"/>
    </row>
    <row r="109" spans="1:17">
      <c r="A109" s="654"/>
      <c r="B109" s="654"/>
      <c r="C109" s="654"/>
      <c r="D109" s="654"/>
      <c r="E109" s="654"/>
      <c r="F109" s="654"/>
      <c r="G109" s="654"/>
      <c r="H109" s="654"/>
      <c r="I109" s="654"/>
      <c r="J109" s="654"/>
      <c r="K109" s="654"/>
      <c r="L109" s="654"/>
      <c r="M109" s="654"/>
      <c r="N109" s="355"/>
      <c r="O109" s="355"/>
      <c r="P109" s="355"/>
      <c r="Q109" s="355"/>
    </row>
    <row r="110" spans="1:17">
      <c r="A110" s="654"/>
      <c r="B110" s="654"/>
      <c r="C110" s="654"/>
      <c r="D110" s="654"/>
      <c r="E110" s="654"/>
      <c r="F110" s="654"/>
      <c r="G110" s="654"/>
      <c r="H110" s="654"/>
      <c r="I110" s="654"/>
      <c r="J110" s="654"/>
      <c r="K110" s="654"/>
      <c r="L110" s="654"/>
      <c r="M110" s="654"/>
      <c r="N110" s="355"/>
      <c r="O110" s="355"/>
      <c r="P110" s="355"/>
      <c r="Q110" s="355"/>
    </row>
    <row r="111" spans="1:17">
      <c r="A111" s="654"/>
      <c r="B111" s="654"/>
      <c r="C111" s="654"/>
      <c r="D111" s="654"/>
      <c r="E111" s="654"/>
      <c r="F111" s="654"/>
      <c r="G111" s="654"/>
      <c r="H111" s="654"/>
      <c r="I111" s="654"/>
      <c r="J111" s="654"/>
      <c r="K111" s="654"/>
      <c r="L111" s="654"/>
      <c r="M111" s="654"/>
      <c r="N111" s="355"/>
      <c r="O111" s="355"/>
      <c r="P111" s="355"/>
      <c r="Q111" s="355"/>
    </row>
    <row r="112" spans="1:17">
      <c r="A112" s="654"/>
      <c r="B112" s="654"/>
      <c r="C112" s="654"/>
      <c r="D112" s="654"/>
      <c r="E112" s="654"/>
      <c r="F112" s="654"/>
      <c r="G112" s="654"/>
      <c r="H112" s="654"/>
      <c r="I112" s="654"/>
      <c r="J112" s="654"/>
      <c r="K112" s="654"/>
      <c r="L112" s="654"/>
      <c r="M112" s="654"/>
      <c r="N112" s="355"/>
      <c r="O112" s="355"/>
      <c r="P112" s="355"/>
      <c r="Q112" s="355"/>
    </row>
    <row r="113" spans="1:17">
      <c r="A113" s="654"/>
      <c r="B113" s="654"/>
      <c r="C113" s="654"/>
      <c r="D113" s="654"/>
      <c r="E113" s="654"/>
      <c r="F113" s="654"/>
      <c r="G113" s="654"/>
      <c r="H113" s="654"/>
      <c r="I113" s="654"/>
      <c r="J113" s="654"/>
      <c r="K113" s="654"/>
      <c r="L113" s="654"/>
      <c r="M113" s="654"/>
      <c r="N113" s="355"/>
      <c r="O113" s="355"/>
      <c r="P113" s="355"/>
      <c r="Q113" s="355"/>
    </row>
    <row r="114" spans="1:17">
      <c r="A114" s="343"/>
      <c r="B114" s="355"/>
      <c r="C114" s="355"/>
      <c r="D114" s="355"/>
      <c r="E114" s="355"/>
      <c r="F114" s="355"/>
      <c r="G114" s="355"/>
      <c r="H114" s="355"/>
      <c r="I114" s="355"/>
      <c r="J114" s="355"/>
      <c r="K114" s="355"/>
      <c r="L114" s="355"/>
      <c r="M114" s="355"/>
      <c r="N114" s="355"/>
      <c r="O114" s="355"/>
      <c r="P114" s="355"/>
      <c r="Q114" s="355"/>
    </row>
    <row r="115" spans="1:17">
      <c r="A115" s="343"/>
      <c r="B115" s="355"/>
      <c r="C115" s="355"/>
      <c r="D115" s="355"/>
      <c r="E115" s="355"/>
      <c r="F115" s="355"/>
      <c r="G115" s="355"/>
      <c r="H115" s="355"/>
      <c r="I115" s="355"/>
      <c r="J115" s="355"/>
      <c r="K115" s="355"/>
      <c r="L115" s="355"/>
      <c r="M115" s="355"/>
      <c r="N115" s="355"/>
      <c r="O115" s="355"/>
      <c r="P115" s="355"/>
      <c r="Q115" s="355"/>
    </row>
    <row r="116" spans="1:17">
      <c r="A116" s="343"/>
      <c r="B116" s="355"/>
      <c r="C116" s="355"/>
      <c r="D116" s="355"/>
      <c r="E116" s="355"/>
      <c r="F116" s="355"/>
      <c r="G116" s="355"/>
      <c r="H116" s="355"/>
      <c r="I116" s="355"/>
      <c r="J116" s="355"/>
      <c r="K116" s="355"/>
      <c r="L116" s="355"/>
      <c r="M116" s="355"/>
      <c r="N116" s="355"/>
      <c r="O116" s="355"/>
      <c r="P116" s="355"/>
      <c r="Q116" s="355"/>
    </row>
    <row r="117" spans="1:17">
      <c r="A117" s="343"/>
      <c r="B117" s="355"/>
      <c r="C117" s="355"/>
      <c r="D117" s="355"/>
      <c r="E117" s="355"/>
      <c r="F117" s="355"/>
      <c r="G117" s="355"/>
      <c r="H117" s="355"/>
      <c r="I117" s="355"/>
      <c r="J117" s="355"/>
      <c r="K117" s="355"/>
      <c r="L117" s="355"/>
      <c r="M117" s="355"/>
      <c r="N117" s="355"/>
      <c r="O117" s="355"/>
      <c r="P117" s="355"/>
      <c r="Q117" s="355"/>
    </row>
    <row r="118" spans="1:17">
      <c r="A118" s="343"/>
      <c r="B118" s="355"/>
      <c r="C118" s="355"/>
      <c r="D118" s="355"/>
      <c r="E118" s="355"/>
      <c r="F118" s="355"/>
      <c r="G118" s="355"/>
      <c r="H118" s="355"/>
      <c r="I118" s="355"/>
      <c r="J118" s="355"/>
      <c r="K118" s="355"/>
      <c r="L118" s="355"/>
      <c r="M118" s="355"/>
      <c r="N118" s="355"/>
      <c r="O118" s="355"/>
      <c r="P118" s="355"/>
      <c r="Q118" s="355"/>
    </row>
    <row r="119" spans="1:17">
      <c r="A119" s="343"/>
      <c r="B119" s="355"/>
      <c r="C119" s="355"/>
      <c r="D119" s="355"/>
      <c r="E119" s="355"/>
      <c r="F119" s="355"/>
      <c r="G119" s="355"/>
      <c r="H119" s="355"/>
      <c r="I119" s="355"/>
      <c r="J119" s="355"/>
      <c r="K119" s="355"/>
      <c r="L119" s="355"/>
      <c r="M119" s="355"/>
      <c r="N119" s="355"/>
      <c r="O119" s="355"/>
      <c r="P119" s="355"/>
      <c r="Q119" s="355"/>
    </row>
    <row r="120" spans="1:17">
      <c r="A120" s="343"/>
      <c r="B120" s="355"/>
      <c r="C120" s="355"/>
      <c r="D120" s="355"/>
      <c r="E120" s="355"/>
      <c r="F120" s="355"/>
      <c r="G120" s="355"/>
      <c r="H120" s="355"/>
      <c r="I120" s="355"/>
      <c r="J120" s="355"/>
      <c r="K120" s="355"/>
      <c r="L120" s="355"/>
      <c r="M120" s="355"/>
      <c r="N120" s="355"/>
      <c r="O120" s="355"/>
      <c r="P120" s="355"/>
      <c r="Q120" s="355"/>
    </row>
    <row r="121" spans="1:17">
      <c r="A121" s="343"/>
      <c r="B121" s="355"/>
      <c r="C121" s="355"/>
      <c r="D121" s="355"/>
      <c r="E121" s="355"/>
      <c r="F121" s="355"/>
      <c r="G121" s="355"/>
      <c r="H121" s="355"/>
      <c r="I121" s="355"/>
      <c r="J121" s="355"/>
      <c r="K121" s="355"/>
      <c r="L121" s="355"/>
      <c r="M121" s="355"/>
      <c r="N121" s="355"/>
      <c r="O121" s="355"/>
      <c r="P121" s="355"/>
      <c r="Q121" s="355"/>
    </row>
    <row r="122" spans="1:17">
      <c r="A122" s="343"/>
      <c r="B122" s="355"/>
      <c r="C122" s="355"/>
      <c r="D122" s="355"/>
      <c r="E122" s="355"/>
      <c r="F122" s="355"/>
      <c r="G122" s="355"/>
      <c r="H122" s="355"/>
      <c r="I122" s="355"/>
      <c r="J122" s="355"/>
      <c r="K122" s="355"/>
      <c r="L122" s="355"/>
      <c r="M122" s="355"/>
      <c r="N122" s="355"/>
      <c r="O122" s="355"/>
      <c r="P122" s="355"/>
      <c r="Q122" s="355"/>
    </row>
    <row r="123" spans="1:17">
      <c r="A123" s="343"/>
      <c r="B123" s="355"/>
      <c r="C123" s="355"/>
      <c r="D123" s="355"/>
      <c r="E123" s="355"/>
      <c r="F123" s="355"/>
      <c r="G123" s="355"/>
      <c r="H123" s="355"/>
      <c r="I123" s="355"/>
      <c r="J123" s="355"/>
      <c r="K123" s="355"/>
      <c r="L123" s="355"/>
      <c r="M123" s="355"/>
      <c r="N123" s="355"/>
      <c r="O123" s="355"/>
      <c r="P123" s="355"/>
      <c r="Q123" s="355"/>
    </row>
    <row r="124" spans="1:17">
      <c r="A124" s="343"/>
      <c r="B124" s="355"/>
      <c r="C124" s="355"/>
      <c r="D124" s="355"/>
      <c r="E124" s="355"/>
      <c r="F124" s="355"/>
      <c r="G124" s="355"/>
      <c r="H124" s="355"/>
      <c r="I124" s="355"/>
      <c r="J124" s="355"/>
      <c r="K124" s="355"/>
      <c r="L124" s="355"/>
      <c r="M124" s="355"/>
      <c r="N124" s="355"/>
      <c r="O124" s="355"/>
      <c r="P124" s="355"/>
      <c r="Q124" s="355"/>
    </row>
    <row r="125" spans="1:17">
      <c r="A125" s="343"/>
      <c r="B125" s="355"/>
      <c r="C125" s="355"/>
      <c r="D125" s="355"/>
      <c r="E125" s="355"/>
      <c r="F125" s="355"/>
      <c r="G125" s="355"/>
      <c r="H125" s="355"/>
      <c r="I125" s="355"/>
      <c r="J125" s="355"/>
      <c r="K125" s="355"/>
      <c r="L125" s="355"/>
      <c r="M125" s="355"/>
      <c r="N125" s="355"/>
      <c r="O125" s="355"/>
      <c r="P125" s="355"/>
      <c r="Q125" s="355"/>
    </row>
    <row r="126" spans="1:17">
      <c r="A126" s="343"/>
      <c r="B126" s="355"/>
      <c r="C126" s="355"/>
      <c r="D126" s="355"/>
      <c r="E126" s="355"/>
      <c r="F126" s="355"/>
      <c r="G126" s="355"/>
      <c r="H126" s="355"/>
      <c r="I126" s="355"/>
      <c r="J126" s="355"/>
      <c r="K126" s="355"/>
      <c r="L126" s="355"/>
      <c r="M126" s="355"/>
      <c r="N126" s="355"/>
      <c r="O126" s="355"/>
      <c r="P126" s="355"/>
      <c r="Q126" s="355"/>
    </row>
    <row r="127" spans="1:17">
      <c r="A127" s="343"/>
      <c r="B127" s="355"/>
      <c r="C127" s="355"/>
      <c r="D127" s="355"/>
      <c r="E127" s="355"/>
      <c r="F127" s="355"/>
      <c r="G127" s="355"/>
      <c r="H127" s="355"/>
      <c r="I127" s="355"/>
      <c r="J127" s="355"/>
      <c r="K127" s="355"/>
      <c r="L127" s="355"/>
      <c r="M127" s="355"/>
      <c r="N127" s="355"/>
      <c r="O127" s="355"/>
      <c r="P127" s="355"/>
      <c r="Q127" s="355"/>
    </row>
    <row r="128" spans="1:17">
      <c r="A128" s="343"/>
      <c r="B128" s="355"/>
      <c r="C128" s="355"/>
      <c r="D128" s="355"/>
      <c r="E128" s="355"/>
      <c r="F128" s="355"/>
      <c r="G128" s="355"/>
      <c r="H128" s="355"/>
      <c r="I128" s="355"/>
      <c r="J128" s="355"/>
      <c r="K128" s="355"/>
      <c r="L128" s="355"/>
      <c r="M128" s="355"/>
      <c r="N128" s="355"/>
      <c r="O128" s="355"/>
      <c r="P128" s="355"/>
      <c r="Q128" s="355"/>
    </row>
    <row r="129" spans="1:17">
      <c r="A129" s="343"/>
      <c r="B129" s="355"/>
      <c r="C129" s="355"/>
      <c r="D129" s="355"/>
      <c r="E129" s="355"/>
      <c r="F129" s="355"/>
      <c r="G129" s="355"/>
      <c r="H129" s="355"/>
      <c r="I129" s="355"/>
      <c r="J129" s="355"/>
      <c r="K129" s="355"/>
      <c r="L129" s="355"/>
      <c r="M129" s="355"/>
      <c r="N129" s="355"/>
      <c r="O129" s="355"/>
      <c r="P129" s="355"/>
      <c r="Q129" s="355"/>
    </row>
    <row r="130" spans="1:17">
      <c r="A130" s="343"/>
      <c r="B130" s="355"/>
      <c r="C130" s="355"/>
      <c r="D130" s="355"/>
      <c r="E130" s="355"/>
      <c r="F130" s="355"/>
      <c r="G130" s="355"/>
      <c r="H130" s="355"/>
      <c r="I130" s="355"/>
      <c r="J130" s="355"/>
      <c r="K130" s="355"/>
      <c r="L130" s="355"/>
      <c r="M130" s="355"/>
      <c r="N130" s="355"/>
      <c r="O130" s="355"/>
      <c r="P130" s="355"/>
      <c r="Q130" s="355"/>
    </row>
    <row r="131" spans="1:17">
      <c r="A131" s="343"/>
      <c r="B131" s="355"/>
      <c r="C131" s="355"/>
      <c r="D131" s="355"/>
      <c r="E131" s="355"/>
      <c r="F131" s="355"/>
      <c r="G131" s="355"/>
      <c r="H131" s="355"/>
      <c r="I131" s="355"/>
      <c r="J131" s="355"/>
      <c r="K131" s="355"/>
      <c r="L131" s="355"/>
      <c r="M131" s="355"/>
      <c r="N131" s="355"/>
      <c r="O131" s="355"/>
      <c r="P131" s="355"/>
      <c r="Q131" s="355"/>
    </row>
    <row r="132" spans="1:17">
      <c r="A132" s="343"/>
      <c r="B132" s="355"/>
      <c r="C132" s="355"/>
      <c r="D132" s="355"/>
      <c r="E132" s="355"/>
      <c r="F132" s="355"/>
      <c r="G132" s="355"/>
      <c r="H132" s="355"/>
      <c r="I132" s="355"/>
      <c r="J132" s="355"/>
      <c r="K132" s="355"/>
      <c r="L132" s="355"/>
      <c r="M132" s="355"/>
      <c r="N132" s="355"/>
      <c r="O132" s="355"/>
      <c r="P132" s="355"/>
      <c r="Q132" s="355"/>
    </row>
    <row r="133" spans="1:17">
      <c r="A133" s="343"/>
      <c r="B133" s="355"/>
      <c r="C133" s="355"/>
      <c r="D133" s="355"/>
      <c r="E133" s="355"/>
      <c r="F133" s="355"/>
      <c r="G133" s="355"/>
      <c r="H133" s="355"/>
      <c r="I133" s="355"/>
      <c r="J133" s="355"/>
      <c r="K133" s="355"/>
      <c r="L133" s="355"/>
      <c r="M133" s="355"/>
      <c r="N133" s="355"/>
      <c r="O133" s="355"/>
      <c r="P133" s="355"/>
      <c r="Q133" s="355"/>
    </row>
    <row r="134" spans="1:17">
      <c r="A134" s="343"/>
      <c r="B134" s="355"/>
      <c r="C134" s="355"/>
      <c r="D134" s="355"/>
      <c r="E134" s="355"/>
      <c r="F134" s="355"/>
      <c r="G134" s="355"/>
      <c r="H134" s="355"/>
      <c r="I134" s="355"/>
      <c r="J134" s="355"/>
      <c r="K134" s="355"/>
      <c r="L134" s="355"/>
      <c r="M134" s="355"/>
      <c r="N134" s="355"/>
      <c r="O134" s="355"/>
      <c r="P134" s="355"/>
      <c r="Q134" s="355"/>
    </row>
    <row r="135" spans="1:17">
      <c r="A135" s="343"/>
      <c r="B135" s="355"/>
      <c r="C135" s="355"/>
      <c r="D135" s="355"/>
      <c r="E135" s="355"/>
      <c r="F135" s="355"/>
      <c r="G135" s="355"/>
      <c r="H135" s="355"/>
      <c r="I135" s="355"/>
      <c r="J135" s="355"/>
      <c r="K135" s="355"/>
      <c r="L135" s="355"/>
      <c r="M135" s="355"/>
      <c r="N135" s="355"/>
      <c r="O135" s="355"/>
      <c r="P135" s="355"/>
      <c r="Q135" s="355"/>
    </row>
    <row r="136" spans="1:17">
      <c r="A136" s="343"/>
      <c r="B136" s="355"/>
      <c r="C136" s="355"/>
      <c r="D136" s="355"/>
      <c r="E136" s="355"/>
      <c r="F136" s="355"/>
      <c r="G136" s="355"/>
      <c r="H136" s="355"/>
      <c r="I136" s="355"/>
      <c r="J136" s="355"/>
      <c r="K136" s="355"/>
      <c r="L136" s="355"/>
      <c r="M136" s="355"/>
      <c r="N136" s="355"/>
      <c r="O136" s="355"/>
      <c r="P136" s="355"/>
      <c r="Q136" s="355"/>
    </row>
    <row r="137" spans="1:17">
      <c r="A137" s="343"/>
      <c r="B137" s="355"/>
      <c r="C137" s="355"/>
      <c r="D137" s="355"/>
      <c r="E137" s="355"/>
      <c r="F137" s="355"/>
      <c r="G137" s="355"/>
      <c r="H137" s="355"/>
      <c r="I137" s="355"/>
      <c r="J137" s="355"/>
      <c r="K137" s="355"/>
      <c r="L137" s="355"/>
      <c r="M137" s="355"/>
      <c r="N137" s="355"/>
      <c r="O137" s="355"/>
      <c r="P137" s="355"/>
      <c r="Q137" s="355"/>
    </row>
    <row r="138" spans="1:17">
      <c r="A138" s="343"/>
      <c r="B138" s="355"/>
      <c r="C138" s="355"/>
      <c r="D138" s="355"/>
      <c r="E138" s="355"/>
      <c r="F138" s="355"/>
      <c r="G138" s="355"/>
      <c r="H138" s="355"/>
      <c r="I138" s="355"/>
      <c r="J138" s="355"/>
      <c r="K138" s="355"/>
      <c r="L138" s="355"/>
      <c r="M138" s="355"/>
      <c r="N138" s="355"/>
      <c r="O138" s="355"/>
      <c r="P138" s="355"/>
      <c r="Q138" s="355"/>
    </row>
    <row r="139" spans="1:17">
      <c r="A139" s="343"/>
      <c r="B139" s="355"/>
      <c r="C139" s="355"/>
      <c r="D139" s="355"/>
      <c r="E139" s="355"/>
      <c r="F139" s="355"/>
      <c r="G139" s="355"/>
      <c r="H139" s="355"/>
      <c r="I139" s="355"/>
      <c r="J139" s="355"/>
      <c r="K139" s="355"/>
      <c r="L139" s="355"/>
      <c r="M139" s="355"/>
      <c r="N139" s="355"/>
      <c r="O139" s="355"/>
      <c r="P139" s="355"/>
      <c r="Q139" s="355"/>
    </row>
    <row r="140" spans="1:17">
      <c r="A140" s="343"/>
      <c r="B140" s="355"/>
      <c r="C140" s="355"/>
      <c r="D140" s="355"/>
      <c r="E140" s="355"/>
      <c r="F140" s="355"/>
      <c r="G140" s="355"/>
      <c r="H140" s="355"/>
      <c r="I140" s="355"/>
      <c r="J140" s="355"/>
      <c r="K140" s="355"/>
      <c r="L140" s="355"/>
      <c r="M140" s="355"/>
      <c r="N140" s="355"/>
      <c r="O140" s="355"/>
      <c r="P140" s="355"/>
      <c r="Q140" s="355"/>
    </row>
    <row r="141" spans="1:17">
      <c r="A141" s="343"/>
      <c r="B141" s="355"/>
      <c r="C141" s="355"/>
      <c r="D141" s="355"/>
      <c r="E141" s="355"/>
      <c r="F141" s="355"/>
      <c r="G141" s="355"/>
      <c r="H141" s="355"/>
      <c r="I141" s="355"/>
      <c r="J141" s="355"/>
      <c r="K141" s="355"/>
      <c r="L141" s="355"/>
      <c r="M141" s="355"/>
      <c r="N141" s="355"/>
      <c r="O141" s="355"/>
      <c r="P141" s="355"/>
      <c r="Q141" s="355"/>
    </row>
    <row r="142" spans="1:17">
      <c r="A142" s="343"/>
      <c r="B142" s="355"/>
      <c r="C142" s="355"/>
      <c r="D142" s="355"/>
      <c r="E142" s="355"/>
      <c r="F142" s="355"/>
      <c r="G142" s="355"/>
      <c r="H142" s="355"/>
      <c r="I142" s="355"/>
      <c r="J142" s="355"/>
      <c r="K142" s="355"/>
      <c r="L142" s="355"/>
      <c r="M142" s="355"/>
      <c r="N142" s="355"/>
      <c r="O142" s="355"/>
      <c r="P142" s="355"/>
      <c r="Q142" s="355"/>
    </row>
    <row r="143" spans="1:17">
      <c r="A143" s="343"/>
      <c r="B143" s="355"/>
      <c r="C143" s="355"/>
      <c r="D143" s="355"/>
      <c r="E143" s="355"/>
      <c r="F143" s="355"/>
      <c r="G143" s="355"/>
      <c r="H143" s="355"/>
      <c r="I143" s="355"/>
      <c r="J143" s="355"/>
      <c r="K143" s="355"/>
      <c r="L143" s="355"/>
      <c r="M143" s="355"/>
      <c r="N143" s="355"/>
      <c r="O143" s="355"/>
      <c r="P143" s="355"/>
      <c r="Q143" s="355"/>
    </row>
    <row r="144" spans="1:17">
      <c r="A144" s="343"/>
      <c r="B144" s="355"/>
      <c r="C144" s="355"/>
      <c r="D144" s="355"/>
      <c r="E144" s="355"/>
      <c r="F144" s="355"/>
      <c r="G144" s="355"/>
      <c r="H144" s="355"/>
      <c r="I144" s="355"/>
      <c r="J144" s="355"/>
      <c r="K144" s="355"/>
      <c r="L144" s="355"/>
      <c r="M144" s="355"/>
      <c r="N144" s="355"/>
      <c r="O144" s="355"/>
      <c r="P144" s="355"/>
      <c r="Q144" s="355"/>
    </row>
    <row r="145" spans="1:17">
      <c r="A145" s="343"/>
      <c r="B145" s="355"/>
      <c r="C145" s="355"/>
      <c r="D145" s="355"/>
      <c r="E145" s="355"/>
      <c r="F145" s="355"/>
      <c r="G145" s="355"/>
      <c r="H145" s="355"/>
      <c r="I145" s="355"/>
      <c r="J145" s="355"/>
      <c r="K145" s="355"/>
      <c r="L145" s="355"/>
      <c r="M145" s="355"/>
      <c r="N145" s="355"/>
      <c r="O145" s="355"/>
      <c r="P145" s="355"/>
      <c r="Q145" s="355"/>
    </row>
    <row r="146" spans="1:17">
      <c r="A146" s="343"/>
      <c r="B146" s="355"/>
      <c r="C146" s="355"/>
      <c r="D146" s="355"/>
      <c r="E146" s="355"/>
      <c r="F146" s="355"/>
      <c r="G146" s="355"/>
      <c r="H146" s="355"/>
      <c r="I146" s="355"/>
      <c r="J146" s="355"/>
      <c r="K146" s="355"/>
      <c r="L146" s="355"/>
      <c r="M146" s="355"/>
      <c r="N146" s="355"/>
      <c r="O146" s="355"/>
      <c r="P146" s="355"/>
      <c r="Q146" s="355"/>
    </row>
    <row r="147" spans="1:17">
      <c r="A147" s="343"/>
      <c r="B147" s="355"/>
      <c r="C147" s="355"/>
      <c r="D147" s="355"/>
      <c r="E147" s="355"/>
      <c r="F147" s="355"/>
      <c r="G147" s="355"/>
      <c r="H147" s="355"/>
      <c r="I147" s="355"/>
      <c r="J147" s="355"/>
      <c r="K147" s="355"/>
      <c r="L147" s="355"/>
      <c r="M147" s="355"/>
      <c r="N147" s="355"/>
      <c r="O147" s="355"/>
      <c r="P147" s="355"/>
      <c r="Q147" s="355"/>
    </row>
    <row r="148" spans="1:17">
      <c r="A148" s="343"/>
      <c r="B148" s="355"/>
      <c r="C148" s="355"/>
      <c r="D148" s="355"/>
      <c r="E148" s="355"/>
      <c r="F148" s="355"/>
      <c r="G148" s="355"/>
      <c r="H148" s="355"/>
      <c r="I148" s="355"/>
      <c r="J148" s="355"/>
      <c r="K148" s="355"/>
      <c r="L148" s="355"/>
      <c r="M148" s="355"/>
      <c r="N148" s="355"/>
      <c r="O148" s="355"/>
      <c r="P148" s="355"/>
      <c r="Q148" s="355"/>
    </row>
    <row r="149" spans="1:17">
      <c r="A149" s="343"/>
      <c r="B149" s="355"/>
      <c r="C149" s="355"/>
      <c r="D149" s="355"/>
      <c r="E149" s="355"/>
      <c r="F149" s="355"/>
      <c r="G149" s="355"/>
      <c r="H149" s="355"/>
      <c r="I149" s="355"/>
      <c r="J149" s="355"/>
      <c r="K149" s="355"/>
      <c r="L149" s="355"/>
      <c r="M149" s="355"/>
      <c r="N149" s="355"/>
      <c r="O149" s="355"/>
      <c r="P149" s="355"/>
      <c r="Q149" s="355"/>
    </row>
    <row r="150" spans="1:17">
      <c r="A150" s="343"/>
      <c r="B150" s="355"/>
      <c r="C150" s="355"/>
      <c r="D150" s="355"/>
      <c r="E150" s="355"/>
      <c r="F150" s="355"/>
      <c r="G150" s="355"/>
      <c r="H150" s="355"/>
      <c r="I150" s="355"/>
      <c r="J150" s="355"/>
      <c r="K150" s="355"/>
      <c r="L150" s="355"/>
      <c r="M150" s="355"/>
      <c r="N150" s="355"/>
      <c r="O150" s="355"/>
      <c r="P150" s="355"/>
      <c r="Q150" s="355"/>
    </row>
    <row r="151" spans="1:17">
      <c r="A151" s="343"/>
      <c r="B151" s="355"/>
      <c r="C151" s="355"/>
      <c r="D151" s="355"/>
      <c r="E151" s="355"/>
      <c r="F151" s="355"/>
      <c r="G151" s="355"/>
      <c r="H151" s="355"/>
      <c r="I151" s="355"/>
      <c r="J151" s="355"/>
      <c r="K151" s="355"/>
      <c r="L151" s="355"/>
      <c r="M151" s="355"/>
      <c r="N151" s="355"/>
      <c r="O151" s="355"/>
      <c r="P151" s="355"/>
      <c r="Q151" s="355"/>
    </row>
    <row r="152" spans="1:17">
      <c r="A152" s="343"/>
      <c r="B152" s="355"/>
      <c r="C152" s="355"/>
      <c r="D152" s="355"/>
      <c r="E152" s="355"/>
      <c r="F152" s="355"/>
      <c r="G152" s="355"/>
      <c r="H152" s="355"/>
      <c r="I152" s="355"/>
      <c r="J152" s="355"/>
      <c r="K152" s="355"/>
      <c r="L152" s="355"/>
      <c r="M152" s="355"/>
      <c r="N152" s="355"/>
      <c r="O152" s="355"/>
      <c r="P152" s="355"/>
      <c r="Q152" s="355"/>
    </row>
    <row r="153" spans="1:17">
      <c r="A153" s="343"/>
      <c r="B153" s="355"/>
      <c r="C153" s="355"/>
      <c r="D153" s="355"/>
      <c r="E153" s="355"/>
      <c r="F153" s="355"/>
      <c r="G153" s="355"/>
      <c r="H153" s="355"/>
      <c r="I153" s="355"/>
      <c r="J153" s="355"/>
      <c r="K153" s="355"/>
      <c r="L153" s="355"/>
      <c r="M153" s="355"/>
      <c r="N153" s="355"/>
      <c r="O153" s="355"/>
      <c r="P153" s="355"/>
      <c r="Q153" s="355"/>
    </row>
    <row r="154" spans="1:17">
      <c r="A154" s="961"/>
    </row>
    <row r="155" spans="1:17">
      <c r="A155" s="961"/>
    </row>
    <row r="156" spans="1:17">
      <c r="A156" s="961"/>
    </row>
    <row r="157" spans="1:17">
      <c r="A157" s="961"/>
    </row>
    <row r="158" spans="1:17">
      <c r="A158" s="961"/>
    </row>
    <row r="159" spans="1:17">
      <c r="A159" s="961"/>
    </row>
    <row r="160" spans="1:17">
      <c r="A160" s="961"/>
    </row>
    <row r="161" spans="1:1">
      <c r="A161" s="961"/>
    </row>
    <row r="162" spans="1:1">
      <c r="A162" s="961"/>
    </row>
    <row r="163" spans="1:1">
      <c r="A163" s="961"/>
    </row>
    <row r="164" spans="1:1">
      <c r="A164" s="961"/>
    </row>
    <row r="165" spans="1:1">
      <c r="A165" s="961"/>
    </row>
    <row r="166" spans="1:1">
      <c r="A166" s="961"/>
    </row>
    <row r="167" spans="1:1">
      <c r="A167" s="961"/>
    </row>
    <row r="168" spans="1:1">
      <c r="A168" s="961"/>
    </row>
    <row r="169" spans="1:1">
      <c r="A169" s="961"/>
    </row>
    <row r="170" spans="1:1">
      <c r="A170" s="961"/>
    </row>
    <row r="171" spans="1:1">
      <c r="A171" s="961"/>
    </row>
    <row r="172" spans="1:1">
      <c r="A172" s="961"/>
    </row>
    <row r="173" spans="1:1">
      <c r="A173" s="961"/>
    </row>
    <row r="174" spans="1:1">
      <c r="A174" s="961"/>
    </row>
    <row r="175" spans="1:1">
      <c r="A175" s="961"/>
    </row>
    <row r="176" spans="1:1">
      <c r="A176" s="961"/>
    </row>
    <row r="177" spans="1:1">
      <c r="A177" s="961"/>
    </row>
    <row r="178" spans="1:1">
      <c r="A178" s="961"/>
    </row>
    <row r="179" spans="1:1">
      <c r="A179" s="961"/>
    </row>
    <row r="180" spans="1:1">
      <c r="A180" s="961"/>
    </row>
    <row r="181" spans="1:1">
      <c r="A181" s="961"/>
    </row>
    <row r="182" spans="1:1">
      <c r="A182" s="961"/>
    </row>
    <row r="183" spans="1:1">
      <c r="A183" s="961"/>
    </row>
    <row r="184" spans="1:1">
      <c r="A184" s="961"/>
    </row>
    <row r="185" spans="1:1">
      <c r="A185" s="961"/>
    </row>
    <row r="186" spans="1:1">
      <c r="A186" s="961"/>
    </row>
    <row r="187" spans="1:1">
      <c r="A187" s="961"/>
    </row>
    <row r="188" spans="1:1">
      <c r="A188" s="961"/>
    </row>
    <row r="189" spans="1:1">
      <c r="A189" s="961"/>
    </row>
    <row r="190" spans="1:1">
      <c r="A190" s="961"/>
    </row>
    <row r="191" spans="1:1">
      <c r="A191" s="961"/>
    </row>
    <row r="192" spans="1:1">
      <c r="A192" s="961"/>
    </row>
    <row r="193" spans="1:1">
      <c r="A193" s="961"/>
    </row>
    <row r="194" spans="1:1">
      <c r="A194" s="961"/>
    </row>
    <row r="195" spans="1:1">
      <c r="A195" s="961"/>
    </row>
    <row r="196" spans="1:1">
      <c r="A196" s="961"/>
    </row>
    <row r="197" spans="1:1">
      <c r="A197" s="961"/>
    </row>
    <row r="198" spans="1:1">
      <c r="A198" s="961"/>
    </row>
    <row r="199" spans="1:1">
      <c r="A199" s="961"/>
    </row>
    <row r="200" spans="1:1">
      <c r="A200" s="961"/>
    </row>
    <row r="201" spans="1:1">
      <c r="A201" s="961"/>
    </row>
    <row r="202" spans="1:1">
      <c r="A202" s="961"/>
    </row>
    <row r="203" spans="1:1">
      <c r="A203" s="961"/>
    </row>
    <row r="204" spans="1:1">
      <c r="A204" s="961"/>
    </row>
    <row r="205" spans="1:1">
      <c r="A205" s="961"/>
    </row>
    <row r="206" spans="1:1">
      <c r="A206" s="961"/>
    </row>
    <row r="207" spans="1:1">
      <c r="A207" s="961"/>
    </row>
    <row r="208" spans="1:1">
      <c r="A208" s="961"/>
    </row>
    <row r="213" spans="1:1">
      <c r="A213" s="961"/>
    </row>
    <row r="214" spans="1:1">
      <c r="A214" s="961"/>
    </row>
    <row r="215" spans="1:1">
      <c r="A215" s="961"/>
    </row>
    <row r="216" spans="1:1">
      <c r="A216" s="961"/>
    </row>
    <row r="217" spans="1:1">
      <c r="A217" s="961"/>
    </row>
    <row r="218" spans="1:1">
      <c r="A218" s="961"/>
    </row>
    <row r="219" spans="1:1">
      <c r="A219" s="961"/>
    </row>
    <row r="220" spans="1:1">
      <c r="A220" s="961"/>
    </row>
    <row r="296" spans="20:22" ht="15.75" thickBot="1"/>
    <row r="297" spans="20:22">
      <c r="T297" s="1177" t="str">
        <f t="shared" ref="T297:T306" si="8">B36</f>
        <v>Management</v>
      </c>
      <c r="U297" s="1178"/>
      <c r="V297" s="1179">
        <f t="shared" ref="V297:V306" si="9">J36</f>
        <v>0.13</v>
      </c>
    </row>
    <row r="298" spans="20:22">
      <c r="T298" s="1180" t="str">
        <f t="shared" si="8"/>
        <v>Health &amp; Wellbeing</v>
      </c>
      <c r="U298" s="430"/>
      <c r="V298" s="1181">
        <f t="shared" si="9"/>
        <v>0.16</v>
      </c>
    </row>
    <row r="299" spans="20:22">
      <c r="T299" s="1180" t="str">
        <f t="shared" si="8"/>
        <v>Energy</v>
      </c>
      <c r="U299" s="430"/>
      <c r="V299" s="1181">
        <f t="shared" si="9"/>
        <v>0.14000000000000001</v>
      </c>
    </row>
    <row r="300" spans="20:22">
      <c r="T300" s="1180" t="str">
        <f t="shared" si="8"/>
        <v>Transport</v>
      </c>
      <c r="U300" s="430"/>
      <c r="V300" s="1181">
        <f t="shared" si="9"/>
        <v>0.1</v>
      </c>
    </row>
    <row r="301" spans="20:22">
      <c r="T301" s="1180" t="str">
        <f t="shared" si="8"/>
        <v>Water</v>
      </c>
      <c r="U301" s="430"/>
      <c r="V301" s="1181">
        <f t="shared" si="9"/>
        <v>0.04</v>
      </c>
    </row>
    <row r="302" spans="20:22">
      <c r="T302" s="1180" t="str">
        <f t="shared" si="8"/>
        <v>Materials</v>
      </c>
      <c r="U302" s="430"/>
      <c r="V302" s="1181">
        <f t="shared" si="9"/>
        <v>0.17</v>
      </c>
    </row>
    <row r="303" spans="20:22">
      <c r="T303" s="1180" t="str">
        <f t="shared" si="8"/>
        <v>Waste</v>
      </c>
      <c r="U303" s="430"/>
      <c r="V303" s="1181">
        <f t="shared" si="9"/>
        <v>7.0000000000000007E-2</v>
      </c>
    </row>
    <row r="304" spans="20:22">
      <c r="T304" s="1180" t="str">
        <f t="shared" si="8"/>
        <v>Land Use &amp; Ecology</v>
      </c>
      <c r="U304" s="430"/>
      <c r="V304" s="1181">
        <f t="shared" si="9"/>
        <v>0.15</v>
      </c>
    </row>
    <row r="305" spans="20:22">
      <c r="T305" s="1180" t="str">
        <f t="shared" si="8"/>
        <v>Pollution</v>
      </c>
      <c r="U305" s="430"/>
      <c r="V305" s="1181">
        <f t="shared" si="9"/>
        <v>0.04</v>
      </c>
    </row>
    <row r="306" spans="20:22" ht="15.75" thickBot="1">
      <c r="T306" s="1182" t="str">
        <f t="shared" si="8"/>
        <v>Innovation</v>
      </c>
      <c r="U306" s="1183"/>
      <c r="V306" s="1184">
        <f t="shared" si="9"/>
        <v>0.1</v>
      </c>
    </row>
  </sheetData>
  <sheetProtection algorithmName="SHA-512" hashValue="sgcWTzvfRwAMSyJGazqBIOjM0dVLkn7jYVlnc/asFqlt45xvLnHOZ5fROWjm1WvQLQcqQzhM9omg2T6dzXtq9A==" saltValue="/ddiGOQrSnkw407REvmM3A==" spinCount="100000" sheet="1" objects="1" scenarios="1"/>
  <mergeCells count="23">
    <mergeCell ref="D34:E34"/>
    <mergeCell ref="F34:G34"/>
    <mergeCell ref="H34:I34"/>
    <mergeCell ref="Z10:AN13"/>
    <mergeCell ref="D9:E9"/>
    <mergeCell ref="F9:G9"/>
    <mergeCell ref="H9:I9"/>
    <mergeCell ref="K34:M34"/>
    <mergeCell ref="H8:I8"/>
    <mergeCell ref="H10:I10"/>
    <mergeCell ref="H11:I11"/>
    <mergeCell ref="H13:I13"/>
    <mergeCell ref="D8:E8"/>
    <mergeCell ref="D10:E10"/>
    <mergeCell ref="D11:E11"/>
    <mergeCell ref="D13:E13"/>
    <mergeCell ref="F8:G8"/>
    <mergeCell ref="F10:G10"/>
    <mergeCell ref="F11:G11"/>
    <mergeCell ref="F13:G13"/>
    <mergeCell ref="D12:E12"/>
    <mergeCell ref="F12:G12"/>
    <mergeCell ref="H12:I12"/>
  </mergeCells>
  <conditionalFormatting sqref="K35">
    <cfRule type="expression" dxfId="540" priority="360">
      <formula>$D$9=$AA$37</formula>
    </cfRule>
  </conditionalFormatting>
  <conditionalFormatting sqref="L35">
    <cfRule type="expression" dxfId="539" priority="361">
      <formula>$F$9=$AA$37</formula>
    </cfRule>
  </conditionalFormatting>
  <conditionalFormatting sqref="M35">
    <cfRule type="expression" dxfId="538" priority="362">
      <formula>$H$9=$AA$37</formula>
    </cfRule>
  </conditionalFormatting>
  <conditionalFormatting sqref="D10:E11 D13:E13 D12">
    <cfRule type="expression" dxfId="537" priority="233">
      <formula>$D$9=$AA$37</formula>
    </cfRule>
  </conditionalFormatting>
  <conditionalFormatting sqref="F10:G11 F13:G13 F12">
    <cfRule type="expression" dxfId="536" priority="232">
      <formula>$F$9=$AA$37</formula>
    </cfRule>
  </conditionalFormatting>
  <conditionalFormatting sqref="H10:I11 H13:I13 H12">
    <cfRule type="expression" dxfId="535" priority="231">
      <formula>$H$9=$AA$37</formula>
    </cfRule>
  </conditionalFormatting>
  <conditionalFormatting sqref="D34:E35 K69:K72 K79:K81">
    <cfRule type="expression" dxfId="534" priority="30">
      <formula>$D$9=AD_no</formula>
    </cfRule>
  </conditionalFormatting>
  <conditionalFormatting sqref="F34:G35 L69:L72 L79:L81">
    <cfRule type="expression" dxfId="533" priority="29">
      <formula>$F$9=AD_no</formula>
    </cfRule>
  </conditionalFormatting>
  <conditionalFormatting sqref="H34:I35 M69:M72 M79:M81">
    <cfRule type="expression" dxfId="532" priority="28">
      <formula>$H$9=AD_no</formula>
    </cfRule>
  </conditionalFormatting>
  <conditionalFormatting sqref="D36:E46">
    <cfRule type="expression" dxfId="531" priority="227">
      <formula>$D$9=AD_no</formula>
    </cfRule>
  </conditionalFormatting>
  <conditionalFormatting sqref="F36:G46">
    <cfRule type="expression" dxfId="530" priority="226">
      <formula>$F$9=AD_no</formula>
    </cfRule>
  </conditionalFormatting>
  <conditionalFormatting sqref="K36:K48">
    <cfRule type="expression" dxfId="529" priority="225">
      <formula>$D$9=AD_no</formula>
    </cfRule>
  </conditionalFormatting>
  <conditionalFormatting sqref="L36:L48">
    <cfRule type="expression" dxfId="528" priority="224">
      <formula>$F$9=AD_no</formula>
    </cfRule>
  </conditionalFormatting>
  <conditionalFormatting sqref="H36:I46">
    <cfRule type="expression" dxfId="527" priority="223">
      <formula>$H$9=AD_no</formula>
    </cfRule>
  </conditionalFormatting>
  <conditionalFormatting sqref="M36:M48">
    <cfRule type="expression" dxfId="526" priority="222">
      <formula>$H$9=AD_no</formula>
    </cfRule>
  </conditionalFormatting>
  <conditionalFormatting sqref="K49">
    <cfRule type="expression" dxfId="525" priority="221">
      <formula>$D$9=AD_no</formula>
    </cfRule>
  </conditionalFormatting>
  <conditionalFormatting sqref="L49">
    <cfRule type="expression" dxfId="524" priority="220">
      <formula>$F$9=AD_no</formula>
    </cfRule>
  </conditionalFormatting>
  <conditionalFormatting sqref="M49">
    <cfRule type="expression" dxfId="523" priority="219">
      <formula>$H$9=AD_no</formula>
    </cfRule>
  </conditionalFormatting>
  <conditionalFormatting sqref="K52">
    <cfRule type="expression" dxfId="522" priority="216">
      <formula>$D$9=$AA$37</formula>
    </cfRule>
  </conditionalFormatting>
  <conditionalFormatting sqref="L52">
    <cfRule type="expression" dxfId="521" priority="217">
      <formula>$F$9=$AA$37</formula>
    </cfRule>
  </conditionalFormatting>
  <conditionalFormatting sqref="M52">
    <cfRule type="expression" dxfId="520" priority="218">
      <formula>$H$9=$AA$37</formula>
    </cfRule>
  </conditionalFormatting>
  <conditionalFormatting sqref="K54">
    <cfRule type="expression" dxfId="519" priority="27">
      <formula>$D$9=AD_no</formula>
    </cfRule>
  </conditionalFormatting>
  <conditionalFormatting sqref="L54">
    <cfRule type="expression" dxfId="518" priority="26">
      <formula>$F$9=AD_no</formula>
    </cfRule>
  </conditionalFormatting>
  <conditionalFormatting sqref="M54">
    <cfRule type="expression" dxfId="517" priority="25">
      <formula>$H$9=AD_no</formula>
    </cfRule>
  </conditionalFormatting>
  <conditionalFormatting sqref="J52">
    <cfRule type="expression" dxfId="516" priority="37">
      <formula>$D$9=$AA$37</formula>
    </cfRule>
  </conditionalFormatting>
  <conditionalFormatting sqref="K55">
    <cfRule type="expression" dxfId="515" priority="24">
      <formula>$D$9=AD_no</formula>
    </cfRule>
  </conditionalFormatting>
  <conditionalFormatting sqref="L55">
    <cfRule type="expression" dxfId="514" priority="23">
      <formula>$F$9=AD_no</formula>
    </cfRule>
  </conditionalFormatting>
  <conditionalFormatting sqref="M55">
    <cfRule type="expression" dxfId="513" priority="22">
      <formula>$H$9=AD_no</formula>
    </cfRule>
  </conditionalFormatting>
  <conditionalFormatting sqref="K56">
    <cfRule type="expression" dxfId="512" priority="21">
      <formula>$D$9=AD_no</formula>
    </cfRule>
  </conditionalFormatting>
  <conditionalFormatting sqref="L56">
    <cfRule type="expression" dxfId="511" priority="20">
      <formula>$F$9=AD_no</formula>
    </cfRule>
  </conditionalFormatting>
  <conditionalFormatting sqref="M56">
    <cfRule type="expression" dxfId="510" priority="19">
      <formula>$H$9=AD_no</formula>
    </cfRule>
  </conditionalFormatting>
  <conditionalFormatting sqref="K59">
    <cfRule type="expression" dxfId="509" priority="18">
      <formula>$D$9=AD_no</formula>
    </cfRule>
  </conditionalFormatting>
  <conditionalFormatting sqref="L59">
    <cfRule type="expression" dxfId="508" priority="17">
      <formula>$F$9=AD_no</formula>
    </cfRule>
  </conditionalFormatting>
  <conditionalFormatting sqref="M59">
    <cfRule type="expression" dxfId="507" priority="16">
      <formula>$H$9=AD_no</formula>
    </cfRule>
  </conditionalFormatting>
  <conditionalFormatting sqref="K62:K63">
    <cfRule type="expression" dxfId="506" priority="15">
      <formula>$D$9=AD_no</formula>
    </cfRule>
  </conditionalFormatting>
  <conditionalFormatting sqref="L62:L63">
    <cfRule type="expression" dxfId="505" priority="14">
      <formula>$F$9=AD_no</formula>
    </cfRule>
  </conditionalFormatting>
  <conditionalFormatting sqref="M62:M63">
    <cfRule type="expression" dxfId="504" priority="13">
      <formula>$H$9=AD_no</formula>
    </cfRule>
  </conditionalFormatting>
  <conditionalFormatting sqref="K66">
    <cfRule type="expression" dxfId="503" priority="9">
      <formula>$D$9=AD_no</formula>
    </cfRule>
  </conditionalFormatting>
  <conditionalFormatting sqref="L66">
    <cfRule type="expression" dxfId="502" priority="8">
      <formula>$F$9=AD_no</formula>
    </cfRule>
  </conditionalFormatting>
  <conditionalFormatting sqref="M66">
    <cfRule type="expression" dxfId="501" priority="7">
      <formula>$H$9=AD_no</formula>
    </cfRule>
  </conditionalFormatting>
  <conditionalFormatting sqref="K75:K76">
    <cfRule type="expression" dxfId="500" priority="3">
      <formula>$D$9=AD_no</formula>
    </cfRule>
  </conditionalFormatting>
  <conditionalFormatting sqref="L75:L76">
    <cfRule type="expression" dxfId="499" priority="2">
      <formula>$F$9=AD_no</formula>
    </cfRule>
  </conditionalFormatting>
  <conditionalFormatting sqref="M75:M76">
    <cfRule type="expression" dxfId="498" priority="1">
      <formula>$H$9=AD_no</formula>
    </cfRule>
  </conditionalFormatting>
  <conditionalFormatting sqref="K54:M56 K59:M59 K62:M63 K66:M66 K75:M76 K69:M72 K79:M81">
    <cfRule type="expression" dxfId="497" priority="6889">
      <formula>$J54&lt;&gt;K54</formula>
    </cfRule>
  </conditionalFormatting>
  <conditionalFormatting sqref="K54:K81">
    <cfRule type="expression" dxfId="496" priority="230">
      <formula>K54&gt;J54</formula>
    </cfRule>
  </conditionalFormatting>
  <conditionalFormatting sqref="L54:L81">
    <cfRule type="expression" dxfId="495" priority="229">
      <formula>L54&gt;J54</formula>
    </cfRule>
  </conditionalFormatting>
  <conditionalFormatting sqref="M53:M81">
    <cfRule type="expression" dxfId="494" priority="228">
      <formula>M53&gt;J53</formula>
    </cfRule>
  </conditionalFormatting>
  <dataValidations count="1">
    <dataValidation type="list" allowBlank="1" showInputMessage="1" showErrorMessage="1" sqref="D9 H9 F9" xr:uid="{00000000-0002-0000-0500-000000000000}">
      <formula1>$AA$36:$AA$37</formula1>
    </dataValidation>
  </dataValidations>
  <pageMargins left="0.51181102362204722" right="0.51181102362204722" top="0.35433070866141736" bottom="0.35433070866141736" header="0.31496062992125984" footer="0.31496062992125984"/>
  <pageSetup paperSize="9" scale="65" fitToHeight="2" orientation="landscape" verticalDpi="598"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383"/>
  <sheetViews>
    <sheetView zoomScale="70" zoomScaleNormal="70" zoomScalePageLayoutView="30" workbookViewId="0">
      <pane ySplit="9" topLeftCell="A10" activePane="bottomLeft" state="frozen"/>
      <selection pane="bottomLeft" activeCell="H24" sqref="H24"/>
      <selection activeCell="H9" sqref="H9:I9"/>
    </sheetView>
  </sheetViews>
  <sheetFormatPr defaultColWidth="9.140625" defaultRowHeight="15"/>
  <cols>
    <col min="1" max="1" width="6.28515625" style="1" hidden="1" customWidth="1"/>
    <col min="2" max="2" width="28.5703125" style="1" hidden="1" customWidth="1"/>
    <col min="3" max="3" width="5.7109375" style="1" customWidth="1"/>
    <col min="4" max="4" width="16.7109375" style="1" bestFit="1" customWidth="1"/>
    <col min="5" max="5" width="66.85546875" style="5" customWidth="1"/>
    <col min="6" max="6" width="12.85546875" style="1" bestFit="1" customWidth="1"/>
    <col min="7" max="7" width="15" style="1" customWidth="1"/>
    <col min="8" max="8" width="15.42578125" style="1" bestFit="1" customWidth="1"/>
    <col min="9" max="9" width="22.42578125" style="1" bestFit="1" customWidth="1"/>
    <col min="10" max="10" width="12.85546875" style="1" bestFit="1" customWidth="1"/>
    <col min="11" max="11" width="8.140625" style="1" bestFit="1" customWidth="1"/>
    <col min="12" max="12" width="36.42578125" style="1" customWidth="1"/>
    <col min="13" max="13" width="1.7109375" style="13" customWidth="1"/>
    <col min="14" max="14" width="26.85546875" style="1" customWidth="1"/>
    <col min="15" max="15" width="14.28515625" style="1" bestFit="1" customWidth="1"/>
    <col min="16" max="16" width="21.5703125" style="1" bestFit="1" customWidth="1"/>
    <col min="17" max="17" width="10.7109375" style="1" bestFit="1" customWidth="1"/>
    <col min="18" max="18" width="10.5703125" style="1" bestFit="1" customWidth="1"/>
    <col min="19" max="19" width="20" style="1" bestFit="1" customWidth="1"/>
    <col min="20" max="20" width="3.85546875" style="13" bestFit="1" customWidth="1"/>
    <col min="21" max="21" width="15.42578125" style="1" customWidth="1"/>
    <col min="22" max="22" width="12" style="1" bestFit="1" customWidth="1"/>
    <col min="23" max="23" width="22.42578125" style="1" bestFit="1" customWidth="1"/>
    <col min="24" max="24" width="10.7109375" style="1" bestFit="1" customWidth="1"/>
    <col min="25" max="25" width="10.5703125" style="1" bestFit="1" customWidth="1"/>
    <col min="26" max="26" width="20" style="1" bestFit="1" customWidth="1"/>
    <col min="27" max="27" width="5" style="1" hidden="1" customWidth="1"/>
    <col min="28" max="28" width="16" style="13" hidden="1" customWidth="1"/>
    <col min="29" max="31" width="1.7109375" style="13" hidden="1" customWidth="1"/>
    <col min="32" max="32" width="2.5703125" style="13" hidden="1" customWidth="1"/>
    <col min="33" max="33" width="9.140625" style="1" hidden="1" customWidth="1"/>
    <col min="34" max="34" width="4.28515625" style="1" hidden="1" customWidth="1"/>
    <col min="35" max="36" width="9.140625" style="1" customWidth="1"/>
    <col min="37" max="37" width="11.85546875" style="1" customWidth="1"/>
    <col min="38" max="38" width="2" style="1" customWidth="1"/>
    <col min="39" max="78" width="9.140625" style="1" customWidth="1"/>
    <col min="79" max="16384" width="9.140625" style="1"/>
  </cols>
  <sheetData>
    <row r="1" spans="1:50" ht="48" customHeight="1">
      <c r="A1" s="327"/>
      <c r="B1" s="327"/>
      <c r="C1" s="327"/>
      <c r="D1" s="386"/>
      <c r="E1" s="942" t="s">
        <v>222</v>
      </c>
      <c r="F1" s="386"/>
      <c r="G1" s="386"/>
      <c r="H1" s="386"/>
      <c r="I1" s="386"/>
      <c r="J1" s="386"/>
      <c r="K1" s="386"/>
      <c r="L1" s="387" t="s">
        <v>1074</v>
      </c>
      <c r="M1" s="386"/>
      <c r="N1" s="386"/>
      <c r="O1" s="386"/>
      <c r="P1" s="386"/>
      <c r="Q1" s="386"/>
      <c r="R1" s="386"/>
      <c r="S1" s="386"/>
      <c r="T1" s="386"/>
      <c r="U1" s="386"/>
      <c r="V1" s="386"/>
      <c r="W1" s="386"/>
      <c r="X1" s="386"/>
      <c r="Y1" s="386"/>
      <c r="Z1" s="488" t="str">
        <f>IF('Manuell filtrering og justering'!I2='Manuell filtrering og justering'!J2,"Bespoke","")</f>
        <v/>
      </c>
      <c r="AA1" s="488"/>
      <c r="AB1" s="328"/>
      <c r="AC1" s="310"/>
      <c r="AD1" s="310"/>
      <c r="AE1" s="310"/>
    </row>
    <row r="2" spans="1:50" s="50" customFormat="1" ht="15.75">
      <c r="D2" s="50">
        <v>3</v>
      </c>
      <c r="E2" s="953">
        <v>5</v>
      </c>
      <c r="F2" s="343">
        <v>6</v>
      </c>
      <c r="G2" s="343">
        <v>7</v>
      </c>
      <c r="H2" s="343">
        <v>8</v>
      </c>
      <c r="I2" s="343">
        <v>9</v>
      </c>
      <c r="J2" s="343">
        <v>10</v>
      </c>
      <c r="K2" s="343">
        <v>11</v>
      </c>
      <c r="L2" s="343">
        <v>12</v>
      </c>
      <c r="M2" s="343"/>
      <c r="N2" s="343">
        <v>14</v>
      </c>
      <c r="O2" s="343">
        <v>15</v>
      </c>
      <c r="P2" s="343">
        <v>16</v>
      </c>
      <c r="Q2" s="343">
        <v>17</v>
      </c>
      <c r="R2" s="343">
        <v>18</v>
      </c>
      <c r="S2" s="343">
        <v>19</v>
      </c>
      <c r="T2" s="343">
        <v>20</v>
      </c>
      <c r="U2" s="343">
        <v>21</v>
      </c>
      <c r="V2" s="343">
        <v>22</v>
      </c>
      <c r="W2" s="343">
        <v>23</v>
      </c>
      <c r="X2" s="343">
        <v>25</v>
      </c>
      <c r="Y2" s="343">
        <v>25</v>
      </c>
      <c r="Z2" s="343">
        <v>26</v>
      </c>
      <c r="AA2" s="343"/>
      <c r="AB2" s="227">
        <v>24</v>
      </c>
      <c r="AC2" s="227"/>
      <c r="AD2" s="227"/>
      <c r="AE2" s="227"/>
      <c r="AF2" s="13"/>
    </row>
    <row r="3" spans="1:50" ht="26.25">
      <c r="D3" s="4"/>
      <c r="E3" s="943"/>
      <c r="F3" s="1185"/>
      <c r="G3" s="314" t="s">
        <v>224</v>
      </c>
      <c r="H3" s="329"/>
      <c r="I3" s="329"/>
      <c r="J3" s="329"/>
      <c r="K3" s="330"/>
      <c r="L3" s="331"/>
      <c r="M3" s="332"/>
      <c r="N3" s="314" t="s">
        <v>225</v>
      </c>
      <c r="O3" s="314"/>
      <c r="P3" s="314"/>
      <c r="Q3" s="329"/>
      <c r="R3" s="329"/>
      <c r="S3" s="329"/>
      <c r="T3" s="332"/>
      <c r="U3" s="314" t="s">
        <v>226</v>
      </c>
      <c r="V3" s="314"/>
      <c r="W3" s="314"/>
      <c r="X3" s="329"/>
      <c r="Y3" s="329"/>
      <c r="Z3" s="333"/>
      <c r="AA3" s="333"/>
      <c r="AB3" s="536" t="s">
        <v>227</v>
      </c>
      <c r="AC3" s="334"/>
      <c r="AD3" s="334"/>
      <c r="AE3" s="334"/>
    </row>
    <row r="4" spans="1:50">
      <c r="D4" s="944"/>
      <c r="E4" s="944" t="s">
        <v>1075</v>
      </c>
      <c r="F4" s="335"/>
      <c r="G4" s="316" t="s">
        <v>229</v>
      </c>
      <c r="H4" s="317"/>
      <c r="I4" s="318"/>
      <c r="J4" s="319" t="str">
        <f>'Pre-Assessment Estimator'!L4</f>
        <v>Unclassified</v>
      </c>
      <c r="K4" s="320"/>
      <c r="L4" s="324" t="s">
        <v>1076</v>
      </c>
      <c r="M4" s="336"/>
      <c r="N4" s="316" t="s">
        <v>229</v>
      </c>
      <c r="O4" s="317"/>
      <c r="P4" s="317"/>
      <c r="Q4" s="317"/>
      <c r="R4" s="317"/>
      <c r="S4" s="320" t="str">
        <f>'Pre-Assessment Estimator'!S4</f>
        <v/>
      </c>
      <c r="T4" s="336"/>
      <c r="U4" s="316" t="s">
        <v>229</v>
      </c>
      <c r="V4" s="317"/>
      <c r="W4" s="317"/>
      <c r="X4" s="317"/>
      <c r="Y4" s="317"/>
      <c r="Z4" s="315" t="str">
        <f>'Pre-Assessment Estimator'!Z4</f>
        <v/>
      </c>
      <c r="AA4" s="538"/>
      <c r="AB4" s="541" t="str">
        <f>IF('Pre-Assessment Estimator'!AJ4=ais_ja,"Option 2: 50% of","")</f>
        <v/>
      </c>
      <c r="AC4" s="1"/>
      <c r="AD4" s="1"/>
      <c r="AE4" s="1"/>
      <c r="AG4" s="13"/>
      <c r="AP4" s="15"/>
    </row>
    <row r="5" spans="1:50">
      <c r="D5" s="945"/>
      <c r="E5" s="945" t="str">
        <f>'Pre-Assessment Estimator'!E5</f>
        <v/>
      </c>
      <c r="F5" s="335"/>
      <c r="G5" s="316" t="s">
        <v>231</v>
      </c>
      <c r="H5" s="317"/>
      <c r="I5" s="318"/>
      <c r="J5" s="321">
        <f>'Pre-Assessment Estimator'!L5</f>
        <v>0</v>
      </c>
      <c r="K5" s="322"/>
      <c r="L5" s="324" t="s">
        <v>1077</v>
      </c>
      <c r="M5" s="336"/>
      <c r="N5" s="316" t="s">
        <v>231</v>
      </c>
      <c r="O5" s="317"/>
      <c r="P5" s="317"/>
      <c r="Q5" s="317"/>
      <c r="R5" s="317"/>
      <c r="S5" s="320" t="str">
        <f>'Pre-Assessment Estimator'!S5</f>
        <v/>
      </c>
      <c r="T5" s="336"/>
      <c r="U5" s="316" t="s">
        <v>231</v>
      </c>
      <c r="V5" s="317"/>
      <c r="W5" s="317"/>
      <c r="X5" s="317"/>
      <c r="Y5" s="317"/>
      <c r="Z5" s="315" t="str">
        <f>'Pre-Assessment Estimator'!Z5</f>
        <v/>
      </c>
      <c r="AA5" s="539"/>
      <c r="AB5" s="541" t="str">
        <f>IF('Pre-Assessment Estimator'!AJ4=ais_ja,"achieved credit is","")</f>
        <v/>
      </c>
      <c r="AC5" s="1"/>
      <c r="AD5" s="1"/>
      <c r="AE5" s="1"/>
      <c r="AG5" s="337"/>
    </row>
    <row r="6" spans="1:50">
      <c r="D6" s="946"/>
      <c r="E6" s="946" t="str">
        <f>'Pre-Assessment Estimator'!E6</f>
        <v>Pre-Assessment Estimator Version: 1.6</v>
      </c>
      <c r="F6" s="335"/>
      <c r="G6" s="316" t="s">
        <v>232</v>
      </c>
      <c r="H6" s="317"/>
      <c r="I6" s="318"/>
      <c r="J6" s="321" t="str">
        <f>'Pre-Assessment Estimator'!L6</f>
        <v>Unclassified</v>
      </c>
      <c r="K6" s="322"/>
      <c r="L6" s="324" t="s">
        <v>1078</v>
      </c>
      <c r="M6" s="336"/>
      <c r="N6" s="316" t="s">
        <v>232</v>
      </c>
      <c r="O6" s="317"/>
      <c r="P6" s="317"/>
      <c r="Q6" s="317"/>
      <c r="R6" s="317"/>
      <c r="S6" s="320" t="str">
        <f>'Pre-Assessment Estimator'!S6</f>
        <v/>
      </c>
      <c r="T6" s="336"/>
      <c r="U6" s="316" t="s">
        <v>232</v>
      </c>
      <c r="V6" s="317"/>
      <c r="W6" s="317"/>
      <c r="X6" s="317"/>
      <c r="Y6" s="317"/>
      <c r="Z6" s="315" t="str">
        <f>'Pre-Assessment Estimator'!Z6</f>
        <v/>
      </c>
      <c r="AA6" s="539"/>
      <c r="AB6" s="541"/>
      <c r="AC6" s="1"/>
      <c r="AD6" s="1"/>
      <c r="AE6" s="1"/>
      <c r="AG6" s="337"/>
    </row>
    <row r="7" spans="1:50">
      <c r="D7" s="946"/>
      <c r="E7" s="946" t="str">
        <f>'Pre-Assessment Estimator'!E7</f>
        <v>New Construction (fully fitted)</v>
      </c>
      <c r="F7" s="335"/>
      <c r="G7" s="316" t="s">
        <v>234</v>
      </c>
      <c r="H7" s="317"/>
      <c r="I7" s="318"/>
      <c r="J7" s="321" t="str">
        <f>'Pre-Assessment Estimator'!L7</f>
        <v>No</v>
      </c>
      <c r="K7" s="323"/>
      <c r="L7" s="324"/>
      <c r="M7" s="336"/>
      <c r="N7" s="316" t="s">
        <v>234</v>
      </c>
      <c r="O7" s="317"/>
      <c r="P7" s="317"/>
      <c r="Q7" s="317"/>
      <c r="R7" s="317"/>
      <c r="S7" s="320" t="str">
        <f>'Pre-Assessment Estimator'!S7</f>
        <v/>
      </c>
      <c r="T7" s="336"/>
      <c r="U7" s="316" t="s">
        <v>234</v>
      </c>
      <c r="V7" s="317"/>
      <c r="W7" s="317"/>
      <c r="X7" s="317"/>
      <c r="Y7" s="317"/>
      <c r="Z7" s="315" t="str">
        <f>'Pre-Assessment Estimator'!Z7</f>
        <v/>
      </c>
      <c r="AA7" s="540"/>
      <c r="AB7" s="542" t="str">
        <f>IF('Pre-Assessment Estimator'!AJ4=ais_ja,"subtracted from score.","")</f>
        <v/>
      </c>
      <c r="AC7" s="1"/>
      <c r="AD7" s="1"/>
      <c r="AE7" s="1"/>
      <c r="AG7" s="337"/>
    </row>
    <row r="8" spans="1:50">
      <c r="D8" s="959"/>
      <c r="E8" s="960" t="str">
        <f>'Pre-Assessment Estimator'!E8</f>
        <v/>
      </c>
      <c r="G8" s="338"/>
      <c r="I8" s="13"/>
      <c r="J8" s="13"/>
      <c r="K8" s="13"/>
      <c r="L8" s="13"/>
      <c r="N8" s="13"/>
      <c r="O8" s="13"/>
      <c r="P8" s="13"/>
      <c r="Q8" s="13"/>
      <c r="R8" s="13"/>
      <c r="S8" s="13"/>
      <c r="U8" s="13"/>
      <c r="V8" s="13"/>
      <c r="W8" s="13"/>
      <c r="X8" s="13"/>
      <c r="Y8" s="13"/>
      <c r="Z8" s="13"/>
      <c r="AA8" s="13"/>
      <c r="AG8" s="13"/>
    </row>
    <row r="9" spans="1:50" ht="30.75">
      <c r="A9" s="339" t="s">
        <v>237</v>
      </c>
      <c r="B9" s="339" t="s">
        <v>238</v>
      </c>
      <c r="C9" s="339"/>
      <c r="D9" s="947"/>
      <c r="E9" s="947" t="s">
        <v>1079</v>
      </c>
      <c r="F9" s="931" t="s">
        <v>240</v>
      </c>
      <c r="G9" s="436" t="s">
        <v>241</v>
      </c>
      <c r="H9" s="932" t="s">
        <v>1080</v>
      </c>
      <c r="I9" s="933" t="s">
        <v>1081</v>
      </c>
      <c r="J9" s="934" t="s">
        <v>244</v>
      </c>
      <c r="K9" s="935" t="s">
        <v>245</v>
      </c>
      <c r="L9" s="936" t="s">
        <v>1082</v>
      </c>
      <c r="M9" s="937"/>
      <c r="N9" s="437" t="s">
        <v>241</v>
      </c>
      <c r="O9" s="437" t="s">
        <v>242</v>
      </c>
      <c r="P9" s="437" t="s">
        <v>1081</v>
      </c>
      <c r="Q9" s="938" t="s">
        <v>244</v>
      </c>
      <c r="R9" s="938" t="s">
        <v>245</v>
      </c>
      <c r="S9" s="939" t="s">
        <v>246</v>
      </c>
      <c r="T9" s="940"/>
      <c r="U9" s="437" t="s">
        <v>241</v>
      </c>
      <c r="V9" s="437" t="s">
        <v>242</v>
      </c>
      <c r="W9" s="437" t="s">
        <v>1081</v>
      </c>
      <c r="X9" s="938" t="s">
        <v>244</v>
      </c>
      <c r="Y9" s="938" t="s">
        <v>245</v>
      </c>
      <c r="Z9" s="941" t="s">
        <v>246</v>
      </c>
      <c r="AA9" s="543"/>
      <c r="AB9" s="537" t="str">
        <f>IF('Pre-Assessment Estimator'!AJ4=ais_ja,"Compliance?","")</f>
        <v/>
      </c>
      <c r="AT9" s="340"/>
      <c r="AX9" s="12"/>
    </row>
    <row r="10" spans="1:50" ht="18.75">
      <c r="A10" s="652">
        <v>1</v>
      </c>
      <c r="B10" s="652" t="s">
        <v>251</v>
      </c>
      <c r="C10" s="652"/>
      <c r="D10" s="438"/>
      <c r="E10" s="438" t="s">
        <v>251</v>
      </c>
      <c r="F10" s="439"/>
      <c r="G10" s="439"/>
      <c r="H10" s="439"/>
      <c r="I10" s="439"/>
      <c r="J10" s="440"/>
      <c r="K10" s="439"/>
      <c r="L10" s="440"/>
      <c r="M10" s="441"/>
      <c r="N10" s="439"/>
      <c r="O10" s="439"/>
      <c r="P10" s="439"/>
      <c r="Q10" s="440"/>
      <c r="R10" s="439"/>
      <c r="S10" s="440"/>
      <c r="T10" s="442"/>
      <c r="U10" s="439"/>
      <c r="V10" s="439"/>
      <c r="W10" s="439"/>
      <c r="X10" s="440"/>
      <c r="Y10" s="439"/>
      <c r="Z10" s="341"/>
      <c r="AA10" s="544">
        <v>1</v>
      </c>
      <c r="AB10" s="545"/>
      <c r="AF10" s="13">
        <f>IF(F2="",1,IF(F2=0,2,1))</f>
        <v>1</v>
      </c>
      <c r="AH10" s="1" t="s">
        <v>181</v>
      </c>
      <c r="AV10" s="340"/>
    </row>
    <row r="11" spans="1:50">
      <c r="A11" s="652">
        <v>2</v>
      </c>
      <c r="B11" s="958" t="s">
        <v>251</v>
      </c>
      <c r="C11" s="958"/>
      <c r="D11" s="979" t="str">
        <f>VLOOKUP($A11,'Pre-Assessment Estimator'!$A$10:$Z$227,D$2,FALSE)</f>
        <v>Man 01</v>
      </c>
      <c r="E11" s="979" t="str">
        <f>VLOOKUP($A11,'Pre-Assessment Estimator'!$A$10:$Z$227,E$2,FALSE)</f>
        <v>Man 01 Project brief and design</v>
      </c>
      <c r="F11" s="443">
        <f>VLOOKUP($A11,'Pre-Assessment Estimator'!$A$10:$Z$227,F$2,FALSE)</f>
        <v>5</v>
      </c>
      <c r="G11" s="449" t="str">
        <f>IF(VLOOKUP($A11,'Pre-Assessment Estimator'!$A$10:$Z$227,G$2,FALSE)=0,"",VLOOKUP($A11,'Pre-Assessment Estimator'!$A$10:$Z$227,G$2,FALSE))</f>
        <v/>
      </c>
      <c r="H11" s="948" t="str">
        <f>VLOOKUP($A11,'Pre-Assessment Estimator'!$A$10:$Z$227,H$2,FALSE)</f>
        <v>0 c. 0 %</v>
      </c>
      <c r="I11" s="445" t="str">
        <f>VLOOKUP($A11,'Pre-Assessment Estimator'!$A$10:$Z$227,I$2,FALSE)</f>
        <v>N/A</v>
      </c>
      <c r="J11" s="446" t="str">
        <f>IF(VLOOKUP($A11,'Pre-Assessment Estimator'!$A$10:$Z$227,J$2,FALSE)=0,"",VLOOKUP($A11,'Pre-Assessment Estimator'!$A$10:$Z$227,J$2,FALSE))</f>
        <v/>
      </c>
      <c r="K11" s="446" t="str">
        <f>IF(VLOOKUP($A11,'Pre-Assessment Estimator'!$A$10:$Z$227,K$2,FALSE)=0,"",VLOOKUP($A11,'Pre-Assessment Estimator'!$A$10:$Z$227,K$2,FALSE))</f>
        <v/>
      </c>
      <c r="L11" s="447" t="str">
        <f>IF(VLOOKUP($A11,'Pre-Assessment Estimator'!$A$10:$Z$227,L$2,FALSE)=0,"",VLOOKUP($A11,'Pre-Assessment Estimator'!$A$10:$Z$227,L$2,FALSE))</f>
        <v/>
      </c>
      <c r="M11" s="448"/>
      <c r="N11" s="449" t="str">
        <f>IF(VLOOKUP($A11,'Pre-Assessment Estimator'!$A$10:$Z$227,N$2,FALSE)=0,"",VLOOKUP($A11,'Pre-Assessment Estimator'!$A$10:$Z$227,N$2,FALSE))</f>
        <v/>
      </c>
      <c r="O11" s="444" t="str">
        <f>VLOOKUP($A11,'Pre-Assessment Estimator'!$A$10:$Z$227,O$2,FALSE)</f>
        <v>0 c. 0 %</v>
      </c>
      <c r="P11" s="443" t="str">
        <f>VLOOKUP($A11,'Pre-Assessment Estimator'!$A$10:$Z$227,P$2,FALSE)</f>
        <v>N/A</v>
      </c>
      <c r="Q11" s="446" t="str">
        <f>IF(VLOOKUP($A11,'Pre-Assessment Estimator'!$A$10:$Z$227,Q$2,FALSE)=0,"",VLOOKUP($A11,'Pre-Assessment Estimator'!$A$10:$Z$227,Q$2,FALSE))</f>
        <v/>
      </c>
      <c r="R11" s="446" t="str">
        <f>IF(VLOOKUP($A11,'Pre-Assessment Estimator'!$A$10:$Z$227,R$2,FALSE)=0,"",VLOOKUP($A11,'Pre-Assessment Estimator'!$A$10:$Z$227,R$2,FALSE))</f>
        <v/>
      </c>
      <c r="S11" s="447" t="str">
        <f>IF(VLOOKUP($A11,'Pre-Assessment Estimator'!$A$10:$Z$227,S$2,FALSE)=0,"",VLOOKUP($A11,'Pre-Assessment Estimator'!$A$10:$Z$227,S$2,FALSE))</f>
        <v/>
      </c>
      <c r="T11" s="450"/>
      <c r="U11" s="449" t="str">
        <f>IF(VLOOKUP($A11,'Pre-Assessment Estimator'!$A$10:$Z$227,U$2,FALSE)=0,"",VLOOKUP($A11,'Pre-Assessment Estimator'!$A$10:$Z$227,U$2,FALSE))</f>
        <v/>
      </c>
      <c r="V11" s="444" t="str">
        <f>VLOOKUP($A11,'Pre-Assessment Estimator'!$A$10:$Z$227,V$2,FALSE)</f>
        <v>0 c. 0 %</v>
      </c>
      <c r="W11" s="443" t="str">
        <f>VLOOKUP($A11,'Pre-Assessment Estimator'!$A$10:$Z$227,W$2,FALSE)</f>
        <v>N/A</v>
      </c>
      <c r="X11" s="446" t="str">
        <f>IF(VLOOKUP($A11,'Pre-Assessment Estimator'!$A$10:$Z$227,X$2,FALSE)=0,"",VLOOKUP($A11,'Pre-Assessment Estimator'!$A$10:$Z$227,X$2,FALSE))</f>
        <v/>
      </c>
      <c r="Y11" s="446" t="str">
        <f>IF(VLOOKUP($A11,'Pre-Assessment Estimator'!$A$10:$Z$227,Y$2,FALSE)=0,"",VLOOKUP($A11,'Pre-Assessment Estimator'!$A$10:$Z$227,Y$2,FALSE))</f>
        <v/>
      </c>
      <c r="Z11" s="313" t="str">
        <f>IF(VLOOKUP($A11,'Pre-Assessment Estimator'!$A$10:$Z$227,Z$2,FALSE)=0,"",VLOOKUP($A11,'Pre-Assessment Estimator'!$A$10:$Z$227,Z$2,FALSE))</f>
        <v/>
      </c>
      <c r="AA11" s="544">
        <v>2</v>
      </c>
      <c r="AB11" s="446" t="str">
        <f>IF(VLOOKUP($A11,'Pre-Assessment Estimator'!$A$10:$AB$227,AB$2,FALSE)=0,"",VLOOKUP($A11,'Pre-Assessment Estimator'!$A$10:$AB$227,AB$2,FALSE))</f>
        <v/>
      </c>
      <c r="AF11" s="13">
        <f>IF(F11="",1,IF(F11=0,2,1))</f>
        <v>1</v>
      </c>
      <c r="AH11" s="1" t="s">
        <v>178</v>
      </c>
    </row>
    <row r="12" spans="1:50">
      <c r="A12" s="652">
        <v>3</v>
      </c>
      <c r="B12" s="958" t="s">
        <v>251</v>
      </c>
      <c r="C12" s="958"/>
      <c r="D12" s="980" t="str">
        <f>VLOOKUP($A12,'Pre-Assessment Estimator'!$A$10:$Z$227,D$2,FALSE)</f>
        <v>Man 01</v>
      </c>
      <c r="E12" s="981" t="str">
        <f>VLOOKUP($A12,'Pre-Assessment Estimator'!$A$10:$Z$227,E$2,FALSE)</f>
        <v>Planning project delivery</v>
      </c>
      <c r="F12" s="443">
        <f>VLOOKUP($A12,'Pre-Assessment Estimator'!$A$10:$Z$227,F$2,FALSE)</f>
        <v>1</v>
      </c>
      <c r="G12" s="449" t="str">
        <f>IF(VLOOKUP($A12,'Pre-Assessment Estimator'!$A$10:$Z$227,G$2,FALSE)=0,"",VLOOKUP($A12,'Pre-Assessment Estimator'!$A$10:$Z$227,G$2,FALSE))</f>
        <v/>
      </c>
      <c r="H12" s="444">
        <f>VLOOKUP($A12,'Pre-Assessment Estimator'!$A$10:$Z$227,H$2,FALSE)</f>
        <v>0</v>
      </c>
      <c r="I12" s="443" t="str">
        <f>VLOOKUP($A12,'Pre-Assessment Estimator'!$A$10:$Z$227,I$2,FALSE)</f>
        <v>Very Good</v>
      </c>
      <c r="J12" s="446" t="str">
        <f>IF(VLOOKUP($A12,'Pre-Assessment Estimator'!$A$10:$Z$227,J$2,FALSE)=0,"",VLOOKUP($A12,'Pre-Assessment Estimator'!$A$10:$Z$227,J$2,FALSE))</f>
        <v/>
      </c>
      <c r="K12" s="446" t="str">
        <f>IF(VLOOKUP($A12,'Pre-Assessment Estimator'!$A$10:$Z$227,K$2,FALSE)=0,"",VLOOKUP($A12,'Pre-Assessment Estimator'!$A$10:$Z$227,K$2,FALSE))</f>
        <v/>
      </c>
      <c r="L12" s="447" t="str">
        <f>IF(VLOOKUP($A12,'Pre-Assessment Estimator'!$A$10:$Z$227,L$2,FALSE)=0,"",VLOOKUP($A12,'Pre-Assessment Estimator'!$A$10:$Z$227,L$2,FALSE))</f>
        <v/>
      </c>
      <c r="M12" s="448"/>
      <c r="N12" s="449" t="str">
        <f>IF(VLOOKUP($A12,'Pre-Assessment Estimator'!$A$10:$Z$227,N$2,FALSE)=0,"",VLOOKUP($A12,'Pre-Assessment Estimator'!$A$10:$Z$227,N$2,FALSE))</f>
        <v/>
      </c>
      <c r="O12" s="444">
        <f>VLOOKUP($A12,'Pre-Assessment Estimator'!$A$10:$Z$227,O$2,FALSE)</f>
        <v>0</v>
      </c>
      <c r="P12" s="443" t="str">
        <f>VLOOKUP($A12,'Pre-Assessment Estimator'!$A$10:$Z$227,P$2,FALSE)</f>
        <v>Very Good</v>
      </c>
      <c r="Q12" s="446" t="str">
        <f>IF(VLOOKUP($A12,'Pre-Assessment Estimator'!$A$10:$Z$227,Q$2,FALSE)=0,"",VLOOKUP($A12,'Pre-Assessment Estimator'!$A$10:$Z$227,Q$2,FALSE))</f>
        <v/>
      </c>
      <c r="R12" s="446" t="str">
        <f>IF(VLOOKUP($A12,'Pre-Assessment Estimator'!$A$10:$Z$227,R$2,FALSE)=0,"",VLOOKUP($A12,'Pre-Assessment Estimator'!$A$10:$Z$227,R$2,FALSE))</f>
        <v/>
      </c>
      <c r="S12" s="447" t="str">
        <f>IF(VLOOKUP($A12,'Pre-Assessment Estimator'!$A$10:$Z$227,S$2,FALSE)=0,"",VLOOKUP($A12,'Pre-Assessment Estimator'!$A$10:$Z$227,S$2,FALSE))</f>
        <v/>
      </c>
      <c r="T12" s="450"/>
      <c r="U12" s="449" t="str">
        <f>IF(VLOOKUP($A12,'Pre-Assessment Estimator'!$A$10:$Z$227,U$2,FALSE)=0,"",VLOOKUP($A12,'Pre-Assessment Estimator'!$A$10:$Z$227,U$2,FALSE))</f>
        <v/>
      </c>
      <c r="V12" s="444">
        <f>VLOOKUP($A12,'Pre-Assessment Estimator'!$A$10:$Z$227,V$2,FALSE)</f>
        <v>0</v>
      </c>
      <c r="W12" s="443" t="str">
        <f>VLOOKUP($A12,'Pre-Assessment Estimator'!$A$10:$Z$227,W$2,FALSE)</f>
        <v>Very Good</v>
      </c>
      <c r="X12" s="446" t="str">
        <f>IF(VLOOKUP($A12,'Pre-Assessment Estimator'!$A$10:$Z$227,X$2,FALSE)=0,"",VLOOKUP($A12,'Pre-Assessment Estimator'!$A$10:$Z$227,X$2,FALSE))</f>
        <v/>
      </c>
      <c r="Y12" s="446" t="str">
        <f>IF(VLOOKUP($A12,'Pre-Assessment Estimator'!$A$10:$Z$227,Y$2,FALSE)=0,"",VLOOKUP($A12,'Pre-Assessment Estimator'!$A$10:$Z$227,Y$2,FALSE))</f>
        <v/>
      </c>
      <c r="Z12" s="313" t="str">
        <f>IF(VLOOKUP($A12,'Pre-Assessment Estimator'!$A$10:$Z$227,Z$2,FALSE)=0,"",VLOOKUP($A12,'Pre-Assessment Estimator'!$A$10:$Z$227,Z$2,FALSE))</f>
        <v/>
      </c>
      <c r="AA12" s="544">
        <v>3</v>
      </c>
      <c r="AB12" s="446" t="str">
        <f>IF(VLOOKUP($A12,'Pre-Assessment Estimator'!$A$10:$AB$227,AB$2,FALSE)=0,"",VLOOKUP($A12,'Pre-Assessment Estimator'!$A$10:$AB$227,AB$2,FALSE))</f>
        <v/>
      </c>
      <c r="AF12" s="13">
        <f>IF(F12="",1,IF(F12=0,2,1))</f>
        <v>1</v>
      </c>
      <c r="AH12" s="1" t="s">
        <v>180</v>
      </c>
      <c r="AL12" s="14"/>
    </row>
    <row r="13" spans="1:50" ht="30">
      <c r="A13" s="652">
        <v>4</v>
      </c>
      <c r="B13" s="958" t="s">
        <v>251</v>
      </c>
      <c r="C13" s="958"/>
      <c r="D13" s="980" t="str">
        <f>VLOOKUP($A13,'Pre-Assessment Estimator'!$A$10:$Z$227,D$2,FALSE)</f>
        <v>Man 01</v>
      </c>
      <c r="E13" s="981" t="str">
        <f>VLOOKUP($A13,'Pre-Assessment Estimator'!$A$10:$Z$227,E$2,FALSE)</f>
        <v>Climate gas calculation for whole building life cycle (EU taxonomy requirement: criterion 2-3)</v>
      </c>
      <c r="F13" s="443">
        <f>VLOOKUP($A13,'Pre-Assessment Estimator'!$A$10:$Z$227,F$2,FALSE)</f>
        <v>1</v>
      </c>
      <c r="G13" s="449" t="str">
        <f>IF(VLOOKUP($A13,'Pre-Assessment Estimator'!$A$10:$Z$227,G$2,FALSE)=0,"",VLOOKUP($A13,'Pre-Assessment Estimator'!$A$10:$Z$227,G$2,FALSE))</f>
        <v/>
      </c>
      <c r="H13" s="444">
        <f>VLOOKUP($A13,'Pre-Assessment Estimator'!$A$10:$Z$227,H$2,FALSE)</f>
        <v>0</v>
      </c>
      <c r="I13" s="443" t="str">
        <f>VLOOKUP($A13,'Pre-Assessment Estimator'!$A$10:$Z$227,I$2,FALSE)</f>
        <v>Very Good</v>
      </c>
      <c r="J13" s="446" t="str">
        <f>IF(VLOOKUP($A13,'Pre-Assessment Estimator'!$A$10:$Z$227,J$2,FALSE)=0,"",VLOOKUP($A13,'Pre-Assessment Estimator'!$A$10:$Z$227,J$2,FALSE))</f>
        <v/>
      </c>
      <c r="K13" s="446" t="str">
        <f>IF(VLOOKUP($A13,'Pre-Assessment Estimator'!$A$10:$Z$227,K$2,FALSE)=0,"",VLOOKUP($A13,'Pre-Assessment Estimator'!$A$10:$Z$227,K$2,FALSE))</f>
        <v/>
      </c>
      <c r="L13" s="447" t="str">
        <f>IF(VLOOKUP($A13,'Pre-Assessment Estimator'!$A$10:$Z$227,L$2,FALSE)=0,"",VLOOKUP($A13,'Pre-Assessment Estimator'!$A$10:$Z$227,L$2,FALSE))</f>
        <v/>
      </c>
      <c r="M13" s="448"/>
      <c r="N13" s="449" t="str">
        <f>IF(VLOOKUP($A13,'Pre-Assessment Estimator'!$A$10:$Z$227,N$2,FALSE)=0,"",VLOOKUP($A13,'Pre-Assessment Estimator'!$A$10:$Z$227,N$2,FALSE))</f>
        <v/>
      </c>
      <c r="O13" s="444">
        <f>VLOOKUP($A13,'Pre-Assessment Estimator'!$A$10:$Z$227,O$2,FALSE)</f>
        <v>0</v>
      </c>
      <c r="P13" s="443" t="str">
        <f>VLOOKUP($A13,'Pre-Assessment Estimator'!$A$10:$Z$227,P$2,FALSE)</f>
        <v>Very Good</v>
      </c>
      <c r="Q13" s="446" t="str">
        <f>IF(VLOOKUP($A13,'Pre-Assessment Estimator'!$A$10:$Z$227,Q$2,FALSE)=0,"",VLOOKUP($A13,'Pre-Assessment Estimator'!$A$10:$Z$227,Q$2,FALSE))</f>
        <v/>
      </c>
      <c r="R13" s="446" t="str">
        <f>IF(VLOOKUP($A13,'Pre-Assessment Estimator'!$A$10:$Z$227,R$2,FALSE)=0,"",VLOOKUP($A13,'Pre-Assessment Estimator'!$A$10:$Z$227,R$2,FALSE))</f>
        <v/>
      </c>
      <c r="S13" s="447" t="str">
        <f>IF(VLOOKUP($A13,'Pre-Assessment Estimator'!$A$10:$Z$227,S$2,FALSE)=0,"",VLOOKUP($A13,'Pre-Assessment Estimator'!$A$10:$Z$227,S$2,FALSE))</f>
        <v/>
      </c>
      <c r="T13" s="450"/>
      <c r="U13" s="449" t="str">
        <f>IF(VLOOKUP($A13,'Pre-Assessment Estimator'!$A$10:$Z$227,U$2,FALSE)=0,"",VLOOKUP($A13,'Pre-Assessment Estimator'!$A$10:$Z$227,U$2,FALSE))</f>
        <v/>
      </c>
      <c r="V13" s="444">
        <f>VLOOKUP($A13,'Pre-Assessment Estimator'!$A$10:$Z$227,V$2,FALSE)</f>
        <v>0</v>
      </c>
      <c r="W13" s="443" t="str">
        <f>VLOOKUP($A13,'Pre-Assessment Estimator'!$A$10:$Z$227,W$2,FALSE)</f>
        <v>Very Good</v>
      </c>
      <c r="X13" s="446" t="str">
        <f>IF(VLOOKUP($A13,'Pre-Assessment Estimator'!$A$10:$Z$227,X$2,FALSE)=0,"",VLOOKUP($A13,'Pre-Assessment Estimator'!$A$10:$Z$227,X$2,FALSE))</f>
        <v/>
      </c>
      <c r="Y13" s="446" t="str">
        <f>IF(VLOOKUP($A13,'Pre-Assessment Estimator'!$A$10:$Z$227,Y$2,FALSE)=0,"",VLOOKUP($A13,'Pre-Assessment Estimator'!$A$10:$Z$227,Y$2,FALSE))</f>
        <v/>
      </c>
      <c r="Z13" s="313" t="str">
        <f>IF(VLOOKUP($A13,'Pre-Assessment Estimator'!$A$10:$Z$227,Z$2,FALSE)=0,"",VLOOKUP($A13,'Pre-Assessment Estimator'!$A$10:$Z$227,Z$2,FALSE))</f>
        <v/>
      </c>
      <c r="AA13" s="544">
        <v>4</v>
      </c>
      <c r="AB13" s="446" t="str">
        <f>IF(VLOOKUP($A13,'Pre-Assessment Estimator'!$A$10:$AB$227,AB$2,FALSE)=0,"",VLOOKUP($A13,'Pre-Assessment Estimator'!$A$10:$AB$227,AB$2,FALSE))</f>
        <v/>
      </c>
      <c r="AF13" s="13">
        <f>IF(F13="",1,IF(F13=0,2,1))</f>
        <v>1</v>
      </c>
      <c r="AL13" s="14"/>
    </row>
    <row r="14" spans="1:50">
      <c r="A14" s="652">
        <v>5</v>
      </c>
      <c r="B14" s="958" t="s">
        <v>251</v>
      </c>
      <c r="C14" s="958"/>
      <c r="D14" s="980" t="str">
        <f>VLOOKUP($A14,'Pre-Assessment Estimator'!$A$10:$Z$227,D$2,FALSE)</f>
        <v>Man 01</v>
      </c>
      <c r="E14" s="981" t="str">
        <f>VLOOKUP($A14,'Pre-Assessment Estimator'!$A$10:$Z$227,E$2,FALSE)</f>
        <v>Third party stakeholder consultation</v>
      </c>
      <c r="F14" s="443">
        <f>VLOOKUP($A14,'Pre-Assessment Estimator'!$A$10:$Z$227,F$2,FALSE)</f>
        <v>1</v>
      </c>
      <c r="G14" s="449" t="str">
        <f>IF(VLOOKUP($A14,'Pre-Assessment Estimator'!$A$10:$Z$227,G$2,FALSE)=0,"",VLOOKUP($A14,'Pre-Assessment Estimator'!$A$10:$Z$227,G$2,FALSE))</f>
        <v/>
      </c>
      <c r="H14" s="444">
        <f>VLOOKUP($A14,'Pre-Assessment Estimator'!$A$10:$Z$227,H$2,FALSE)</f>
        <v>0</v>
      </c>
      <c r="I14" s="443" t="str">
        <f>VLOOKUP($A14,'Pre-Assessment Estimator'!$A$10:$Z$227,I$2,FALSE)</f>
        <v>N/A</v>
      </c>
      <c r="J14" s="446" t="str">
        <f>IF(VLOOKUP($A14,'Pre-Assessment Estimator'!$A$10:$Z$227,J$2,FALSE)=0,"",VLOOKUP($A14,'Pre-Assessment Estimator'!$A$10:$Z$227,J$2,FALSE))</f>
        <v/>
      </c>
      <c r="K14" s="446" t="str">
        <f>IF(VLOOKUP($A14,'Pre-Assessment Estimator'!$A$10:$Z$227,K$2,FALSE)=0,"",VLOOKUP($A14,'Pre-Assessment Estimator'!$A$10:$Z$227,K$2,FALSE))</f>
        <v/>
      </c>
      <c r="L14" s="447" t="str">
        <f>IF(VLOOKUP($A14,'Pre-Assessment Estimator'!$A$10:$Z$227,L$2,FALSE)=0,"",VLOOKUP($A14,'Pre-Assessment Estimator'!$A$10:$Z$227,L$2,FALSE))</f>
        <v/>
      </c>
      <c r="M14" s="448"/>
      <c r="N14" s="449" t="str">
        <f>IF(VLOOKUP($A14,'Pre-Assessment Estimator'!$A$10:$Z$227,N$2,FALSE)=0,"",VLOOKUP($A14,'Pre-Assessment Estimator'!$A$10:$Z$227,N$2,FALSE))</f>
        <v/>
      </c>
      <c r="O14" s="444">
        <f>VLOOKUP($A14,'Pre-Assessment Estimator'!$A$10:$Z$227,O$2,FALSE)</f>
        <v>0</v>
      </c>
      <c r="P14" s="443" t="str">
        <f>VLOOKUP($A14,'Pre-Assessment Estimator'!$A$10:$Z$227,P$2,FALSE)</f>
        <v>N/A</v>
      </c>
      <c r="Q14" s="446" t="str">
        <f>IF(VLOOKUP($A14,'Pre-Assessment Estimator'!$A$10:$Z$227,Q$2,FALSE)=0,"",VLOOKUP($A14,'Pre-Assessment Estimator'!$A$10:$Z$227,Q$2,FALSE))</f>
        <v/>
      </c>
      <c r="R14" s="446" t="str">
        <f>IF(VLOOKUP($A14,'Pre-Assessment Estimator'!$A$10:$Z$227,R$2,FALSE)=0,"",VLOOKUP($A14,'Pre-Assessment Estimator'!$A$10:$Z$227,R$2,FALSE))</f>
        <v/>
      </c>
      <c r="S14" s="447" t="str">
        <f>IF(VLOOKUP($A14,'Pre-Assessment Estimator'!$A$10:$Z$227,S$2,FALSE)=0,"",VLOOKUP($A14,'Pre-Assessment Estimator'!$A$10:$Z$227,S$2,FALSE))</f>
        <v/>
      </c>
      <c r="T14" s="450"/>
      <c r="U14" s="449" t="str">
        <f>IF(VLOOKUP($A14,'Pre-Assessment Estimator'!$A$10:$Z$227,U$2,FALSE)=0,"",VLOOKUP($A14,'Pre-Assessment Estimator'!$A$10:$Z$227,U$2,FALSE))</f>
        <v/>
      </c>
      <c r="V14" s="444">
        <f>VLOOKUP($A14,'Pre-Assessment Estimator'!$A$10:$Z$227,V$2,FALSE)</f>
        <v>0</v>
      </c>
      <c r="W14" s="443" t="str">
        <f>VLOOKUP($A14,'Pre-Assessment Estimator'!$A$10:$Z$227,W$2,FALSE)</f>
        <v>N/A</v>
      </c>
      <c r="X14" s="446" t="str">
        <f>IF(VLOOKUP($A14,'Pre-Assessment Estimator'!$A$10:$Z$227,X$2,FALSE)=0,"",VLOOKUP($A14,'Pre-Assessment Estimator'!$A$10:$Z$227,X$2,FALSE))</f>
        <v/>
      </c>
      <c r="Y14" s="446" t="str">
        <f>IF(VLOOKUP($A14,'Pre-Assessment Estimator'!$A$10:$Z$227,Y$2,FALSE)=0,"",VLOOKUP($A14,'Pre-Assessment Estimator'!$A$10:$Z$227,Y$2,FALSE))</f>
        <v/>
      </c>
      <c r="Z14" s="313" t="str">
        <f>IF(VLOOKUP($A14,'Pre-Assessment Estimator'!$A$10:$Z$227,Z$2,FALSE)=0,"",VLOOKUP($A14,'Pre-Assessment Estimator'!$A$10:$Z$227,Z$2,FALSE))</f>
        <v/>
      </c>
      <c r="AA14" s="544">
        <v>5</v>
      </c>
      <c r="AB14" s="446" t="str">
        <f>IF(VLOOKUP($A14,'Pre-Assessment Estimator'!$A$10:$AB$227,AB$2,FALSE)=0,"",VLOOKUP($A14,'Pre-Assessment Estimator'!$A$10:$AB$227,AB$2,FALSE))</f>
        <v/>
      </c>
      <c r="AF14" s="13">
        <f>IF(F14="",1,IF(F14=0,2,1))</f>
        <v>1</v>
      </c>
      <c r="AL14" s="14"/>
      <c r="AN14" s="340"/>
    </row>
    <row r="15" spans="1:50">
      <c r="A15" s="652">
        <v>6</v>
      </c>
      <c r="B15" s="958" t="s">
        <v>251</v>
      </c>
      <c r="C15" s="958"/>
      <c r="D15" s="980" t="str">
        <f>VLOOKUP($A15,'Pre-Assessment Estimator'!$A$10:$Z$227,D$2,FALSE)</f>
        <v>Man 01</v>
      </c>
      <c r="E15" s="981" t="str">
        <f>VLOOKUP($A15,'Pre-Assessment Estimator'!$A$10:$Z$227,E$2,FALSE)</f>
        <v>BREEAM-NOR AP (stage 2 and 3)</v>
      </c>
      <c r="F15" s="443">
        <f>VLOOKUP($A15,'Pre-Assessment Estimator'!$A$10:$Z$227,F$2,FALSE)</f>
        <v>1</v>
      </c>
      <c r="G15" s="449" t="str">
        <f>IF(VLOOKUP($A15,'Pre-Assessment Estimator'!$A$10:$Z$227,G$2,FALSE)=0,"",VLOOKUP($A15,'Pre-Assessment Estimator'!$A$10:$Z$227,G$2,FALSE))</f>
        <v/>
      </c>
      <c r="H15" s="444">
        <f>VLOOKUP($A15,'Pre-Assessment Estimator'!$A$10:$Z$227,H$2,FALSE)</f>
        <v>0</v>
      </c>
      <c r="I15" s="443" t="str">
        <f>VLOOKUP($A15,'Pre-Assessment Estimator'!$A$10:$Z$227,I$2,FALSE)</f>
        <v>N/A</v>
      </c>
      <c r="J15" s="446" t="str">
        <f>IF(VLOOKUP($A15,'Pre-Assessment Estimator'!$A$10:$Z$227,J$2,FALSE)=0,"",VLOOKUP($A15,'Pre-Assessment Estimator'!$A$10:$Z$227,J$2,FALSE))</f>
        <v/>
      </c>
      <c r="K15" s="446" t="str">
        <f>IF(VLOOKUP($A15,'Pre-Assessment Estimator'!$A$10:$Z$227,K$2,FALSE)=0,"",VLOOKUP($A15,'Pre-Assessment Estimator'!$A$10:$Z$227,K$2,FALSE))</f>
        <v/>
      </c>
      <c r="L15" s="447" t="str">
        <f>IF(VLOOKUP($A15,'Pre-Assessment Estimator'!$A$10:$Z$227,L$2,FALSE)=0,"",VLOOKUP($A15,'Pre-Assessment Estimator'!$A$10:$Z$227,L$2,FALSE))</f>
        <v/>
      </c>
      <c r="M15" s="448"/>
      <c r="N15" s="449" t="str">
        <f>IF(VLOOKUP($A15,'Pre-Assessment Estimator'!$A$10:$Z$227,N$2,FALSE)=0,"",VLOOKUP($A15,'Pre-Assessment Estimator'!$A$10:$Z$227,N$2,FALSE))</f>
        <v/>
      </c>
      <c r="O15" s="444">
        <f>VLOOKUP($A15,'Pre-Assessment Estimator'!$A$10:$Z$227,O$2,FALSE)</f>
        <v>0</v>
      </c>
      <c r="P15" s="443" t="str">
        <f>VLOOKUP($A15,'Pre-Assessment Estimator'!$A$10:$Z$227,P$2,FALSE)</f>
        <v>N/A</v>
      </c>
      <c r="Q15" s="446" t="str">
        <f>IF(VLOOKUP($A15,'Pre-Assessment Estimator'!$A$10:$Z$227,Q$2,FALSE)=0,"",VLOOKUP($A15,'Pre-Assessment Estimator'!$A$10:$Z$227,Q$2,FALSE))</f>
        <v/>
      </c>
      <c r="R15" s="446" t="str">
        <f>IF(VLOOKUP($A15,'Pre-Assessment Estimator'!$A$10:$Z$227,R$2,FALSE)=0,"",VLOOKUP($A15,'Pre-Assessment Estimator'!$A$10:$Z$227,R$2,FALSE))</f>
        <v/>
      </c>
      <c r="S15" s="447" t="str">
        <f>IF(VLOOKUP($A15,'Pre-Assessment Estimator'!$A$10:$Z$227,S$2,FALSE)=0,"",VLOOKUP($A15,'Pre-Assessment Estimator'!$A$10:$Z$227,S$2,FALSE))</f>
        <v/>
      </c>
      <c r="T15" s="450"/>
      <c r="U15" s="449" t="str">
        <f>IF(VLOOKUP($A15,'Pre-Assessment Estimator'!$A$10:$Z$227,U$2,FALSE)=0,"",VLOOKUP($A15,'Pre-Assessment Estimator'!$A$10:$Z$227,U$2,FALSE))</f>
        <v/>
      </c>
      <c r="V15" s="444">
        <f>VLOOKUP($A15,'Pre-Assessment Estimator'!$A$10:$Z$227,V$2,FALSE)</f>
        <v>0</v>
      </c>
      <c r="W15" s="443" t="str">
        <f>VLOOKUP($A15,'Pre-Assessment Estimator'!$A$10:$Z$227,W$2,FALSE)</f>
        <v>N/A</v>
      </c>
      <c r="X15" s="446" t="str">
        <f>IF(VLOOKUP($A15,'Pre-Assessment Estimator'!$A$10:$Z$227,X$2,FALSE)=0,"",VLOOKUP($A15,'Pre-Assessment Estimator'!$A$10:$Z$227,X$2,FALSE))</f>
        <v/>
      </c>
      <c r="Y15" s="446" t="str">
        <f>IF(VLOOKUP($A15,'Pre-Assessment Estimator'!$A$10:$Z$227,Y$2,FALSE)=0,"",VLOOKUP($A15,'Pre-Assessment Estimator'!$A$10:$Z$227,Y$2,FALSE))</f>
        <v/>
      </c>
      <c r="Z15" s="313" t="str">
        <f>IF(VLOOKUP($A15,'Pre-Assessment Estimator'!$A$10:$Z$227,Z$2,FALSE)=0,"",VLOOKUP($A15,'Pre-Assessment Estimator'!$A$10:$Z$227,Z$2,FALSE))</f>
        <v/>
      </c>
      <c r="AA15" s="544">
        <v>6</v>
      </c>
      <c r="AB15" s="446" t="str">
        <f>IF(VLOOKUP($A15,'Pre-Assessment Estimator'!$A$10:$AB$227,AB$2,FALSE)=0,"",VLOOKUP($A15,'Pre-Assessment Estimator'!$A$10:$AB$227,AB$2,FALSE))</f>
        <v/>
      </c>
      <c r="AF15" s="13">
        <f>IF(F15="",1,IF(F15=0,2,1))</f>
        <v>1</v>
      </c>
      <c r="AG15" s="342"/>
      <c r="AL15" s="14"/>
    </row>
    <row r="16" spans="1:50">
      <c r="A16" s="652">
        <v>7</v>
      </c>
      <c r="B16" s="958" t="s">
        <v>251</v>
      </c>
      <c r="C16" s="958"/>
      <c r="D16" s="980" t="str">
        <f>VLOOKUP($A16,'Pre-Assessment Estimator'!$A$10:$Z$227,D$2,FALSE)</f>
        <v>Man 01</v>
      </c>
      <c r="E16" s="981" t="str">
        <f>VLOOKUP($A16,'Pre-Assessment Estimator'!$A$10:$Z$227,E$2,FALSE)</f>
        <v>BREEAM-NOR AP (stage 4)</v>
      </c>
      <c r="F16" s="443">
        <f>VLOOKUP($A16,'Pre-Assessment Estimator'!$A$10:$Z$227,F$2,FALSE)</f>
        <v>1</v>
      </c>
      <c r="G16" s="449" t="str">
        <f>IF(VLOOKUP($A16,'Pre-Assessment Estimator'!$A$10:$Z$227,G$2,FALSE)=0,"",VLOOKUP($A16,'Pre-Assessment Estimator'!$A$10:$Z$227,G$2,FALSE))</f>
        <v/>
      </c>
      <c r="H16" s="444">
        <f>VLOOKUP($A16,'Pre-Assessment Estimator'!$A$10:$Z$227,H$2,FALSE)</f>
        <v>0</v>
      </c>
      <c r="I16" s="443" t="str">
        <f>VLOOKUP($A16,'Pre-Assessment Estimator'!$A$10:$Z$227,I$2,FALSE)</f>
        <v>N/A</v>
      </c>
      <c r="J16" s="446" t="str">
        <f>IF(VLOOKUP($A16,'Pre-Assessment Estimator'!$A$10:$Z$227,J$2,FALSE)=0,"",VLOOKUP($A16,'Pre-Assessment Estimator'!$A$10:$Z$227,J$2,FALSE))</f>
        <v/>
      </c>
      <c r="K16" s="446" t="str">
        <f>IF(VLOOKUP($A16,'Pre-Assessment Estimator'!$A$10:$Z$227,K$2,FALSE)=0,"",VLOOKUP($A16,'Pre-Assessment Estimator'!$A$10:$Z$227,K$2,FALSE))</f>
        <v/>
      </c>
      <c r="L16" s="447" t="str">
        <f>IF(VLOOKUP($A16,'Pre-Assessment Estimator'!$A$10:$Z$227,L$2,FALSE)=0,"",VLOOKUP($A16,'Pre-Assessment Estimator'!$A$10:$Z$227,L$2,FALSE))</f>
        <v/>
      </c>
      <c r="M16" s="448"/>
      <c r="N16" s="449" t="str">
        <f>IF(VLOOKUP($A16,'Pre-Assessment Estimator'!$A$10:$Z$227,N$2,FALSE)=0,"",VLOOKUP($A16,'Pre-Assessment Estimator'!$A$10:$Z$227,N$2,FALSE))</f>
        <v/>
      </c>
      <c r="O16" s="444">
        <f>VLOOKUP($A16,'Pre-Assessment Estimator'!$A$10:$Z$227,O$2,FALSE)</f>
        <v>0</v>
      </c>
      <c r="P16" s="443" t="str">
        <f>VLOOKUP($A16,'Pre-Assessment Estimator'!$A$10:$Z$227,P$2,FALSE)</f>
        <v>N/A</v>
      </c>
      <c r="Q16" s="446" t="str">
        <f>IF(VLOOKUP($A16,'Pre-Assessment Estimator'!$A$10:$Z$227,Q$2,FALSE)=0,"",VLOOKUP($A16,'Pre-Assessment Estimator'!$A$10:$Z$227,Q$2,FALSE))</f>
        <v/>
      </c>
      <c r="R16" s="446" t="str">
        <f>IF(VLOOKUP($A16,'Pre-Assessment Estimator'!$A$10:$Z$227,R$2,FALSE)=0,"",VLOOKUP($A16,'Pre-Assessment Estimator'!$A$10:$Z$227,R$2,FALSE))</f>
        <v/>
      </c>
      <c r="S16" s="447" t="str">
        <f>IF(VLOOKUP($A16,'Pre-Assessment Estimator'!$A$10:$Z$227,S$2,FALSE)=0,"",VLOOKUP($A16,'Pre-Assessment Estimator'!$A$10:$Z$227,S$2,FALSE))</f>
        <v/>
      </c>
      <c r="T16" s="450"/>
      <c r="U16" s="449" t="str">
        <f>IF(VLOOKUP($A16,'Pre-Assessment Estimator'!$A$10:$Z$227,U$2,FALSE)=0,"",VLOOKUP($A16,'Pre-Assessment Estimator'!$A$10:$Z$227,U$2,FALSE))</f>
        <v/>
      </c>
      <c r="V16" s="444">
        <f>VLOOKUP($A16,'Pre-Assessment Estimator'!$A$10:$Z$227,V$2,FALSE)</f>
        <v>0</v>
      </c>
      <c r="W16" s="443" t="str">
        <f>VLOOKUP($A16,'Pre-Assessment Estimator'!$A$10:$Z$227,W$2,FALSE)</f>
        <v>N/A</v>
      </c>
      <c r="X16" s="446" t="str">
        <f>IF(VLOOKUP($A16,'Pre-Assessment Estimator'!$A$10:$Z$227,X$2,FALSE)=0,"",VLOOKUP($A16,'Pre-Assessment Estimator'!$A$10:$Z$227,X$2,FALSE))</f>
        <v/>
      </c>
      <c r="Y16" s="446" t="str">
        <f>IF(VLOOKUP($A16,'Pre-Assessment Estimator'!$A$10:$Z$227,Y$2,FALSE)=0,"",VLOOKUP($A16,'Pre-Assessment Estimator'!$A$10:$Z$227,Y$2,FALSE))</f>
        <v/>
      </c>
      <c r="Z16" s="313" t="str">
        <f>IF(VLOOKUP($A16,'Pre-Assessment Estimator'!$A$10:$Z$227,Z$2,FALSE)=0,"",VLOOKUP($A16,'Pre-Assessment Estimator'!$A$10:$Z$227,Z$2,FALSE))</f>
        <v/>
      </c>
      <c r="AA16" s="544">
        <v>7</v>
      </c>
      <c r="AB16" s="446"/>
      <c r="AF16" s="13">
        <f t="shared" ref="AF16:AF82" si="0">IF(F16="",1,IF(F16=0,2,1))</f>
        <v>1</v>
      </c>
      <c r="AG16" s="342"/>
      <c r="AL16" s="14"/>
    </row>
    <row r="17" spans="1:38">
      <c r="A17" s="652">
        <v>8</v>
      </c>
      <c r="B17" s="958" t="s">
        <v>251</v>
      </c>
      <c r="C17" s="958"/>
      <c r="D17" s="979" t="str">
        <f>VLOOKUP($A17,'Pre-Assessment Estimator'!$A$10:$Z$227,D$2,FALSE)</f>
        <v>Man 02</v>
      </c>
      <c r="E17" s="979" t="str">
        <f>VLOOKUP($A17,'Pre-Assessment Estimator'!$A$10:$Z$227,E$2,FALSE)</f>
        <v>Man 02 Life cycle cost and service life planning</v>
      </c>
      <c r="F17" s="443">
        <f>VLOOKUP($A17,'Pre-Assessment Estimator'!$A$10:$Z$227,F$2,FALSE)</f>
        <v>3</v>
      </c>
      <c r="G17" s="449" t="str">
        <f>IF(VLOOKUP($A17,'Pre-Assessment Estimator'!$A$10:$Z$227,G$2,FALSE)=0,"",VLOOKUP($A17,'Pre-Assessment Estimator'!$A$10:$Z$227,G$2,FALSE))</f>
        <v/>
      </c>
      <c r="H17" s="444" t="str">
        <f>VLOOKUP($A17,'Pre-Assessment Estimator'!$A$10:$Z$227,H$2,FALSE)</f>
        <v>0 c. 0 %</v>
      </c>
      <c r="I17" s="443" t="str">
        <f>VLOOKUP($A17,'Pre-Assessment Estimator'!$A$10:$Z$227,I$2,FALSE)</f>
        <v>N/A</v>
      </c>
      <c r="J17" s="446" t="str">
        <f>IF(VLOOKUP($A17,'Pre-Assessment Estimator'!$A$10:$Z$227,J$2,FALSE)=0,"",VLOOKUP($A17,'Pre-Assessment Estimator'!$A$10:$Z$227,J$2,FALSE))</f>
        <v/>
      </c>
      <c r="K17" s="446" t="str">
        <f>IF(VLOOKUP($A17,'Pre-Assessment Estimator'!$A$10:$Z$227,K$2,FALSE)=0,"",VLOOKUP($A17,'Pre-Assessment Estimator'!$A$10:$Z$227,K$2,FALSE))</f>
        <v/>
      </c>
      <c r="L17" s="447" t="str">
        <f>IF(VLOOKUP($A17,'Pre-Assessment Estimator'!$A$10:$Z$227,L$2,FALSE)=0,"",VLOOKUP($A17,'Pre-Assessment Estimator'!$A$10:$Z$227,L$2,FALSE))</f>
        <v/>
      </c>
      <c r="M17" s="448"/>
      <c r="N17" s="449" t="str">
        <f>IF(VLOOKUP($A17,'Pre-Assessment Estimator'!$A$10:$Z$227,N$2,FALSE)=0,"",VLOOKUP($A17,'Pre-Assessment Estimator'!$A$10:$Z$227,N$2,FALSE))</f>
        <v/>
      </c>
      <c r="O17" s="444" t="str">
        <f>VLOOKUP($A17,'Pre-Assessment Estimator'!$A$10:$Z$227,O$2,FALSE)</f>
        <v>0 c. 0 %</v>
      </c>
      <c r="P17" s="443" t="str">
        <f>VLOOKUP($A17,'Pre-Assessment Estimator'!$A$10:$Z$227,P$2,FALSE)</f>
        <v>N/A</v>
      </c>
      <c r="Q17" s="446" t="str">
        <f>IF(VLOOKUP($A17,'Pre-Assessment Estimator'!$A$10:$Z$227,Q$2,FALSE)=0,"",VLOOKUP($A17,'Pre-Assessment Estimator'!$A$10:$Z$227,Q$2,FALSE))</f>
        <v/>
      </c>
      <c r="R17" s="446" t="str">
        <f>IF(VLOOKUP($A17,'Pre-Assessment Estimator'!$A$10:$Z$227,R$2,FALSE)=0,"",VLOOKUP($A17,'Pre-Assessment Estimator'!$A$10:$Z$227,R$2,FALSE))</f>
        <v/>
      </c>
      <c r="S17" s="447" t="str">
        <f>IF(VLOOKUP($A17,'Pre-Assessment Estimator'!$A$10:$Z$227,S$2,FALSE)=0,"",VLOOKUP($A17,'Pre-Assessment Estimator'!$A$10:$Z$227,S$2,FALSE))</f>
        <v/>
      </c>
      <c r="T17" s="450"/>
      <c r="U17" s="449" t="str">
        <f>IF(VLOOKUP($A17,'Pre-Assessment Estimator'!$A$10:$Z$227,U$2,FALSE)=0,"",VLOOKUP($A17,'Pre-Assessment Estimator'!$A$10:$Z$227,U$2,FALSE))</f>
        <v/>
      </c>
      <c r="V17" s="444" t="str">
        <f>VLOOKUP($A17,'Pre-Assessment Estimator'!$A$10:$Z$227,V$2,FALSE)</f>
        <v>0 c. 0 %</v>
      </c>
      <c r="W17" s="443" t="str">
        <f>VLOOKUP($A17,'Pre-Assessment Estimator'!$A$10:$Z$227,W$2,FALSE)</f>
        <v>N/A</v>
      </c>
      <c r="X17" s="446" t="str">
        <f>IF(VLOOKUP($A17,'Pre-Assessment Estimator'!$A$10:$Z$227,X$2,FALSE)=0,"",VLOOKUP($A17,'Pre-Assessment Estimator'!$A$10:$Z$227,X$2,FALSE))</f>
        <v/>
      </c>
      <c r="Y17" s="446" t="str">
        <f>IF(VLOOKUP($A17,'Pre-Assessment Estimator'!$A$10:$Z$227,Y$2,FALSE)=0,"",VLOOKUP($A17,'Pre-Assessment Estimator'!$A$10:$Z$227,Y$2,FALSE))</f>
        <v/>
      </c>
      <c r="Z17" s="313" t="str">
        <f>IF(VLOOKUP($A17,'Pre-Assessment Estimator'!$A$10:$Z$227,Z$2,FALSE)=0,"",VLOOKUP($A17,'Pre-Assessment Estimator'!$A$10:$Z$227,Z$2,FALSE))</f>
        <v/>
      </c>
      <c r="AA17" s="544">
        <v>8</v>
      </c>
      <c r="AB17" s="446"/>
      <c r="AF17" s="13">
        <f t="shared" si="0"/>
        <v>1</v>
      </c>
      <c r="AG17" s="342"/>
      <c r="AL17" s="14"/>
    </row>
    <row r="18" spans="1:38">
      <c r="A18" s="652">
        <v>9</v>
      </c>
      <c r="B18" s="958" t="s">
        <v>251</v>
      </c>
      <c r="C18" s="958"/>
      <c r="D18" s="980" t="str">
        <f>VLOOKUP($A18,'Pre-Assessment Estimator'!$A$10:$Z$227,D$2,FALSE)</f>
        <v>Man 02</v>
      </c>
      <c r="E18" s="981" t="str">
        <f>VLOOKUP($A18,'Pre-Assessment Estimator'!$A$10:$Z$227,E$2,FALSE)</f>
        <v>Elemental life cycle cost (LCC) and capital cost reporting</v>
      </c>
      <c r="F18" s="443">
        <f>VLOOKUP($A18,'Pre-Assessment Estimator'!$A$10:$Z$227,F$2,FALSE)</f>
        <v>2</v>
      </c>
      <c r="G18" s="449" t="str">
        <f>IF(VLOOKUP($A18,'Pre-Assessment Estimator'!$A$10:$Z$227,G$2,FALSE)=0,"",VLOOKUP($A18,'Pre-Assessment Estimator'!$A$10:$Z$227,G$2,FALSE))</f>
        <v/>
      </c>
      <c r="H18" s="444">
        <f>VLOOKUP($A18,'Pre-Assessment Estimator'!$A$10:$Z$227,H$2,FALSE)</f>
        <v>0</v>
      </c>
      <c r="I18" s="443" t="str">
        <f>VLOOKUP($A18,'Pre-Assessment Estimator'!$A$10:$Z$227,I$2,FALSE)</f>
        <v>N/A</v>
      </c>
      <c r="J18" s="446" t="str">
        <f>IF(VLOOKUP($A18,'Pre-Assessment Estimator'!$A$10:$Z$227,J$2,FALSE)=0,"",VLOOKUP($A18,'Pre-Assessment Estimator'!$A$10:$Z$227,J$2,FALSE))</f>
        <v/>
      </c>
      <c r="K18" s="446" t="str">
        <f>IF(VLOOKUP($A18,'Pre-Assessment Estimator'!$A$10:$Z$227,K$2,FALSE)=0,"",VLOOKUP($A18,'Pre-Assessment Estimator'!$A$10:$Z$227,K$2,FALSE))</f>
        <v/>
      </c>
      <c r="L18" s="447" t="str">
        <f>IF(VLOOKUP($A18,'Pre-Assessment Estimator'!$A$10:$Z$227,L$2,FALSE)=0,"",VLOOKUP($A18,'Pre-Assessment Estimator'!$A$10:$Z$227,L$2,FALSE))</f>
        <v/>
      </c>
      <c r="M18" s="448"/>
      <c r="N18" s="449" t="str">
        <f>IF(VLOOKUP($A18,'Pre-Assessment Estimator'!$A$10:$Z$227,N$2,FALSE)=0,"",VLOOKUP($A18,'Pre-Assessment Estimator'!$A$10:$Z$227,N$2,FALSE))</f>
        <v/>
      </c>
      <c r="O18" s="444">
        <f>VLOOKUP($A18,'Pre-Assessment Estimator'!$A$10:$Z$227,O$2,FALSE)</f>
        <v>0</v>
      </c>
      <c r="P18" s="443" t="str">
        <f>VLOOKUP($A18,'Pre-Assessment Estimator'!$A$10:$Z$227,P$2,FALSE)</f>
        <v>N/A</v>
      </c>
      <c r="Q18" s="446" t="str">
        <f>IF(VLOOKUP($A18,'Pre-Assessment Estimator'!$A$10:$Z$227,Q$2,FALSE)=0,"",VLOOKUP($A18,'Pre-Assessment Estimator'!$A$10:$Z$227,Q$2,FALSE))</f>
        <v/>
      </c>
      <c r="R18" s="446" t="str">
        <f>IF(VLOOKUP($A18,'Pre-Assessment Estimator'!$A$10:$Z$227,R$2,FALSE)=0,"",VLOOKUP($A18,'Pre-Assessment Estimator'!$A$10:$Z$227,R$2,FALSE))</f>
        <v/>
      </c>
      <c r="S18" s="447" t="str">
        <f>IF(VLOOKUP($A18,'Pre-Assessment Estimator'!$A$10:$Z$227,S$2,FALSE)=0,"",VLOOKUP($A18,'Pre-Assessment Estimator'!$A$10:$Z$227,S$2,FALSE))</f>
        <v/>
      </c>
      <c r="T18" s="450"/>
      <c r="U18" s="449" t="str">
        <f>IF(VLOOKUP($A18,'Pre-Assessment Estimator'!$A$10:$Z$227,U$2,FALSE)=0,"",VLOOKUP($A18,'Pre-Assessment Estimator'!$A$10:$Z$227,U$2,FALSE))</f>
        <v/>
      </c>
      <c r="V18" s="444">
        <f>VLOOKUP($A18,'Pre-Assessment Estimator'!$A$10:$Z$227,V$2,FALSE)</f>
        <v>0</v>
      </c>
      <c r="W18" s="443" t="str">
        <f>VLOOKUP($A18,'Pre-Assessment Estimator'!$A$10:$Z$227,W$2,FALSE)</f>
        <v>N/A</v>
      </c>
      <c r="X18" s="446" t="str">
        <f>IF(VLOOKUP($A18,'Pre-Assessment Estimator'!$A$10:$Z$227,X$2,FALSE)=0,"",VLOOKUP($A18,'Pre-Assessment Estimator'!$A$10:$Z$227,X$2,FALSE))</f>
        <v/>
      </c>
      <c r="Y18" s="446" t="str">
        <f>IF(VLOOKUP($A18,'Pre-Assessment Estimator'!$A$10:$Z$227,Y$2,FALSE)=0,"",VLOOKUP($A18,'Pre-Assessment Estimator'!$A$10:$Z$227,Y$2,FALSE))</f>
        <v/>
      </c>
      <c r="Z18" s="313" t="str">
        <f>IF(VLOOKUP($A18,'Pre-Assessment Estimator'!$A$10:$Z$227,Z$2,FALSE)=0,"",VLOOKUP($A18,'Pre-Assessment Estimator'!$A$10:$Z$227,Z$2,FALSE))</f>
        <v/>
      </c>
      <c r="AA18" s="544">
        <v>9</v>
      </c>
      <c r="AB18" s="446"/>
      <c r="AF18" s="13">
        <f t="shared" si="0"/>
        <v>1</v>
      </c>
      <c r="AG18" s="342"/>
      <c r="AL18" s="14"/>
    </row>
    <row r="19" spans="1:38">
      <c r="A19" s="652">
        <v>10</v>
      </c>
      <c r="B19" s="958" t="s">
        <v>251</v>
      </c>
      <c r="C19" s="958"/>
      <c r="D19" s="980" t="str">
        <f>VLOOKUP($A19,'Pre-Assessment Estimator'!$A$10:$Z$227,D$2,FALSE)</f>
        <v>Man 02</v>
      </c>
      <c r="E19" s="981" t="str">
        <f>VLOOKUP($A19,'Pre-Assessment Estimator'!$A$10:$Z$227,E$2,FALSE)</f>
        <v>Component level life option appraisal</v>
      </c>
      <c r="F19" s="443">
        <f>VLOOKUP($A19,'Pre-Assessment Estimator'!$A$10:$Z$227,F$2,FALSE)</f>
        <v>1</v>
      </c>
      <c r="G19" s="449" t="str">
        <f>IF(VLOOKUP($A19,'Pre-Assessment Estimator'!$A$10:$Z$227,G$2,FALSE)=0,"",VLOOKUP($A19,'Pre-Assessment Estimator'!$A$10:$Z$227,G$2,FALSE))</f>
        <v/>
      </c>
      <c r="H19" s="444">
        <f>VLOOKUP($A19,'Pre-Assessment Estimator'!$A$10:$Z$227,H$2,FALSE)</f>
        <v>0</v>
      </c>
      <c r="I19" s="443" t="str">
        <f>VLOOKUP($A19,'Pre-Assessment Estimator'!$A$10:$Z$227,I$2,FALSE)</f>
        <v>N/A</v>
      </c>
      <c r="J19" s="446" t="str">
        <f>IF(VLOOKUP($A19,'Pre-Assessment Estimator'!$A$10:$Z$227,J$2,FALSE)=0,"",VLOOKUP($A19,'Pre-Assessment Estimator'!$A$10:$Z$227,J$2,FALSE))</f>
        <v/>
      </c>
      <c r="K19" s="446" t="str">
        <f>IF(VLOOKUP($A19,'Pre-Assessment Estimator'!$A$10:$Z$227,K$2,FALSE)=0,"",VLOOKUP($A19,'Pre-Assessment Estimator'!$A$10:$Z$227,K$2,FALSE))</f>
        <v/>
      </c>
      <c r="L19" s="447" t="str">
        <f>IF(VLOOKUP($A19,'Pre-Assessment Estimator'!$A$10:$Z$227,L$2,FALSE)=0,"",VLOOKUP($A19,'Pre-Assessment Estimator'!$A$10:$Z$227,L$2,FALSE))</f>
        <v/>
      </c>
      <c r="M19" s="448"/>
      <c r="N19" s="449" t="str">
        <f>IF(VLOOKUP($A19,'Pre-Assessment Estimator'!$A$10:$Z$227,N$2,FALSE)=0,"",VLOOKUP($A19,'Pre-Assessment Estimator'!$A$10:$Z$227,N$2,FALSE))</f>
        <v/>
      </c>
      <c r="O19" s="444">
        <f>VLOOKUP($A19,'Pre-Assessment Estimator'!$A$10:$Z$227,O$2,FALSE)</f>
        <v>0</v>
      </c>
      <c r="P19" s="443" t="str">
        <f>VLOOKUP($A19,'Pre-Assessment Estimator'!$A$10:$Z$227,P$2,FALSE)</f>
        <v>N/A</v>
      </c>
      <c r="Q19" s="446" t="str">
        <f>IF(VLOOKUP($A19,'Pre-Assessment Estimator'!$A$10:$Z$227,Q$2,FALSE)=0,"",VLOOKUP($A19,'Pre-Assessment Estimator'!$A$10:$Z$227,Q$2,FALSE))</f>
        <v/>
      </c>
      <c r="R19" s="446" t="str">
        <f>IF(VLOOKUP($A19,'Pre-Assessment Estimator'!$A$10:$Z$227,R$2,FALSE)=0,"",VLOOKUP($A19,'Pre-Assessment Estimator'!$A$10:$Z$227,R$2,FALSE))</f>
        <v/>
      </c>
      <c r="S19" s="447" t="str">
        <f>IF(VLOOKUP($A19,'Pre-Assessment Estimator'!$A$10:$Z$227,S$2,FALSE)=0,"",VLOOKUP($A19,'Pre-Assessment Estimator'!$A$10:$Z$227,S$2,FALSE))</f>
        <v/>
      </c>
      <c r="T19" s="450"/>
      <c r="U19" s="449" t="str">
        <f>IF(VLOOKUP($A19,'Pre-Assessment Estimator'!$A$10:$Z$227,U$2,FALSE)=0,"",VLOOKUP($A19,'Pre-Assessment Estimator'!$A$10:$Z$227,U$2,FALSE))</f>
        <v/>
      </c>
      <c r="V19" s="444">
        <f>VLOOKUP($A19,'Pre-Assessment Estimator'!$A$10:$Z$227,V$2,FALSE)</f>
        <v>0</v>
      </c>
      <c r="W19" s="443" t="str">
        <f>VLOOKUP($A19,'Pre-Assessment Estimator'!$A$10:$Z$227,W$2,FALSE)</f>
        <v>N/A</v>
      </c>
      <c r="X19" s="446" t="str">
        <f>IF(VLOOKUP($A19,'Pre-Assessment Estimator'!$A$10:$Z$227,X$2,FALSE)=0,"",VLOOKUP($A19,'Pre-Assessment Estimator'!$A$10:$Z$227,X$2,FALSE))</f>
        <v/>
      </c>
      <c r="Y19" s="446" t="str">
        <f>IF(VLOOKUP($A19,'Pre-Assessment Estimator'!$A$10:$Z$227,Y$2,FALSE)=0,"",VLOOKUP($A19,'Pre-Assessment Estimator'!$A$10:$Z$227,Y$2,FALSE))</f>
        <v/>
      </c>
      <c r="Z19" s="313" t="str">
        <f>IF(VLOOKUP($A19,'Pre-Assessment Estimator'!$A$10:$Z$227,Z$2,FALSE)=0,"",VLOOKUP($A19,'Pre-Assessment Estimator'!$A$10:$Z$227,Z$2,FALSE))</f>
        <v/>
      </c>
      <c r="AA19" s="544">
        <v>10</v>
      </c>
      <c r="AB19" s="446"/>
      <c r="AF19" s="13">
        <f t="shared" si="0"/>
        <v>1</v>
      </c>
      <c r="AG19" s="342"/>
      <c r="AL19" s="14"/>
    </row>
    <row r="20" spans="1:38">
      <c r="A20" s="652">
        <v>11</v>
      </c>
      <c r="B20" s="958" t="s">
        <v>251</v>
      </c>
      <c r="C20" s="958"/>
      <c r="D20" s="979" t="str">
        <f>VLOOKUP($A20,'Pre-Assessment Estimator'!$A$10:$Z$227,D$2,FALSE)</f>
        <v>Man 03</v>
      </c>
      <c r="E20" s="979" t="str">
        <f>VLOOKUP($A20,'Pre-Assessment Estimator'!$A$10:$Z$227,E$2,FALSE)</f>
        <v>Man 03 Responsible construction practices</v>
      </c>
      <c r="F20" s="443">
        <f>VLOOKUP($A20,'Pre-Assessment Estimator'!$A$10:$Z$227,F$2,FALSE)</f>
        <v>7</v>
      </c>
      <c r="G20" s="449" t="str">
        <f>IF(VLOOKUP($A20,'Pre-Assessment Estimator'!$A$10:$Z$227,G$2,FALSE)=0,"",VLOOKUP($A20,'Pre-Assessment Estimator'!$A$10:$Z$227,G$2,FALSE))</f>
        <v/>
      </c>
      <c r="H20" s="444" t="str">
        <f>VLOOKUP($A20,'Pre-Assessment Estimator'!$A$10:$Z$227,H$2,FALSE)</f>
        <v>0 c. 0 %</v>
      </c>
      <c r="I20" s="443" t="str">
        <f>VLOOKUP($A20,'Pre-Assessment Estimator'!$A$10:$Z$227,I$2,FALSE)</f>
        <v>N/A</v>
      </c>
      <c r="J20" s="446" t="str">
        <f>IF(VLOOKUP($A20,'Pre-Assessment Estimator'!$A$10:$Z$227,J$2,FALSE)=0,"",VLOOKUP($A20,'Pre-Assessment Estimator'!$A$10:$Z$227,J$2,FALSE))</f>
        <v/>
      </c>
      <c r="K20" s="446" t="str">
        <f>IF(VLOOKUP($A20,'Pre-Assessment Estimator'!$A$10:$Z$227,K$2,FALSE)=0,"",VLOOKUP($A20,'Pre-Assessment Estimator'!$A$10:$Z$227,K$2,FALSE))</f>
        <v/>
      </c>
      <c r="L20" s="447" t="str">
        <f>IF(VLOOKUP($A20,'Pre-Assessment Estimator'!$A$10:$Z$227,L$2,FALSE)=0,"",VLOOKUP($A20,'Pre-Assessment Estimator'!$A$10:$Z$227,L$2,FALSE))</f>
        <v/>
      </c>
      <c r="M20" s="448"/>
      <c r="N20" s="449" t="str">
        <f>IF(VLOOKUP($A20,'Pre-Assessment Estimator'!$A$10:$Z$227,N$2,FALSE)=0,"",VLOOKUP($A20,'Pre-Assessment Estimator'!$A$10:$Z$227,N$2,FALSE))</f>
        <v/>
      </c>
      <c r="O20" s="444" t="str">
        <f>VLOOKUP($A20,'Pre-Assessment Estimator'!$A$10:$Z$227,O$2,FALSE)</f>
        <v>0 c. 0 %</v>
      </c>
      <c r="P20" s="443" t="str">
        <f>VLOOKUP($A20,'Pre-Assessment Estimator'!$A$10:$Z$227,P$2,FALSE)</f>
        <v>N/A</v>
      </c>
      <c r="Q20" s="446" t="str">
        <f>IF(VLOOKUP($A20,'Pre-Assessment Estimator'!$A$10:$Z$227,Q$2,FALSE)=0,"",VLOOKUP($A20,'Pre-Assessment Estimator'!$A$10:$Z$227,Q$2,FALSE))</f>
        <v/>
      </c>
      <c r="R20" s="446" t="str">
        <f>IF(VLOOKUP($A20,'Pre-Assessment Estimator'!$A$10:$Z$227,R$2,FALSE)=0,"",VLOOKUP($A20,'Pre-Assessment Estimator'!$A$10:$Z$227,R$2,FALSE))</f>
        <v/>
      </c>
      <c r="S20" s="447" t="str">
        <f>IF(VLOOKUP($A20,'Pre-Assessment Estimator'!$A$10:$Z$227,S$2,FALSE)=0,"",VLOOKUP($A20,'Pre-Assessment Estimator'!$A$10:$Z$227,S$2,FALSE))</f>
        <v/>
      </c>
      <c r="T20" s="450"/>
      <c r="U20" s="449" t="str">
        <f>IF(VLOOKUP($A20,'Pre-Assessment Estimator'!$A$10:$Z$227,U$2,FALSE)=0,"",VLOOKUP($A20,'Pre-Assessment Estimator'!$A$10:$Z$227,U$2,FALSE))</f>
        <v/>
      </c>
      <c r="V20" s="444" t="str">
        <f>VLOOKUP($A20,'Pre-Assessment Estimator'!$A$10:$Z$227,V$2,FALSE)</f>
        <v>0 c. 0 %</v>
      </c>
      <c r="W20" s="443" t="str">
        <f>VLOOKUP($A20,'Pre-Assessment Estimator'!$A$10:$Z$227,W$2,FALSE)</f>
        <v>N/A</v>
      </c>
      <c r="X20" s="446" t="str">
        <f>IF(VLOOKUP($A20,'Pre-Assessment Estimator'!$A$10:$Z$227,X$2,FALSE)=0,"",VLOOKUP($A20,'Pre-Assessment Estimator'!$A$10:$Z$227,X$2,FALSE))</f>
        <v/>
      </c>
      <c r="Y20" s="446" t="str">
        <f>IF(VLOOKUP($A20,'Pre-Assessment Estimator'!$A$10:$Z$227,Y$2,FALSE)=0,"",VLOOKUP($A20,'Pre-Assessment Estimator'!$A$10:$Z$227,Y$2,FALSE))</f>
        <v/>
      </c>
      <c r="Z20" s="313" t="str">
        <f>IF(VLOOKUP($A20,'Pre-Assessment Estimator'!$A$10:$Z$227,Z$2,FALSE)=0,"",VLOOKUP($A20,'Pre-Assessment Estimator'!$A$10:$Z$227,Z$2,FALSE))</f>
        <v/>
      </c>
      <c r="AA20" s="544">
        <v>11</v>
      </c>
      <c r="AB20" s="446"/>
      <c r="AF20" s="13">
        <f t="shared" si="0"/>
        <v>1</v>
      </c>
      <c r="AG20" s="342"/>
      <c r="AL20" s="14"/>
    </row>
    <row r="21" spans="1:38">
      <c r="A21" s="652">
        <v>12</v>
      </c>
      <c r="B21" s="958" t="s">
        <v>251</v>
      </c>
      <c r="C21" s="958"/>
      <c r="D21" s="980" t="str">
        <f>VLOOKUP($A21,'Pre-Assessment Estimator'!$A$10:$Z$227,D$2,FALSE)</f>
        <v>Man 03</v>
      </c>
      <c r="E21" s="981" t="str">
        <f>VLOOKUP($A21,'Pre-Assessment Estimator'!$A$10:$Z$227,E$2,FALSE)</f>
        <v>Environmental managment</v>
      </c>
      <c r="F21" s="443">
        <f>VLOOKUP($A21,'Pre-Assessment Estimator'!$A$10:$Z$227,F$2,FALSE)</f>
        <v>1</v>
      </c>
      <c r="G21" s="449" t="str">
        <f>IF(VLOOKUP($A21,'Pre-Assessment Estimator'!$A$10:$Z$227,G$2,FALSE)=0,"",VLOOKUP($A21,'Pre-Assessment Estimator'!$A$10:$Z$227,G$2,FALSE))</f>
        <v/>
      </c>
      <c r="H21" s="444">
        <f>VLOOKUP($A21,'Pre-Assessment Estimator'!$A$10:$Z$227,H$2,FALSE)</f>
        <v>0</v>
      </c>
      <c r="I21" s="443" t="str">
        <f>VLOOKUP($A21,'Pre-Assessment Estimator'!$A$10:$Z$227,I$2,FALSE)</f>
        <v>N/A</v>
      </c>
      <c r="J21" s="446" t="str">
        <f>IF(VLOOKUP($A21,'Pre-Assessment Estimator'!$A$10:$Z$227,J$2,FALSE)=0,"",VLOOKUP($A21,'Pre-Assessment Estimator'!$A$10:$Z$227,J$2,FALSE))</f>
        <v/>
      </c>
      <c r="K21" s="446" t="str">
        <f>IF(VLOOKUP($A21,'Pre-Assessment Estimator'!$A$10:$Z$227,K$2,FALSE)=0,"",VLOOKUP($A21,'Pre-Assessment Estimator'!$A$10:$Z$227,K$2,FALSE))</f>
        <v/>
      </c>
      <c r="L21" s="447" t="str">
        <f>IF(VLOOKUP($A21,'Pre-Assessment Estimator'!$A$10:$Z$227,L$2,FALSE)=0,"",VLOOKUP($A21,'Pre-Assessment Estimator'!$A$10:$Z$227,L$2,FALSE))</f>
        <v/>
      </c>
      <c r="M21" s="448"/>
      <c r="N21" s="449" t="str">
        <f>IF(VLOOKUP($A21,'Pre-Assessment Estimator'!$A$10:$Z$227,N$2,FALSE)=0,"",VLOOKUP($A21,'Pre-Assessment Estimator'!$A$10:$Z$227,N$2,FALSE))</f>
        <v/>
      </c>
      <c r="O21" s="444">
        <f>VLOOKUP($A21,'Pre-Assessment Estimator'!$A$10:$Z$227,O$2,FALSE)</f>
        <v>0</v>
      </c>
      <c r="P21" s="443" t="str">
        <f>VLOOKUP($A21,'Pre-Assessment Estimator'!$A$10:$Z$227,P$2,FALSE)</f>
        <v>N/A</v>
      </c>
      <c r="Q21" s="446" t="str">
        <f>IF(VLOOKUP($A21,'Pre-Assessment Estimator'!$A$10:$Z$227,Q$2,FALSE)=0,"",VLOOKUP($A21,'Pre-Assessment Estimator'!$A$10:$Z$227,Q$2,FALSE))</f>
        <v/>
      </c>
      <c r="R21" s="446" t="str">
        <f>IF(VLOOKUP($A21,'Pre-Assessment Estimator'!$A$10:$Z$227,R$2,FALSE)=0,"",VLOOKUP($A21,'Pre-Assessment Estimator'!$A$10:$Z$227,R$2,FALSE))</f>
        <v/>
      </c>
      <c r="S21" s="447" t="str">
        <f>IF(VLOOKUP($A21,'Pre-Assessment Estimator'!$A$10:$Z$227,S$2,FALSE)=0,"",VLOOKUP($A21,'Pre-Assessment Estimator'!$A$10:$Z$227,S$2,FALSE))</f>
        <v/>
      </c>
      <c r="T21" s="450"/>
      <c r="U21" s="449" t="str">
        <f>IF(VLOOKUP($A21,'Pre-Assessment Estimator'!$A$10:$Z$227,U$2,FALSE)=0,"",VLOOKUP($A21,'Pre-Assessment Estimator'!$A$10:$Z$227,U$2,FALSE))</f>
        <v/>
      </c>
      <c r="V21" s="444">
        <f>VLOOKUP($A21,'Pre-Assessment Estimator'!$A$10:$Z$227,V$2,FALSE)</f>
        <v>0</v>
      </c>
      <c r="W21" s="443" t="str">
        <f>VLOOKUP($A21,'Pre-Assessment Estimator'!$A$10:$Z$227,W$2,FALSE)</f>
        <v>N/A</v>
      </c>
      <c r="X21" s="446" t="str">
        <f>IF(VLOOKUP($A21,'Pre-Assessment Estimator'!$A$10:$Z$227,X$2,FALSE)=0,"",VLOOKUP($A21,'Pre-Assessment Estimator'!$A$10:$Z$227,X$2,FALSE))</f>
        <v/>
      </c>
      <c r="Y21" s="446" t="str">
        <f>IF(VLOOKUP($A21,'Pre-Assessment Estimator'!$A$10:$Z$227,Y$2,FALSE)=0,"",VLOOKUP($A21,'Pre-Assessment Estimator'!$A$10:$Z$227,Y$2,FALSE))</f>
        <v/>
      </c>
      <c r="Z21" s="313" t="str">
        <f>IF(VLOOKUP($A21,'Pre-Assessment Estimator'!$A$10:$Z$227,Z$2,FALSE)=0,"",VLOOKUP($A21,'Pre-Assessment Estimator'!$A$10:$Z$227,Z$2,FALSE))</f>
        <v/>
      </c>
      <c r="AA21" s="544">
        <v>12</v>
      </c>
      <c r="AB21" s="446"/>
      <c r="AF21" s="13">
        <f t="shared" si="0"/>
        <v>1</v>
      </c>
      <c r="AG21" s="342"/>
      <c r="AL21" s="14"/>
    </row>
    <row r="22" spans="1:38">
      <c r="A22" s="652">
        <v>13</v>
      </c>
      <c r="B22" s="958" t="s">
        <v>251</v>
      </c>
      <c r="C22" s="958"/>
      <c r="D22" s="980" t="str">
        <f>VLOOKUP($A22,'Pre-Assessment Estimator'!$A$10:$Z$227,D$2,FALSE)</f>
        <v>Man 03</v>
      </c>
      <c r="E22" s="981" t="str">
        <f>VLOOKUP($A22,'Pre-Assessment Estimator'!$A$10:$Z$227,E$2,FALSE)</f>
        <v>BREEAM-NOR AP and BREEAM performance targets (stage 5 and 6)</v>
      </c>
      <c r="F22" s="443">
        <f>VLOOKUP($A22,'Pre-Assessment Estimator'!$A$10:$Z$227,F$2,FALSE)</f>
        <v>1</v>
      </c>
      <c r="G22" s="449" t="str">
        <f>IF(VLOOKUP($A22,'Pre-Assessment Estimator'!$A$10:$Z$227,G$2,FALSE)=0,"",VLOOKUP($A22,'Pre-Assessment Estimator'!$A$10:$Z$227,G$2,FALSE))</f>
        <v/>
      </c>
      <c r="H22" s="444">
        <f>VLOOKUP($A22,'Pre-Assessment Estimator'!$A$10:$Z$227,H$2,FALSE)</f>
        <v>0</v>
      </c>
      <c r="I22" s="443" t="str">
        <f>VLOOKUP($A22,'Pre-Assessment Estimator'!$A$10:$Z$227,I$2,FALSE)</f>
        <v>N/A</v>
      </c>
      <c r="J22" s="446" t="str">
        <f>IF(VLOOKUP($A22,'Pre-Assessment Estimator'!$A$10:$Z$227,J$2,FALSE)=0,"",VLOOKUP($A22,'Pre-Assessment Estimator'!$A$10:$Z$227,J$2,FALSE))</f>
        <v/>
      </c>
      <c r="K22" s="446" t="str">
        <f>IF(VLOOKUP($A22,'Pre-Assessment Estimator'!$A$10:$Z$227,K$2,FALSE)=0,"",VLOOKUP($A22,'Pre-Assessment Estimator'!$A$10:$Z$227,K$2,FALSE))</f>
        <v/>
      </c>
      <c r="L22" s="447" t="str">
        <f>IF(VLOOKUP($A22,'Pre-Assessment Estimator'!$A$10:$Z$227,L$2,FALSE)=0,"",VLOOKUP($A22,'Pre-Assessment Estimator'!$A$10:$Z$227,L$2,FALSE))</f>
        <v/>
      </c>
      <c r="M22" s="448"/>
      <c r="N22" s="449" t="str">
        <f>IF(VLOOKUP($A22,'Pre-Assessment Estimator'!$A$10:$Z$227,N$2,FALSE)=0,"",VLOOKUP($A22,'Pre-Assessment Estimator'!$A$10:$Z$227,N$2,FALSE))</f>
        <v/>
      </c>
      <c r="O22" s="444">
        <f>VLOOKUP($A22,'Pre-Assessment Estimator'!$A$10:$Z$227,O$2,FALSE)</f>
        <v>0</v>
      </c>
      <c r="P22" s="443" t="str">
        <f>VLOOKUP($A22,'Pre-Assessment Estimator'!$A$10:$Z$227,P$2,FALSE)</f>
        <v>N/A</v>
      </c>
      <c r="Q22" s="446" t="str">
        <f>IF(VLOOKUP($A22,'Pre-Assessment Estimator'!$A$10:$Z$227,Q$2,FALSE)=0,"",VLOOKUP($A22,'Pre-Assessment Estimator'!$A$10:$Z$227,Q$2,FALSE))</f>
        <v/>
      </c>
      <c r="R22" s="446" t="str">
        <f>IF(VLOOKUP($A22,'Pre-Assessment Estimator'!$A$10:$Z$227,R$2,FALSE)=0,"",VLOOKUP($A22,'Pre-Assessment Estimator'!$A$10:$Z$227,R$2,FALSE))</f>
        <v/>
      </c>
      <c r="S22" s="447" t="str">
        <f>IF(VLOOKUP($A22,'Pre-Assessment Estimator'!$A$10:$Z$227,S$2,FALSE)=0,"",VLOOKUP($A22,'Pre-Assessment Estimator'!$A$10:$Z$227,S$2,FALSE))</f>
        <v/>
      </c>
      <c r="T22" s="450"/>
      <c r="U22" s="449" t="str">
        <f>IF(VLOOKUP($A22,'Pre-Assessment Estimator'!$A$10:$Z$227,U$2,FALSE)=0,"",VLOOKUP($A22,'Pre-Assessment Estimator'!$A$10:$Z$227,U$2,FALSE))</f>
        <v/>
      </c>
      <c r="V22" s="444">
        <f>VLOOKUP($A22,'Pre-Assessment Estimator'!$A$10:$Z$227,V$2,FALSE)</f>
        <v>0</v>
      </c>
      <c r="W22" s="443" t="str">
        <f>VLOOKUP($A22,'Pre-Assessment Estimator'!$A$10:$Z$227,W$2,FALSE)</f>
        <v>N/A</v>
      </c>
      <c r="X22" s="446" t="str">
        <f>IF(VLOOKUP($A22,'Pre-Assessment Estimator'!$A$10:$Z$227,X$2,FALSE)=0,"",VLOOKUP($A22,'Pre-Assessment Estimator'!$A$10:$Z$227,X$2,FALSE))</f>
        <v/>
      </c>
      <c r="Y22" s="446" t="str">
        <f>IF(VLOOKUP($A22,'Pre-Assessment Estimator'!$A$10:$Z$227,Y$2,FALSE)=0,"",VLOOKUP($A22,'Pre-Assessment Estimator'!$A$10:$Z$227,Y$2,FALSE))</f>
        <v/>
      </c>
      <c r="Z22" s="313" t="str">
        <f>IF(VLOOKUP($A22,'Pre-Assessment Estimator'!$A$10:$Z$227,Z$2,FALSE)=0,"",VLOOKUP($A22,'Pre-Assessment Estimator'!$A$10:$Z$227,Z$2,FALSE))</f>
        <v/>
      </c>
      <c r="AA22" s="544">
        <v>13</v>
      </c>
      <c r="AB22" s="446"/>
      <c r="AF22" s="13">
        <f t="shared" si="0"/>
        <v>1</v>
      </c>
      <c r="AG22" s="342"/>
      <c r="AL22" s="14"/>
    </row>
    <row r="23" spans="1:38" ht="30">
      <c r="A23" s="652">
        <v>14</v>
      </c>
      <c r="B23" s="958" t="s">
        <v>251</v>
      </c>
      <c r="C23" s="958"/>
      <c r="D23" s="980" t="str">
        <f>VLOOKUP($A23,'Pre-Assessment Estimator'!$A$10:$Z$227,D$2,FALSE)</f>
        <v>Man 03</v>
      </c>
      <c r="E23" s="981" t="str">
        <f>VLOOKUP($A23,'Pre-Assessment Estimator'!$A$10:$Z$227,E$2,FALSE)</f>
        <v>Considerate contruction: clean and tidy building process and checklist A1 (EU taxonomy requirement: criterion 5-6)</v>
      </c>
      <c r="F23" s="443">
        <f>VLOOKUP($A23,'Pre-Assessment Estimator'!$A$10:$Z$227,F$2,FALSE)</f>
        <v>1</v>
      </c>
      <c r="G23" s="449" t="str">
        <f>IF(VLOOKUP($A23,'Pre-Assessment Estimator'!$A$10:$Z$227,G$2,FALSE)=0,"",VLOOKUP($A23,'Pre-Assessment Estimator'!$A$10:$Z$227,G$2,FALSE))</f>
        <v/>
      </c>
      <c r="H23" s="444">
        <f>VLOOKUP($A23,'Pre-Assessment Estimator'!$A$10:$Z$227,H$2,FALSE)</f>
        <v>0</v>
      </c>
      <c r="I23" s="443" t="str">
        <f>VLOOKUP($A23,'Pre-Assessment Estimator'!$A$10:$Z$227,I$2,FALSE)</f>
        <v>Unclassified</v>
      </c>
      <c r="J23" s="446" t="str">
        <f>IF(VLOOKUP($A23,'Pre-Assessment Estimator'!$A$10:$Z$227,J$2,FALSE)=0,"",VLOOKUP($A23,'Pre-Assessment Estimator'!$A$10:$Z$227,J$2,FALSE))</f>
        <v/>
      </c>
      <c r="K23" s="446" t="str">
        <f>IF(VLOOKUP($A23,'Pre-Assessment Estimator'!$A$10:$Z$227,K$2,FALSE)=0,"",VLOOKUP($A23,'Pre-Assessment Estimator'!$A$10:$Z$227,K$2,FALSE))</f>
        <v/>
      </c>
      <c r="L23" s="447" t="str">
        <f>IF(VLOOKUP($A23,'Pre-Assessment Estimator'!$A$10:$Z$227,L$2,FALSE)=0,"",VLOOKUP($A23,'Pre-Assessment Estimator'!$A$10:$Z$227,L$2,FALSE))</f>
        <v/>
      </c>
      <c r="M23" s="448"/>
      <c r="N23" s="449" t="str">
        <f>IF(VLOOKUP($A23,'Pre-Assessment Estimator'!$A$10:$Z$227,N$2,FALSE)=0,"",VLOOKUP($A23,'Pre-Assessment Estimator'!$A$10:$Z$227,N$2,FALSE))</f>
        <v/>
      </c>
      <c r="O23" s="444">
        <f>VLOOKUP($A23,'Pre-Assessment Estimator'!$A$10:$Z$227,O$2,FALSE)</f>
        <v>0</v>
      </c>
      <c r="P23" s="443" t="str">
        <f>VLOOKUP($A23,'Pre-Assessment Estimator'!$A$10:$Z$227,P$2,FALSE)</f>
        <v>Unclassified</v>
      </c>
      <c r="Q23" s="446" t="str">
        <f>IF(VLOOKUP($A23,'Pre-Assessment Estimator'!$A$10:$Z$227,Q$2,FALSE)=0,"",VLOOKUP($A23,'Pre-Assessment Estimator'!$A$10:$Z$227,Q$2,FALSE))</f>
        <v/>
      </c>
      <c r="R23" s="446" t="str">
        <f>IF(VLOOKUP($A23,'Pre-Assessment Estimator'!$A$10:$Z$227,R$2,FALSE)=0,"",VLOOKUP($A23,'Pre-Assessment Estimator'!$A$10:$Z$227,R$2,FALSE))</f>
        <v/>
      </c>
      <c r="S23" s="447" t="str">
        <f>IF(VLOOKUP($A23,'Pre-Assessment Estimator'!$A$10:$Z$227,S$2,FALSE)=0,"",VLOOKUP($A23,'Pre-Assessment Estimator'!$A$10:$Z$227,S$2,FALSE))</f>
        <v/>
      </c>
      <c r="T23" s="450"/>
      <c r="U23" s="449" t="str">
        <f>IF(VLOOKUP($A23,'Pre-Assessment Estimator'!$A$10:$Z$227,U$2,FALSE)=0,"",VLOOKUP($A23,'Pre-Assessment Estimator'!$A$10:$Z$227,U$2,FALSE))</f>
        <v/>
      </c>
      <c r="V23" s="444">
        <f>VLOOKUP($A23,'Pre-Assessment Estimator'!$A$10:$Z$227,V$2,FALSE)</f>
        <v>0</v>
      </c>
      <c r="W23" s="443" t="str">
        <f>VLOOKUP($A23,'Pre-Assessment Estimator'!$A$10:$Z$227,W$2,FALSE)</f>
        <v>Unclassified</v>
      </c>
      <c r="X23" s="446" t="str">
        <f>IF(VLOOKUP($A23,'Pre-Assessment Estimator'!$A$10:$Z$227,X$2,FALSE)=0,"",VLOOKUP($A23,'Pre-Assessment Estimator'!$A$10:$Z$227,X$2,FALSE))</f>
        <v/>
      </c>
      <c r="Y23" s="446" t="str">
        <f>IF(VLOOKUP($A23,'Pre-Assessment Estimator'!$A$10:$Z$227,Y$2,FALSE)=0,"",VLOOKUP($A23,'Pre-Assessment Estimator'!$A$10:$Z$227,Y$2,FALSE))</f>
        <v/>
      </c>
      <c r="Z23" s="313" t="str">
        <f>IF(VLOOKUP($A23,'Pre-Assessment Estimator'!$A$10:$Z$227,Z$2,FALSE)=0,"",VLOOKUP($A23,'Pre-Assessment Estimator'!$A$10:$Z$227,Z$2,FALSE))</f>
        <v/>
      </c>
      <c r="AA23" s="544">
        <v>14</v>
      </c>
      <c r="AB23" s="446"/>
      <c r="AF23" s="13">
        <f t="shared" si="0"/>
        <v>1</v>
      </c>
      <c r="AG23" s="342"/>
      <c r="AL23" s="14"/>
    </row>
    <row r="24" spans="1:38" ht="30">
      <c r="A24" s="652">
        <v>15</v>
      </c>
      <c r="B24" s="958" t="s">
        <v>251</v>
      </c>
      <c r="C24" s="958"/>
      <c r="D24" s="980" t="str">
        <f>VLOOKUP($A24,'Pre-Assessment Estimator'!$A$10:$Z$227,D$2,FALSE)</f>
        <v>Man 03</v>
      </c>
      <c r="E24" s="981" t="str">
        <f>VLOOKUP($A24,'Pre-Assessment Estimator'!$A$10:$Z$227,E$2,FALSE)</f>
        <v>Considerate contruction: INSTA 800 and checklist A1 (EU taxonomy requirement: criterion 7-9)</v>
      </c>
      <c r="F24" s="443">
        <f>VLOOKUP($A24,'Pre-Assessment Estimator'!$A$10:$Z$227,F$2,FALSE)</f>
        <v>1</v>
      </c>
      <c r="G24" s="449" t="str">
        <f>IF(VLOOKUP($A24,'Pre-Assessment Estimator'!$A$10:$Z$227,G$2,FALSE)=0,"",VLOOKUP($A24,'Pre-Assessment Estimator'!$A$10:$Z$227,G$2,FALSE))</f>
        <v/>
      </c>
      <c r="H24" s="444">
        <f>VLOOKUP($A24,'Pre-Assessment Estimator'!$A$10:$Z$227,H$2,FALSE)</f>
        <v>0</v>
      </c>
      <c r="I24" s="443" t="str">
        <f>VLOOKUP($A24,'Pre-Assessment Estimator'!$A$10:$Z$227,I$2,FALSE)</f>
        <v>Good</v>
      </c>
      <c r="J24" s="446" t="str">
        <f>IF(VLOOKUP($A24,'Pre-Assessment Estimator'!$A$10:$Z$227,J$2,FALSE)=0,"",VLOOKUP($A24,'Pre-Assessment Estimator'!$A$10:$Z$227,J$2,FALSE))</f>
        <v/>
      </c>
      <c r="K24" s="446" t="str">
        <f>IF(VLOOKUP($A24,'Pre-Assessment Estimator'!$A$10:$Z$227,K$2,FALSE)=0,"",VLOOKUP($A24,'Pre-Assessment Estimator'!$A$10:$Z$227,K$2,FALSE))</f>
        <v/>
      </c>
      <c r="L24" s="447" t="str">
        <f>IF(VLOOKUP($A24,'Pre-Assessment Estimator'!$A$10:$Z$227,L$2,FALSE)=0,"",VLOOKUP($A24,'Pre-Assessment Estimator'!$A$10:$Z$227,L$2,FALSE))</f>
        <v/>
      </c>
      <c r="M24" s="448"/>
      <c r="N24" s="449" t="str">
        <f>IF(VLOOKUP($A24,'Pre-Assessment Estimator'!$A$10:$Z$227,N$2,FALSE)=0,"",VLOOKUP($A24,'Pre-Assessment Estimator'!$A$10:$Z$227,N$2,FALSE))</f>
        <v/>
      </c>
      <c r="O24" s="444">
        <f>VLOOKUP($A24,'Pre-Assessment Estimator'!$A$10:$Z$227,O$2,FALSE)</f>
        <v>0</v>
      </c>
      <c r="P24" s="443" t="str">
        <f>VLOOKUP($A24,'Pre-Assessment Estimator'!$A$10:$Z$227,P$2,FALSE)</f>
        <v>Good</v>
      </c>
      <c r="Q24" s="446" t="str">
        <f>IF(VLOOKUP($A24,'Pre-Assessment Estimator'!$A$10:$Z$227,Q$2,FALSE)=0,"",VLOOKUP($A24,'Pre-Assessment Estimator'!$A$10:$Z$227,Q$2,FALSE))</f>
        <v/>
      </c>
      <c r="R24" s="446" t="str">
        <f>IF(VLOOKUP($A24,'Pre-Assessment Estimator'!$A$10:$Z$227,R$2,FALSE)=0,"",VLOOKUP($A24,'Pre-Assessment Estimator'!$A$10:$Z$227,R$2,FALSE))</f>
        <v/>
      </c>
      <c r="S24" s="447" t="str">
        <f>IF(VLOOKUP($A24,'Pre-Assessment Estimator'!$A$10:$Z$227,S$2,FALSE)=0,"",VLOOKUP($A24,'Pre-Assessment Estimator'!$A$10:$Z$227,S$2,FALSE))</f>
        <v/>
      </c>
      <c r="T24" s="450"/>
      <c r="U24" s="449" t="str">
        <f>IF(VLOOKUP($A24,'Pre-Assessment Estimator'!$A$10:$Z$227,U$2,FALSE)=0,"",VLOOKUP($A24,'Pre-Assessment Estimator'!$A$10:$Z$227,U$2,FALSE))</f>
        <v/>
      </c>
      <c r="V24" s="444">
        <f>VLOOKUP($A24,'Pre-Assessment Estimator'!$A$10:$Z$227,V$2,FALSE)</f>
        <v>0</v>
      </c>
      <c r="W24" s="443" t="str">
        <f>VLOOKUP($A24,'Pre-Assessment Estimator'!$A$10:$Z$227,W$2,FALSE)</f>
        <v>Good</v>
      </c>
      <c r="X24" s="446" t="str">
        <f>IF(VLOOKUP($A24,'Pre-Assessment Estimator'!$A$10:$Z$227,X$2,FALSE)=0,"",VLOOKUP($A24,'Pre-Assessment Estimator'!$A$10:$Z$227,X$2,FALSE))</f>
        <v/>
      </c>
      <c r="Y24" s="446" t="str">
        <f>IF(VLOOKUP($A24,'Pre-Assessment Estimator'!$A$10:$Z$227,Y$2,FALSE)=0,"",VLOOKUP($A24,'Pre-Assessment Estimator'!$A$10:$Z$227,Y$2,FALSE))</f>
        <v/>
      </c>
      <c r="Z24" s="313" t="str">
        <f>IF(VLOOKUP($A24,'Pre-Assessment Estimator'!$A$10:$Z$227,Z$2,FALSE)=0,"",VLOOKUP($A24,'Pre-Assessment Estimator'!$A$10:$Z$227,Z$2,FALSE))</f>
        <v/>
      </c>
      <c r="AA24" s="544">
        <v>15</v>
      </c>
      <c r="AB24" s="446"/>
      <c r="AF24" s="13">
        <f t="shared" si="0"/>
        <v>1</v>
      </c>
      <c r="AG24" s="342"/>
      <c r="AL24" s="14"/>
    </row>
    <row r="25" spans="1:38">
      <c r="A25" s="652">
        <v>16</v>
      </c>
      <c r="B25" s="958" t="s">
        <v>251</v>
      </c>
      <c r="C25" s="958"/>
      <c r="D25" s="980" t="str">
        <f>VLOOKUP($A25,'Pre-Assessment Estimator'!$A$10:$Z$227,D$2,FALSE)</f>
        <v>Man 03</v>
      </c>
      <c r="E25" s="981" t="str">
        <f>VLOOKUP($A25,'Pre-Assessment Estimator'!$A$10:$Z$227,E$2,FALSE)</f>
        <v>Energy consumption from activities on the construction site (step 2-4)</v>
      </c>
      <c r="F25" s="443">
        <f>VLOOKUP($A25,'Pre-Assessment Estimator'!$A$10:$Z$227,F$2,FALSE)</f>
        <v>1</v>
      </c>
      <c r="G25" s="449" t="str">
        <f>IF(VLOOKUP($A25,'Pre-Assessment Estimator'!$A$10:$Z$227,G$2,FALSE)=0,"",VLOOKUP($A25,'Pre-Assessment Estimator'!$A$10:$Z$227,G$2,FALSE))</f>
        <v/>
      </c>
      <c r="H25" s="444">
        <f>VLOOKUP($A25,'Pre-Assessment Estimator'!$A$10:$Z$227,H$2,FALSE)</f>
        <v>0</v>
      </c>
      <c r="I25" s="443" t="str">
        <f>VLOOKUP($A25,'Pre-Assessment Estimator'!$A$10:$Z$227,I$2,FALSE)</f>
        <v>Very Good</v>
      </c>
      <c r="J25" s="446" t="str">
        <f>IF(VLOOKUP($A25,'Pre-Assessment Estimator'!$A$10:$Z$227,J$2,FALSE)=0,"",VLOOKUP($A25,'Pre-Assessment Estimator'!$A$10:$Z$227,J$2,FALSE))</f>
        <v/>
      </c>
      <c r="K25" s="446" t="str">
        <f>IF(VLOOKUP($A25,'Pre-Assessment Estimator'!$A$10:$Z$227,K$2,FALSE)=0,"",VLOOKUP($A25,'Pre-Assessment Estimator'!$A$10:$Z$227,K$2,FALSE))</f>
        <v/>
      </c>
      <c r="L25" s="447" t="str">
        <f>IF(VLOOKUP($A25,'Pre-Assessment Estimator'!$A$10:$Z$227,L$2,FALSE)=0,"",VLOOKUP($A25,'Pre-Assessment Estimator'!$A$10:$Z$227,L$2,FALSE))</f>
        <v/>
      </c>
      <c r="M25" s="448"/>
      <c r="N25" s="449" t="str">
        <f>IF(VLOOKUP($A25,'Pre-Assessment Estimator'!$A$10:$Z$227,N$2,FALSE)=0,"",VLOOKUP($A25,'Pre-Assessment Estimator'!$A$10:$Z$227,N$2,FALSE))</f>
        <v/>
      </c>
      <c r="O25" s="444">
        <f>VLOOKUP($A25,'Pre-Assessment Estimator'!$A$10:$Z$227,O$2,FALSE)</f>
        <v>0</v>
      </c>
      <c r="P25" s="443" t="str">
        <f>VLOOKUP($A25,'Pre-Assessment Estimator'!$A$10:$Z$227,P$2,FALSE)</f>
        <v>Very Good</v>
      </c>
      <c r="Q25" s="446" t="str">
        <f>IF(VLOOKUP($A25,'Pre-Assessment Estimator'!$A$10:$Z$227,Q$2,FALSE)=0,"",VLOOKUP($A25,'Pre-Assessment Estimator'!$A$10:$Z$227,Q$2,FALSE))</f>
        <v/>
      </c>
      <c r="R25" s="446" t="str">
        <f>IF(VLOOKUP($A25,'Pre-Assessment Estimator'!$A$10:$Z$227,R$2,FALSE)=0,"",VLOOKUP($A25,'Pre-Assessment Estimator'!$A$10:$Z$227,R$2,FALSE))</f>
        <v/>
      </c>
      <c r="S25" s="447" t="str">
        <f>IF(VLOOKUP($A25,'Pre-Assessment Estimator'!$A$10:$Z$227,S$2,FALSE)=0,"",VLOOKUP($A25,'Pre-Assessment Estimator'!$A$10:$Z$227,S$2,FALSE))</f>
        <v/>
      </c>
      <c r="T25" s="450"/>
      <c r="U25" s="449" t="str">
        <f>IF(VLOOKUP($A25,'Pre-Assessment Estimator'!$A$10:$Z$227,U$2,FALSE)=0,"",VLOOKUP($A25,'Pre-Assessment Estimator'!$A$10:$Z$227,U$2,FALSE))</f>
        <v/>
      </c>
      <c r="V25" s="444">
        <f>VLOOKUP($A25,'Pre-Assessment Estimator'!$A$10:$Z$227,V$2,FALSE)</f>
        <v>0</v>
      </c>
      <c r="W25" s="443" t="str">
        <f>VLOOKUP($A25,'Pre-Assessment Estimator'!$A$10:$Z$227,W$2,FALSE)</f>
        <v>Very Good</v>
      </c>
      <c r="X25" s="446" t="str">
        <f>IF(VLOOKUP($A25,'Pre-Assessment Estimator'!$A$10:$Z$227,X$2,FALSE)=0,"",VLOOKUP($A25,'Pre-Assessment Estimator'!$A$10:$Z$227,X$2,FALSE))</f>
        <v/>
      </c>
      <c r="Y25" s="446" t="str">
        <f>IF(VLOOKUP($A25,'Pre-Assessment Estimator'!$A$10:$Z$227,Y$2,FALSE)=0,"",VLOOKUP($A25,'Pre-Assessment Estimator'!$A$10:$Z$227,Y$2,FALSE))</f>
        <v/>
      </c>
      <c r="Z25" s="313" t="str">
        <f>IF(VLOOKUP($A25,'Pre-Assessment Estimator'!$A$10:$Z$227,Z$2,FALSE)=0,"",VLOOKUP($A25,'Pre-Assessment Estimator'!$A$10:$Z$227,Z$2,FALSE))</f>
        <v/>
      </c>
      <c r="AA25" s="544">
        <v>16</v>
      </c>
      <c r="AB25" s="446"/>
      <c r="AF25" s="13">
        <f t="shared" si="0"/>
        <v>1</v>
      </c>
      <c r="AG25" s="342"/>
      <c r="AL25" s="14"/>
    </row>
    <row r="26" spans="1:38">
      <c r="A26" s="652">
        <v>17</v>
      </c>
      <c r="B26" s="958" t="s">
        <v>251</v>
      </c>
      <c r="C26" s="958"/>
      <c r="D26" s="980" t="str">
        <f>VLOOKUP($A26,'Pre-Assessment Estimator'!$A$10:$Z$227,D$2,FALSE)</f>
        <v>Man 03</v>
      </c>
      <c r="E26" s="981" t="str">
        <f>VLOOKUP($A26,'Pre-Assessment Estimator'!$A$10:$Z$227,E$2,FALSE)</f>
        <v>Energy consumption from transport of masses and waste (step 2-4)</v>
      </c>
      <c r="F26" s="443">
        <f>VLOOKUP($A26,'Pre-Assessment Estimator'!$A$10:$Z$227,F$2,FALSE)</f>
        <v>2</v>
      </c>
      <c r="G26" s="449" t="str">
        <f>IF(VLOOKUP($A26,'Pre-Assessment Estimator'!$A$10:$Z$227,G$2,FALSE)=0,"",VLOOKUP($A26,'Pre-Assessment Estimator'!$A$10:$Z$227,G$2,FALSE))</f>
        <v/>
      </c>
      <c r="H26" s="444">
        <f>VLOOKUP($A26,'Pre-Assessment Estimator'!$A$10:$Z$227,H$2,FALSE)</f>
        <v>0</v>
      </c>
      <c r="I26" s="443" t="str">
        <f>VLOOKUP($A26,'Pre-Assessment Estimator'!$A$10:$Z$227,I$2,FALSE)</f>
        <v>Very Good</v>
      </c>
      <c r="J26" s="446" t="str">
        <f>IF(VLOOKUP($A26,'Pre-Assessment Estimator'!$A$10:$Z$227,J$2,FALSE)=0,"",VLOOKUP($A26,'Pre-Assessment Estimator'!$A$10:$Z$227,J$2,FALSE))</f>
        <v/>
      </c>
      <c r="K26" s="446" t="str">
        <f>IF(VLOOKUP($A26,'Pre-Assessment Estimator'!$A$10:$Z$227,K$2,FALSE)=0,"",VLOOKUP($A26,'Pre-Assessment Estimator'!$A$10:$Z$227,K$2,FALSE))</f>
        <v/>
      </c>
      <c r="L26" s="447" t="str">
        <f>IF(VLOOKUP($A26,'Pre-Assessment Estimator'!$A$10:$Z$227,L$2,FALSE)=0,"",VLOOKUP($A26,'Pre-Assessment Estimator'!$A$10:$Z$227,L$2,FALSE))</f>
        <v/>
      </c>
      <c r="M26" s="448"/>
      <c r="N26" s="449" t="str">
        <f>IF(VLOOKUP($A26,'Pre-Assessment Estimator'!$A$10:$Z$227,N$2,FALSE)=0,"",VLOOKUP($A26,'Pre-Assessment Estimator'!$A$10:$Z$227,N$2,FALSE))</f>
        <v/>
      </c>
      <c r="O26" s="444">
        <f>VLOOKUP($A26,'Pre-Assessment Estimator'!$A$10:$Z$227,O$2,FALSE)</f>
        <v>0</v>
      </c>
      <c r="P26" s="443" t="str">
        <f>VLOOKUP($A26,'Pre-Assessment Estimator'!$A$10:$Z$227,P$2,FALSE)</f>
        <v>Very Good</v>
      </c>
      <c r="Q26" s="446" t="str">
        <f>IF(VLOOKUP($A26,'Pre-Assessment Estimator'!$A$10:$Z$227,Q$2,FALSE)=0,"",VLOOKUP($A26,'Pre-Assessment Estimator'!$A$10:$Z$227,Q$2,FALSE))</f>
        <v/>
      </c>
      <c r="R26" s="446" t="str">
        <f>IF(VLOOKUP($A26,'Pre-Assessment Estimator'!$A$10:$Z$227,R$2,FALSE)=0,"",VLOOKUP($A26,'Pre-Assessment Estimator'!$A$10:$Z$227,R$2,FALSE))</f>
        <v/>
      </c>
      <c r="S26" s="447" t="str">
        <f>IF(VLOOKUP($A26,'Pre-Assessment Estimator'!$A$10:$Z$227,S$2,FALSE)=0,"",VLOOKUP($A26,'Pre-Assessment Estimator'!$A$10:$Z$227,S$2,FALSE))</f>
        <v/>
      </c>
      <c r="T26" s="450"/>
      <c r="U26" s="449" t="str">
        <f>IF(VLOOKUP($A26,'Pre-Assessment Estimator'!$A$10:$Z$227,U$2,FALSE)=0,"",VLOOKUP($A26,'Pre-Assessment Estimator'!$A$10:$Z$227,U$2,FALSE))</f>
        <v/>
      </c>
      <c r="V26" s="444">
        <f>VLOOKUP($A26,'Pre-Assessment Estimator'!$A$10:$Z$227,V$2,FALSE)</f>
        <v>0</v>
      </c>
      <c r="W26" s="443" t="str">
        <f>VLOOKUP($A26,'Pre-Assessment Estimator'!$A$10:$Z$227,W$2,FALSE)</f>
        <v>Very Good</v>
      </c>
      <c r="X26" s="446" t="str">
        <f>IF(VLOOKUP($A26,'Pre-Assessment Estimator'!$A$10:$Z$227,X$2,FALSE)=0,"",VLOOKUP($A26,'Pre-Assessment Estimator'!$A$10:$Z$227,X$2,FALSE))</f>
        <v/>
      </c>
      <c r="Y26" s="446" t="str">
        <f>IF(VLOOKUP($A26,'Pre-Assessment Estimator'!$A$10:$Z$227,Y$2,FALSE)=0,"",VLOOKUP($A26,'Pre-Assessment Estimator'!$A$10:$Z$227,Y$2,FALSE))</f>
        <v/>
      </c>
      <c r="Z26" s="313" t="str">
        <f>IF(VLOOKUP($A26,'Pre-Assessment Estimator'!$A$10:$Z$227,Z$2,FALSE)=0,"",VLOOKUP($A26,'Pre-Assessment Estimator'!$A$10:$Z$227,Z$2,FALSE))</f>
        <v/>
      </c>
      <c r="AA26" s="544">
        <v>17</v>
      </c>
      <c r="AB26" s="446"/>
      <c r="AF26" s="13">
        <f t="shared" si="0"/>
        <v>1</v>
      </c>
      <c r="AG26" s="342"/>
      <c r="AL26" s="14"/>
    </row>
    <row r="27" spans="1:38">
      <c r="A27" s="652">
        <v>18</v>
      </c>
      <c r="B27" s="958" t="s">
        <v>251</v>
      </c>
      <c r="C27" s="958"/>
      <c r="D27" s="979" t="str">
        <f>VLOOKUP($A27,'Pre-Assessment Estimator'!$A$10:$Z$227,D$2,FALSE)</f>
        <v>Man 04</v>
      </c>
      <c r="E27" s="979" t="str">
        <f>VLOOKUP($A27,'Pre-Assessment Estimator'!$A$10:$Z$227,E$2,FALSE)</f>
        <v>Man 04 Commissioning and handover</v>
      </c>
      <c r="F27" s="443">
        <f>VLOOKUP($A27,'Pre-Assessment Estimator'!$A$10:$Z$227,F$2,FALSE)</f>
        <v>3</v>
      </c>
      <c r="G27" s="449" t="str">
        <f>IF(VLOOKUP($A27,'Pre-Assessment Estimator'!$A$10:$Z$227,G$2,FALSE)=0,"",VLOOKUP($A27,'Pre-Assessment Estimator'!$A$10:$Z$227,G$2,FALSE))</f>
        <v/>
      </c>
      <c r="H27" s="444" t="str">
        <f>VLOOKUP($A27,'Pre-Assessment Estimator'!$A$10:$Z$227,H$2,FALSE)</f>
        <v>0 c. 0 %</v>
      </c>
      <c r="I27" s="443" t="str">
        <f>VLOOKUP($A27,'Pre-Assessment Estimator'!$A$10:$Z$227,I$2,FALSE)</f>
        <v>N/A</v>
      </c>
      <c r="J27" s="446" t="str">
        <f>IF(VLOOKUP($A27,'Pre-Assessment Estimator'!$A$10:$Z$227,J$2,FALSE)=0,"",VLOOKUP($A27,'Pre-Assessment Estimator'!$A$10:$Z$227,J$2,FALSE))</f>
        <v/>
      </c>
      <c r="K27" s="446" t="str">
        <f>IF(VLOOKUP($A27,'Pre-Assessment Estimator'!$A$10:$Z$227,K$2,FALSE)=0,"",VLOOKUP($A27,'Pre-Assessment Estimator'!$A$10:$Z$227,K$2,FALSE))</f>
        <v/>
      </c>
      <c r="L27" s="447" t="str">
        <f>IF(VLOOKUP($A27,'Pre-Assessment Estimator'!$A$10:$Z$227,L$2,FALSE)=0,"",VLOOKUP($A27,'Pre-Assessment Estimator'!$A$10:$Z$227,L$2,FALSE))</f>
        <v/>
      </c>
      <c r="M27" s="448"/>
      <c r="N27" s="449" t="str">
        <f>IF(VLOOKUP($A27,'Pre-Assessment Estimator'!$A$10:$Z$227,N$2,FALSE)=0,"",VLOOKUP($A27,'Pre-Assessment Estimator'!$A$10:$Z$227,N$2,FALSE))</f>
        <v/>
      </c>
      <c r="O27" s="444" t="str">
        <f>VLOOKUP($A27,'Pre-Assessment Estimator'!$A$10:$Z$227,O$2,FALSE)</f>
        <v>0 c. 0 %</v>
      </c>
      <c r="P27" s="443" t="str">
        <f>VLOOKUP($A27,'Pre-Assessment Estimator'!$A$10:$Z$227,P$2,FALSE)</f>
        <v>N/A</v>
      </c>
      <c r="Q27" s="446" t="str">
        <f>IF(VLOOKUP($A27,'Pre-Assessment Estimator'!$A$10:$Z$227,Q$2,FALSE)=0,"",VLOOKUP($A27,'Pre-Assessment Estimator'!$A$10:$Z$227,Q$2,FALSE))</f>
        <v/>
      </c>
      <c r="R27" s="446" t="str">
        <f>IF(VLOOKUP($A27,'Pre-Assessment Estimator'!$A$10:$Z$227,R$2,FALSE)=0,"",VLOOKUP($A27,'Pre-Assessment Estimator'!$A$10:$Z$227,R$2,FALSE))</f>
        <v/>
      </c>
      <c r="S27" s="447" t="str">
        <f>IF(VLOOKUP($A27,'Pre-Assessment Estimator'!$A$10:$Z$227,S$2,FALSE)=0,"",VLOOKUP($A27,'Pre-Assessment Estimator'!$A$10:$Z$227,S$2,FALSE))</f>
        <v/>
      </c>
      <c r="T27" s="450"/>
      <c r="U27" s="449" t="str">
        <f>IF(VLOOKUP($A27,'Pre-Assessment Estimator'!$A$10:$Z$227,U$2,FALSE)=0,"",VLOOKUP($A27,'Pre-Assessment Estimator'!$A$10:$Z$227,U$2,FALSE))</f>
        <v/>
      </c>
      <c r="V27" s="444" t="str">
        <f>VLOOKUP($A27,'Pre-Assessment Estimator'!$A$10:$Z$227,V$2,FALSE)</f>
        <v>0 c. 0 %</v>
      </c>
      <c r="W27" s="443" t="str">
        <f>VLOOKUP($A27,'Pre-Assessment Estimator'!$A$10:$Z$227,W$2,FALSE)</f>
        <v>N/A</v>
      </c>
      <c r="X27" s="446" t="str">
        <f>IF(VLOOKUP($A27,'Pre-Assessment Estimator'!$A$10:$Z$227,X$2,FALSE)=0,"",VLOOKUP($A27,'Pre-Assessment Estimator'!$A$10:$Z$227,X$2,FALSE))</f>
        <v/>
      </c>
      <c r="Y27" s="446" t="str">
        <f>IF(VLOOKUP($A27,'Pre-Assessment Estimator'!$A$10:$Z$227,Y$2,FALSE)=0,"",VLOOKUP($A27,'Pre-Assessment Estimator'!$A$10:$Z$227,Y$2,FALSE))</f>
        <v/>
      </c>
      <c r="Z27" s="313" t="str">
        <f>IF(VLOOKUP($A27,'Pre-Assessment Estimator'!$A$10:$Z$227,Z$2,FALSE)=0,"",VLOOKUP($A27,'Pre-Assessment Estimator'!$A$10:$Z$227,Z$2,FALSE))</f>
        <v/>
      </c>
      <c r="AA27" s="544">
        <v>18</v>
      </c>
      <c r="AB27" s="446"/>
      <c r="AF27" s="13">
        <f t="shared" si="0"/>
        <v>1</v>
      </c>
      <c r="AG27" s="342"/>
      <c r="AL27" s="14"/>
    </row>
    <row r="28" spans="1:38">
      <c r="A28" s="652">
        <v>19</v>
      </c>
      <c r="B28" s="958" t="s">
        <v>251</v>
      </c>
      <c r="C28" s="958"/>
      <c r="D28" s="980" t="str">
        <f>VLOOKUP($A28,'Pre-Assessment Estimator'!$A$10:$Z$227,D$2,FALSE)</f>
        <v>Man 04</v>
      </c>
      <c r="E28" s="981" t="str">
        <f>VLOOKUP($A28,'Pre-Assessment Estimator'!$A$10:$Z$227,E$2,FALSE)</f>
        <v xml:space="preserve">Commissioning - testing schedule and responsibilities </v>
      </c>
      <c r="F28" s="443">
        <f>VLOOKUP($A28,'Pre-Assessment Estimator'!$A$10:$Z$227,F$2,FALSE)</f>
        <v>1</v>
      </c>
      <c r="G28" s="449" t="str">
        <f>IF(VLOOKUP($A28,'Pre-Assessment Estimator'!$A$10:$Z$227,G$2,FALSE)=0,"",VLOOKUP($A28,'Pre-Assessment Estimator'!$A$10:$Z$227,G$2,FALSE))</f>
        <v/>
      </c>
      <c r="H28" s="444">
        <f>VLOOKUP($A28,'Pre-Assessment Estimator'!$A$10:$Z$227,H$2,FALSE)</f>
        <v>0</v>
      </c>
      <c r="I28" s="443" t="str">
        <f>VLOOKUP($A28,'Pre-Assessment Estimator'!$A$10:$Z$227,I$2,FALSE)</f>
        <v>Unclassified</v>
      </c>
      <c r="J28" s="446" t="str">
        <f>IF(VLOOKUP($A28,'Pre-Assessment Estimator'!$A$10:$Z$227,J$2,FALSE)=0,"",VLOOKUP($A28,'Pre-Assessment Estimator'!$A$10:$Z$227,J$2,FALSE))</f>
        <v/>
      </c>
      <c r="K28" s="446" t="str">
        <f>IF(VLOOKUP($A28,'Pre-Assessment Estimator'!$A$10:$Z$227,K$2,FALSE)=0,"",VLOOKUP($A28,'Pre-Assessment Estimator'!$A$10:$Z$227,K$2,FALSE))</f>
        <v/>
      </c>
      <c r="L28" s="447" t="str">
        <f>IF(VLOOKUP($A28,'Pre-Assessment Estimator'!$A$10:$Z$227,L$2,FALSE)=0,"",VLOOKUP($A28,'Pre-Assessment Estimator'!$A$10:$Z$227,L$2,FALSE))</f>
        <v/>
      </c>
      <c r="M28" s="448"/>
      <c r="N28" s="449" t="str">
        <f>IF(VLOOKUP($A28,'Pre-Assessment Estimator'!$A$10:$Z$227,N$2,FALSE)=0,"",VLOOKUP($A28,'Pre-Assessment Estimator'!$A$10:$Z$227,N$2,FALSE))</f>
        <v/>
      </c>
      <c r="O28" s="444">
        <f>VLOOKUP($A28,'Pre-Assessment Estimator'!$A$10:$Z$227,O$2,FALSE)</f>
        <v>0</v>
      </c>
      <c r="P28" s="443" t="str">
        <f>VLOOKUP($A28,'Pre-Assessment Estimator'!$A$10:$Z$227,P$2,FALSE)</f>
        <v>Unclassified</v>
      </c>
      <c r="Q28" s="446" t="str">
        <f>IF(VLOOKUP($A28,'Pre-Assessment Estimator'!$A$10:$Z$227,Q$2,FALSE)=0,"",VLOOKUP($A28,'Pre-Assessment Estimator'!$A$10:$Z$227,Q$2,FALSE))</f>
        <v/>
      </c>
      <c r="R28" s="446" t="str">
        <f>IF(VLOOKUP($A28,'Pre-Assessment Estimator'!$A$10:$Z$227,R$2,FALSE)=0,"",VLOOKUP($A28,'Pre-Assessment Estimator'!$A$10:$Z$227,R$2,FALSE))</f>
        <v/>
      </c>
      <c r="S28" s="447" t="str">
        <f>IF(VLOOKUP($A28,'Pre-Assessment Estimator'!$A$10:$Z$227,S$2,FALSE)=0,"",VLOOKUP($A28,'Pre-Assessment Estimator'!$A$10:$Z$227,S$2,FALSE))</f>
        <v/>
      </c>
      <c r="T28" s="450"/>
      <c r="U28" s="449" t="str">
        <f>IF(VLOOKUP($A28,'Pre-Assessment Estimator'!$A$10:$Z$227,U$2,FALSE)=0,"",VLOOKUP($A28,'Pre-Assessment Estimator'!$A$10:$Z$227,U$2,FALSE))</f>
        <v/>
      </c>
      <c r="V28" s="444">
        <f>VLOOKUP($A28,'Pre-Assessment Estimator'!$A$10:$Z$227,V$2,FALSE)</f>
        <v>0</v>
      </c>
      <c r="W28" s="443" t="str">
        <f>VLOOKUP($A28,'Pre-Assessment Estimator'!$A$10:$Z$227,W$2,FALSE)</f>
        <v>Unclassified</v>
      </c>
      <c r="X28" s="446" t="str">
        <f>IF(VLOOKUP($A28,'Pre-Assessment Estimator'!$A$10:$Z$227,X$2,FALSE)=0,"",VLOOKUP($A28,'Pre-Assessment Estimator'!$A$10:$Z$227,X$2,FALSE))</f>
        <v/>
      </c>
      <c r="Y28" s="446" t="str">
        <f>IF(VLOOKUP($A28,'Pre-Assessment Estimator'!$A$10:$Z$227,Y$2,FALSE)=0,"",VLOOKUP($A28,'Pre-Assessment Estimator'!$A$10:$Z$227,Y$2,FALSE))</f>
        <v/>
      </c>
      <c r="Z28" s="313" t="str">
        <f>IF(VLOOKUP($A28,'Pre-Assessment Estimator'!$A$10:$Z$227,Z$2,FALSE)=0,"",VLOOKUP($A28,'Pre-Assessment Estimator'!$A$10:$Z$227,Z$2,FALSE))</f>
        <v/>
      </c>
      <c r="AA28" s="544">
        <v>19</v>
      </c>
      <c r="AB28" s="446"/>
      <c r="AF28" s="13">
        <f t="shared" si="0"/>
        <v>1</v>
      </c>
      <c r="AG28" s="342"/>
      <c r="AL28" s="14"/>
    </row>
    <row r="29" spans="1:38">
      <c r="A29" s="652">
        <v>20</v>
      </c>
      <c r="B29" s="958" t="s">
        <v>251</v>
      </c>
      <c r="C29" s="958"/>
      <c r="D29" s="980" t="str">
        <f>VLOOKUP($A29,'Pre-Assessment Estimator'!$A$10:$Z$227,D$2,FALSE)</f>
        <v>Man 04</v>
      </c>
      <c r="E29" s="981" t="str">
        <f>VLOOKUP($A29,'Pre-Assessment Estimator'!$A$10:$Z$227,E$2,FALSE)</f>
        <v>Commissioning - design, preperation and implementation</v>
      </c>
      <c r="F29" s="443">
        <f>VLOOKUP($A29,'Pre-Assessment Estimator'!$A$10:$Z$227,F$2,FALSE)</f>
        <v>1</v>
      </c>
      <c r="G29" s="449" t="str">
        <f>IF(VLOOKUP($A29,'Pre-Assessment Estimator'!$A$10:$Z$227,G$2,FALSE)=0,"",VLOOKUP($A29,'Pre-Assessment Estimator'!$A$10:$Z$227,G$2,FALSE))</f>
        <v/>
      </c>
      <c r="H29" s="444">
        <f>VLOOKUP($A29,'Pre-Assessment Estimator'!$A$10:$Z$227,H$2,FALSE)</f>
        <v>0</v>
      </c>
      <c r="I29" s="443" t="str">
        <f>VLOOKUP($A29,'Pre-Assessment Estimator'!$A$10:$Z$227,I$2,FALSE)</f>
        <v>N/A</v>
      </c>
      <c r="J29" s="446" t="str">
        <f>IF(VLOOKUP($A29,'Pre-Assessment Estimator'!$A$10:$Z$227,J$2,FALSE)=0,"",VLOOKUP($A29,'Pre-Assessment Estimator'!$A$10:$Z$227,J$2,FALSE))</f>
        <v/>
      </c>
      <c r="K29" s="446" t="str">
        <f>IF(VLOOKUP($A29,'Pre-Assessment Estimator'!$A$10:$Z$227,K$2,FALSE)=0,"",VLOOKUP($A29,'Pre-Assessment Estimator'!$A$10:$Z$227,K$2,FALSE))</f>
        <v/>
      </c>
      <c r="L29" s="447" t="str">
        <f>IF(VLOOKUP($A29,'Pre-Assessment Estimator'!$A$10:$Z$227,L$2,FALSE)=0,"",VLOOKUP($A29,'Pre-Assessment Estimator'!$A$10:$Z$227,L$2,FALSE))</f>
        <v/>
      </c>
      <c r="M29" s="448"/>
      <c r="N29" s="449" t="str">
        <f>IF(VLOOKUP($A29,'Pre-Assessment Estimator'!$A$10:$Z$227,N$2,FALSE)=0,"",VLOOKUP($A29,'Pre-Assessment Estimator'!$A$10:$Z$227,N$2,FALSE))</f>
        <v/>
      </c>
      <c r="O29" s="444">
        <f>VLOOKUP($A29,'Pre-Assessment Estimator'!$A$10:$Z$227,O$2,FALSE)</f>
        <v>0</v>
      </c>
      <c r="P29" s="443" t="str">
        <f>VLOOKUP($A29,'Pre-Assessment Estimator'!$A$10:$Z$227,P$2,FALSE)</f>
        <v>N/A</v>
      </c>
      <c r="Q29" s="446" t="str">
        <f>IF(VLOOKUP($A29,'Pre-Assessment Estimator'!$A$10:$Z$227,Q$2,FALSE)=0,"",VLOOKUP($A29,'Pre-Assessment Estimator'!$A$10:$Z$227,Q$2,FALSE))</f>
        <v/>
      </c>
      <c r="R29" s="446" t="str">
        <f>IF(VLOOKUP($A29,'Pre-Assessment Estimator'!$A$10:$Z$227,R$2,FALSE)=0,"",VLOOKUP($A29,'Pre-Assessment Estimator'!$A$10:$Z$227,R$2,FALSE))</f>
        <v/>
      </c>
      <c r="S29" s="447" t="str">
        <f>IF(VLOOKUP($A29,'Pre-Assessment Estimator'!$A$10:$Z$227,S$2,FALSE)=0,"",VLOOKUP($A29,'Pre-Assessment Estimator'!$A$10:$Z$227,S$2,FALSE))</f>
        <v/>
      </c>
      <c r="T29" s="450"/>
      <c r="U29" s="449" t="str">
        <f>IF(VLOOKUP($A29,'Pre-Assessment Estimator'!$A$10:$Z$227,U$2,FALSE)=0,"",VLOOKUP($A29,'Pre-Assessment Estimator'!$A$10:$Z$227,U$2,FALSE))</f>
        <v/>
      </c>
      <c r="V29" s="444">
        <f>VLOOKUP($A29,'Pre-Assessment Estimator'!$A$10:$Z$227,V$2,FALSE)</f>
        <v>0</v>
      </c>
      <c r="W29" s="443" t="str">
        <f>VLOOKUP($A29,'Pre-Assessment Estimator'!$A$10:$Z$227,W$2,FALSE)</f>
        <v>N/A</v>
      </c>
      <c r="X29" s="446" t="str">
        <f>IF(VLOOKUP($A29,'Pre-Assessment Estimator'!$A$10:$Z$227,X$2,FALSE)=0,"",VLOOKUP($A29,'Pre-Assessment Estimator'!$A$10:$Z$227,X$2,FALSE))</f>
        <v/>
      </c>
      <c r="Y29" s="446" t="str">
        <f>IF(VLOOKUP($A29,'Pre-Assessment Estimator'!$A$10:$Z$227,Y$2,FALSE)=0,"",VLOOKUP($A29,'Pre-Assessment Estimator'!$A$10:$Z$227,Y$2,FALSE))</f>
        <v/>
      </c>
      <c r="Z29" s="313" t="str">
        <f>IF(VLOOKUP($A29,'Pre-Assessment Estimator'!$A$10:$Z$227,Z$2,FALSE)=0,"",VLOOKUP($A29,'Pre-Assessment Estimator'!$A$10:$Z$227,Z$2,FALSE))</f>
        <v/>
      </c>
      <c r="AA29" s="544">
        <v>20</v>
      </c>
      <c r="AB29" s="446"/>
      <c r="AF29" s="13">
        <f t="shared" si="0"/>
        <v>1</v>
      </c>
      <c r="AG29" s="342"/>
      <c r="AL29" s="14"/>
    </row>
    <row r="30" spans="1:38">
      <c r="A30" s="652">
        <v>21</v>
      </c>
      <c r="B30" s="958" t="s">
        <v>251</v>
      </c>
      <c r="C30" s="958"/>
      <c r="D30" s="980" t="str">
        <f>VLOOKUP($A30,'Pre-Assessment Estimator'!$A$10:$Z$227,D$2,FALSE)</f>
        <v>Man 04</v>
      </c>
      <c r="E30" s="981" t="str">
        <f>VLOOKUP($A30,'Pre-Assessment Estimator'!$A$10:$Z$227,E$2,FALSE)</f>
        <v>Prepare for good handover</v>
      </c>
      <c r="F30" s="443">
        <f>VLOOKUP($A30,'Pre-Assessment Estimator'!$A$10:$Z$227,F$2,FALSE)</f>
        <v>1</v>
      </c>
      <c r="G30" s="449" t="str">
        <f>IF(VLOOKUP($A30,'Pre-Assessment Estimator'!$A$10:$Z$227,G$2,FALSE)=0,"",VLOOKUP($A30,'Pre-Assessment Estimator'!$A$10:$Z$227,G$2,FALSE))</f>
        <v/>
      </c>
      <c r="H30" s="444">
        <f>VLOOKUP($A30,'Pre-Assessment Estimator'!$A$10:$Z$227,H$2,FALSE)</f>
        <v>0</v>
      </c>
      <c r="I30" s="443" t="str">
        <f>VLOOKUP($A30,'Pre-Assessment Estimator'!$A$10:$Z$227,I$2,FALSE)</f>
        <v>Good</v>
      </c>
      <c r="J30" s="446" t="str">
        <f>IF(VLOOKUP($A30,'Pre-Assessment Estimator'!$A$10:$Z$227,J$2,FALSE)=0,"",VLOOKUP($A30,'Pre-Assessment Estimator'!$A$10:$Z$227,J$2,FALSE))</f>
        <v/>
      </c>
      <c r="K30" s="446" t="str">
        <f>IF(VLOOKUP($A30,'Pre-Assessment Estimator'!$A$10:$Z$227,K$2,FALSE)=0,"",VLOOKUP($A30,'Pre-Assessment Estimator'!$A$10:$Z$227,K$2,FALSE))</f>
        <v/>
      </c>
      <c r="L30" s="447" t="str">
        <f>IF(VLOOKUP($A30,'Pre-Assessment Estimator'!$A$10:$Z$227,L$2,FALSE)=0,"",VLOOKUP($A30,'Pre-Assessment Estimator'!$A$10:$Z$227,L$2,FALSE))</f>
        <v/>
      </c>
      <c r="M30" s="448"/>
      <c r="N30" s="449" t="str">
        <f>IF(VLOOKUP($A30,'Pre-Assessment Estimator'!$A$10:$Z$227,N$2,FALSE)=0,"",VLOOKUP($A30,'Pre-Assessment Estimator'!$A$10:$Z$227,N$2,FALSE))</f>
        <v/>
      </c>
      <c r="O30" s="444">
        <f>VLOOKUP($A30,'Pre-Assessment Estimator'!$A$10:$Z$227,O$2,FALSE)</f>
        <v>0</v>
      </c>
      <c r="P30" s="443" t="str">
        <f>VLOOKUP($A30,'Pre-Assessment Estimator'!$A$10:$Z$227,P$2,FALSE)</f>
        <v>Good</v>
      </c>
      <c r="Q30" s="446" t="str">
        <f>IF(VLOOKUP($A30,'Pre-Assessment Estimator'!$A$10:$Z$227,Q$2,FALSE)=0,"",VLOOKUP($A30,'Pre-Assessment Estimator'!$A$10:$Z$227,Q$2,FALSE))</f>
        <v/>
      </c>
      <c r="R30" s="446" t="str">
        <f>IF(VLOOKUP($A30,'Pre-Assessment Estimator'!$A$10:$Z$227,R$2,FALSE)=0,"",VLOOKUP($A30,'Pre-Assessment Estimator'!$A$10:$Z$227,R$2,FALSE))</f>
        <v/>
      </c>
      <c r="S30" s="447" t="str">
        <f>IF(VLOOKUP($A30,'Pre-Assessment Estimator'!$A$10:$Z$227,S$2,FALSE)=0,"",VLOOKUP($A30,'Pre-Assessment Estimator'!$A$10:$Z$227,S$2,FALSE))</f>
        <v/>
      </c>
      <c r="T30" s="450"/>
      <c r="U30" s="449" t="str">
        <f>IF(VLOOKUP($A30,'Pre-Assessment Estimator'!$A$10:$Z$227,U$2,FALSE)=0,"",VLOOKUP($A30,'Pre-Assessment Estimator'!$A$10:$Z$227,U$2,FALSE))</f>
        <v/>
      </c>
      <c r="V30" s="444">
        <f>VLOOKUP($A30,'Pre-Assessment Estimator'!$A$10:$Z$227,V$2,FALSE)</f>
        <v>0</v>
      </c>
      <c r="W30" s="443" t="str">
        <f>VLOOKUP($A30,'Pre-Assessment Estimator'!$A$10:$Z$227,W$2,FALSE)</f>
        <v>Good</v>
      </c>
      <c r="X30" s="446" t="str">
        <f>IF(VLOOKUP($A30,'Pre-Assessment Estimator'!$A$10:$Z$227,X$2,FALSE)=0,"",VLOOKUP($A30,'Pre-Assessment Estimator'!$A$10:$Z$227,X$2,FALSE))</f>
        <v/>
      </c>
      <c r="Y30" s="446" t="str">
        <f>IF(VLOOKUP($A30,'Pre-Assessment Estimator'!$A$10:$Z$227,Y$2,FALSE)=0,"",VLOOKUP($A30,'Pre-Assessment Estimator'!$A$10:$Z$227,Y$2,FALSE))</f>
        <v/>
      </c>
      <c r="Z30" s="313" t="str">
        <f>IF(VLOOKUP($A30,'Pre-Assessment Estimator'!$A$10:$Z$227,Z$2,FALSE)=0,"",VLOOKUP($A30,'Pre-Assessment Estimator'!$A$10:$Z$227,Z$2,FALSE))</f>
        <v/>
      </c>
      <c r="AA30" s="544">
        <v>21</v>
      </c>
      <c r="AB30" s="446"/>
      <c r="AF30" s="13">
        <f t="shared" si="0"/>
        <v>1</v>
      </c>
      <c r="AG30" s="342"/>
      <c r="AL30" s="14"/>
    </row>
    <row r="31" spans="1:38">
      <c r="A31" s="652">
        <v>22</v>
      </c>
      <c r="B31" s="958" t="s">
        <v>251</v>
      </c>
      <c r="C31" s="958"/>
      <c r="D31" s="979" t="str">
        <f>VLOOKUP($A31,'Pre-Assessment Estimator'!$A$10:$Z$227,D$2,FALSE)</f>
        <v>Man 05</v>
      </c>
      <c r="E31" s="979" t="str">
        <f>VLOOKUP($A31,'Pre-Assessment Estimator'!$A$10:$Z$227,E$2,FALSE)</f>
        <v>Man 05 Aftercare</v>
      </c>
      <c r="F31" s="443">
        <f>VLOOKUP($A31,'Pre-Assessment Estimator'!$A$10:$Z$227,F$2,FALSE)</f>
        <v>3</v>
      </c>
      <c r="G31" s="449" t="str">
        <f>IF(VLOOKUP($A31,'Pre-Assessment Estimator'!$A$10:$Z$227,G$2,FALSE)=0,"",VLOOKUP($A31,'Pre-Assessment Estimator'!$A$10:$Z$227,G$2,FALSE))</f>
        <v/>
      </c>
      <c r="H31" s="444" t="str">
        <f>VLOOKUP($A31,'Pre-Assessment Estimator'!$A$10:$Z$227,H$2,FALSE)</f>
        <v>0 c. 0 %</v>
      </c>
      <c r="I31" s="443" t="str">
        <f>VLOOKUP($A31,'Pre-Assessment Estimator'!$A$10:$Z$227,I$2,FALSE)</f>
        <v>N/A</v>
      </c>
      <c r="J31" s="446" t="str">
        <f>IF(VLOOKUP($A31,'Pre-Assessment Estimator'!$A$10:$Z$227,J$2,FALSE)=0,"",VLOOKUP($A31,'Pre-Assessment Estimator'!$A$10:$Z$227,J$2,FALSE))</f>
        <v/>
      </c>
      <c r="K31" s="446" t="str">
        <f>IF(VLOOKUP($A31,'Pre-Assessment Estimator'!$A$10:$Z$227,K$2,FALSE)=0,"",VLOOKUP($A31,'Pre-Assessment Estimator'!$A$10:$Z$227,K$2,FALSE))</f>
        <v/>
      </c>
      <c r="L31" s="447" t="str">
        <f>IF(VLOOKUP($A31,'Pre-Assessment Estimator'!$A$10:$Z$227,L$2,FALSE)=0,"",VLOOKUP($A31,'Pre-Assessment Estimator'!$A$10:$Z$227,L$2,FALSE))</f>
        <v/>
      </c>
      <c r="M31" s="448"/>
      <c r="N31" s="449" t="str">
        <f>IF(VLOOKUP($A31,'Pre-Assessment Estimator'!$A$10:$Z$227,N$2,FALSE)=0,"",VLOOKUP($A31,'Pre-Assessment Estimator'!$A$10:$Z$227,N$2,FALSE))</f>
        <v/>
      </c>
      <c r="O31" s="444" t="str">
        <f>VLOOKUP($A31,'Pre-Assessment Estimator'!$A$10:$Z$227,O$2,FALSE)</f>
        <v>0 c. 0 %</v>
      </c>
      <c r="P31" s="443" t="str">
        <f>VLOOKUP($A31,'Pre-Assessment Estimator'!$A$10:$Z$227,P$2,FALSE)</f>
        <v>N/A</v>
      </c>
      <c r="Q31" s="446" t="str">
        <f>IF(VLOOKUP($A31,'Pre-Assessment Estimator'!$A$10:$Z$227,Q$2,FALSE)=0,"",VLOOKUP($A31,'Pre-Assessment Estimator'!$A$10:$Z$227,Q$2,FALSE))</f>
        <v/>
      </c>
      <c r="R31" s="446" t="str">
        <f>IF(VLOOKUP($A31,'Pre-Assessment Estimator'!$A$10:$Z$227,R$2,FALSE)=0,"",VLOOKUP($A31,'Pre-Assessment Estimator'!$A$10:$Z$227,R$2,FALSE))</f>
        <v/>
      </c>
      <c r="S31" s="447" t="str">
        <f>IF(VLOOKUP($A31,'Pre-Assessment Estimator'!$A$10:$Z$227,S$2,FALSE)=0,"",VLOOKUP($A31,'Pre-Assessment Estimator'!$A$10:$Z$227,S$2,FALSE))</f>
        <v/>
      </c>
      <c r="T31" s="450"/>
      <c r="U31" s="449" t="str">
        <f>IF(VLOOKUP($A31,'Pre-Assessment Estimator'!$A$10:$Z$227,U$2,FALSE)=0,"",VLOOKUP($A31,'Pre-Assessment Estimator'!$A$10:$Z$227,U$2,FALSE))</f>
        <v/>
      </c>
      <c r="V31" s="444" t="str">
        <f>VLOOKUP($A31,'Pre-Assessment Estimator'!$A$10:$Z$227,V$2,FALSE)</f>
        <v>0 c. 0 %</v>
      </c>
      <c r="W31" s="443" t="str">
        <f>VLOOKUP($A31,'Pre-Assessment Estimator'!$A$10:$Z$227,W$2,FALSE)</f>
        <v>N/A</v>
      </c>
      <c r="X31" s="446" t="str">
        <f>IF(VLOOKUP($A31,'Pre-Assessment Estimator'!$A$10:$Z$227,X$2,FALSE)=0,"",VLOOKUP($A31,'Pre-Assessment Estimator'!$A$10:$Z$227,X$2,FALSE))</f>
        <v/>
      </c>
      <c r="Y31" s="446" t="str">
        <f>IF(VLOOKUP($A31,'Pre-Assessment Estimator'!$A$10:$Z$227,Y$2,FALSE)=0,"",VLOOKUP($A31,'Pre-Assessment Estimator'!$A$10:$Z$227,Y$2,FALSE))</f>
        <v/>
      </c>
      <c r="Z31" s="313" t="str">
        <f>IF(VLOOKUP($A31,'Pre-Assessment Estimator'!$A$10:$Z$227,Z$2,FALSE)=0,"",VLOOKUP($A31,'Pre-Assessment Estimator'!$A$10:$Z$227,Z$2,FALSE))</f>
        <v/>
      </c>
      <c r="AA31" s="544">
        <v>22</v>
      </c>
      <c r="AB31" s="446"/>
      <c r="AF31" s="13">
        <f t="shared" si="0"/>
        <v>1</v>
      </c>
      <c r="AG31" s="342"/>
      <c r="AL31" s="14"/>
    </row>
    <row r="32" spans="1:38">
      <c r="A32" s="652">
        <v>23</v>
      </c>
      <c r="B32" s="958" t="s">
        <v>251</v>
      </c>
      <c r="C32" s="958"/>
      <c r="D32" s="980" t="str">
        <f>VLOOKUP($A32,'Pre-Assessment Estimator'!$A$10:$Z$227,D$2,FALSE)</f>
        <v>Man 05</v>
      </c>
      <c r="E32" s="981" t="str">
        <f>VLOOKUP($A32,'Pre-Assessment Estimator'!$A$10:$Z$227,E$2,FALSE)</f>
        <v>Aftercare support</v>
      </c>
      <c r="F32" s="443">
        <f>VLOOKUP($A32,'Pre-Assessment Estimator'!$A$10:$Z$227,F$2,FALSE)</f>
        <v>1</v>
      </c>
      <c r="G32" s="449" t="str">
        <f>IF(VLOOKUP($A32,'Pre-Assessment Estimator'!$A$10:$Z$227,G$2,FALSE)=0,"",VLOOKUP($A32,'Pre-Assessment Estimator'!$A$10:$Z$227,G$2,FALSE))</f>
        <v/>
      </c>
      <c r="H32" s="444">
        <f>VLOOKUP($A32,'Pre-Assessment Estimator'!$A$10:$Z$227,H$2,FALSE)</f>
        <v>0</v>
      </c>
      <c r="I32" s="443" t="str">
        <f>VLOOKUP($A32,'Pre-Assessment Estimator'!$A$10:$Z$227,I$2,FALSE)</f>
        <v>N/A</v>
      </c>
      <c r="J32" s="446" t="str">
        <f>IF(VLOOKUP($A32,'Pre-Assessment Estimator'!$A$10:$Z$227,J$2,FALSE)=0,"",VLOOKUP($A32,'Pre-Assessment Estimator'!$A$10:$Z$227,J$2,FALSE))</f>
        <v/>
      </c>
      <c r="K32" s="446" t="str">
        <f>IF(VLOOKUP($A32,'Pre-Assessment Estimator'!$A$10:$Z$227,K$2,FALSE)=0,"",VLOOKUP($A32,'Pre-Assessment Estimator'!$A$10:$Z$227,K$2,FALSE))</f>
        <v/>
      </c>
      <c r="L32" s="447" t="str">
        <f>IF(VLOOKUP($A32,'Pre-Assessment Estimator'!$A$10:$Z$227,L$2,FALSE)=0,"",VLOOKUP($A32,'Pre-Assessment Estimator'!$A$10:$Z$227,L$2,FALSE))</f>
        <v/>
      </c>
      <c r="M32" s="448"/>
      <c r="N32" s="449" t="str">
        <f>IF(VLOOKUP($A32,'Pre-Assessment Estimator'!$A$10:$Z$227,N$2,FALSE)=0,"",VLOOKUP($A32,'Pre-Assessment Estimator'!$A$10:$Z$227,N$2,FALSE))</f>
        <v/>
      </c>
      <c r="O32" s="444">
        <f>VLOOKUP($A32,'Pre-Assessment Estimator'!$A$10:$Z$227,O$2,FALSE)</f>
        <v>0</v>
      </c>
      <c r="P32" s="443" t="str">
        <f>VLOOKUP($A32,'Pre-Assessment Estimator'!$A$10:$Z$227,P$2,FALSE)</f>
        <v>N/A</v>
      </c>
      <c r="Q32" s="446" t="str">
        <f>IF(VLOOKUP($A32,'Pre-Assessment Estimator'!$A$10:$Z$227,Q$2,FALSE)=0,"",VLOOKUP($A32,'Pre-Assessment Estimator'!$A$10:$Z$227,Q$2,FALSE))</f>
        <v/>
      </c>
      <c r="R32" s="446" t="str">
        <f>IF(VLOOKUP($A32,'Pre-Assessment Estimator'!$A$10:$Z$227,R$2,FALSE)=0,"",VLOOKUP($A32,'Pre-Assessment Estimator'!$A$10:$Z$227,R$2,FALSE))</f>
        <v/>
      </c>
      <c r="S32" s="447" t="str">
        <f>IF(VLOOKUP($A32,'Pre-Assessment Estimator'!$A$10:$Z$227,S$2,FALSE)=0,"",VLOOKUP($A32,'Pre-Assessment Estimator'!$A$10:$Z$227,S$2,FALSE))</f>
        <v/>
      </c>
      <c r="T32" s="450"/>
      <c r="U32" s="449" t="str">
        <f>IF(VLOOKUP($A32,'Pre-Assessment Estimator'!$A$10:$Z$227,U$2,FALSE)=0,"",VLOOKUP($A32,'Pre-Assessment Estimator'!$A$10:$Z$227,U$2,FALSE))</f>
        <v/>
      </c>
      <c r="V32" s="444">
        <f>VLOOKUP($A32,'Pre-Assessment Estimator'!$A$10:$Z$227,V$2,FALSE)</f>
        <v>0</v>
      </c>
      <c r="W32" s="443" t="str">
        <f>VLOOKUP($A32,'Pre-Assessment Estimator'!$A$10:$Z$227,W$2,FALSE)</f>
        <v>N/A</v>
      </c>
      <c r="X32" s="446" t="str">
        <f>IF(VLOOKUP($A32,'Pre-Assessment Estimator'!$A$10:$Z$227,X$2,FALSE)=0,"",VLOOKUP($A32,'Pre-Assessment Estimator'!$A$10:$Z$227,X$2,FALSE))</f>
        <v/>
      </c>
      <c r="Y32" s="446" t="str">
        <f>IF(VLOOKUP($A32,'Pre-Assessment Estimator'!$A$10:$Z$227,Y$2,FALSE)=0,"",VLOOKUP($A32,'Pre-Assessment Estimator'!$A$10:$Z$227,Y$2,FALSE))</f>
        <v/>
      </c>
      <c r="Z32" s="313" t="str">
        <f>IF(VLOOKUP($A32,'Pre-Assessment Estimator'!$A$10:$Z$227,Z$2,FALSE)=0,"",VLOOKUP($A32,'Pre-Assessment Estimator'!$A$10:$Z$227,Z$2,FALSE))</f>
        <v/>
      </c>
      <c r="AA32" s="544">
        <v>23</v>
      </c>
      <c r="AB32" s="446"/>
      <c r="AF32" s="13">
        <f t="shared" si="0"/>
        <v>1</v>
      </c>
      <c r="AG32" s="342"/>
      <c r="AL32" s="14"/>
    </row>
    <row r="33" spans="1:42">
      <c r="A33" s="652">
        <v>24</v>
      </c>
      <c r="B33" s="958" t="s">
        <v>251</v>
      </c>
      <c r="C33" s="958"/>
      <c r="D33" s="980" t="str">
        <f>VLOOKUP($A33,'Pre-Assessment Estimator'!$A$10:$Z$227,D$2,FALSE)</f>
        <v>Man 05</v>
      </c>
      <c r="E33" s="981" t="str">
        <f>VLOOKUP($A33,'Pre-Assessment Estimator'!$A$10:$Z$227,E$2,FALSE)</f>
        <v>Sesonal commisioning</v>
      </c>
      <c r="F33" s="443">
        <f>VLOOKUP($A33,'Pre-Assessment Estimator'!$A$10:$Z$227,F$2,FALSE)</f>
        <v>1</v>
      </c>
      <c r="G33" s="449" t="str">
        <f>IF(VLOOKUP($A33,'Pre-Assessment Estimator'!$A$10:$Z$227,G$2,FALSE)=0,"",VLOOKUP($A33,'Pre-Assessment Estimator'!$A$10:$Z$227,G$2,FALSE))</f>
        <v/>
      </c>
      <c r="H33" s="444">
        <f>VLOOKUP($A33,'Pre-Assessment Estimator'!$A$10:$Z$227,H$2,FALSE)</f>
        <v>0</v>
      </c>
      <c r="I33" s="443" t="str">
        <f>VLOOKUP($A33,'Pre-Assessment Estimator'!$A$10:$Z$227,I$2,FALSE)</f>
        <v>Very Good</v>
      </c>
      <c r="J33" s="446" t="str">
        <f>IF(VLOOKUP($A33,'Pre-Assessment Estimator'!$A$10:$Z$227,J$2,FALSE)=0,"",VLOOKUP($A33,'Pre-Assessment Estimator'!$A$10:$Z$227,J$2,FALSE))</f>
        <v/>
      </c>
      <c r="K33" s="446" t="str">
        <f>IF(VLOOKUP($A33,'Pre-Assessment Estimator'!$A$10:$Z$227,K$2,FALSE)=0,"",VLOOKUP($A33,'Pre-Assessment Estimator'!$A$10:$Z$227,K$2,FALSE))</f>
        <v/>
      </c>
      <c r="L33" s="447" t="str">
        <f>IF(VLOOKUP($A33,'Pre-Assessment Estimator'!$A$10:$Z$227,L$2,FALSE)=0,"",VLOOKUP($A33,'Pre-Assessment Estimator'!$A$10:$Z$227,L$2,FALSE))</f>
        <v/>
      </c>
      <c r="M33" s="448"/>
      <c r="N33" s="449" t="str">
        <f>IF(VLOOKUP($A33,'Pre-Assessment Estimator'!$A$10:$Z$227,N$2,FALSE)=0,"",VLOOKUP($A33,'Pre-Assessment Estimator'!$A$10:$Z$227,N$2,FALSE))</f>
        <v/>
      </c>
      <c r="O33" s="444">
        <f>VLOOKUP($A33,'Pre-Assessment Estimator'!$A$10:$Z$227,O$2,FALSE)</f>
        <v>0</v>
      </c>
      <c r="P33" s="443" t="str">
        <f>VLOOKUP($A33,'Pre-Assessment Estimator'!$A$10:$Z$227,P$2,FALSE)</f>
        <v>Very Good</v>
      </c>
      <c r="Q33" s="446" t="str">
        <f>IF(VLOOKUP($A33,'Pre-Assessment Estimator'!$A$10:$Z$227,Q$2,FALSE)=0,"",VLOOKUP($A33,'Pre-Assessment Estimator'!$A$10:$Z$227,Q$2,FALSE))</f>
        <v/>
      </c>
      <c r="R33" s="446" t="str">
        <f>IF(VLOOKUP($A33,'Pre-Assessment Estimator'!$A$10:$Z$227,R$2,FALSE)=0,"",VLOOKUP($A33,'Pre-Assessment Estimator'!$A$10:$Z$227,R$2,FALSE))</f>
        <v/>
      </c>
      <c r="S33" s="447" t="str">
        <f>IF(VLOOKUP($A33,'Pre-Assessment Estimator'!$A$10:$Z$227,S$2,FALSE)=0,"",VLOOKUP($A33,'Pre-Assessment Estimator'!$A$10:$Z$227,S$2,FALSE))</f>
        <v/>
      </c>
      <c r="T33" s="450"/>
      <c r="U33" s="449" t="str">
        <f>IF(VLOOKUP($A33,'Pre-Assessment Estimator'!$A$10:$Z$227,U$2,FALSE)=0,"",VLOOKUP($A33,'Pre-Assessment Estimator'!$A$10:$Z$227,U$2,FALSE))</f>
        <v/>
      </c>
      <c r="V33" s="444">
        <f>VLOOKUP($A33,'Pre-Assessment Estimator'!$A$10:$Z$227,V$2,FALSE)</f>
        <v>0</v>
      </c>
      <c r="W33" s="443" t="str">
        <f>VLOOKUP($A33,'Pre-Assessment Estimator'!$A$10:$Z$227,W$2,FALSE)</f>
        <v>Very Good</v>
      </c>
      <c r="X33" s="446" t="str">
        <f>IF(VLOOKUP($A33,'Pre-Assessment Estimator'!$A$10:$Z$227,X$2,FALSE)=0,"",VLOOKUP($A33,'Pre-Assessment Estimator'!$A$10:$Z$227,X$2,FALSE))</f>
        <v/>
      </c>
      <c r="Y33" s="446" t="str">
        <f>IF(VLOOKUP($A33,'Pre-Assessment Estimator'!$A$10:$Z$227,Y$2,FALSE)=0,"",VLOOKUP($A33,'Pre-Assessment Estimator'!$A$10:$Z$227,Y$2,FALSE))</f>
        <v/>
      </c>
      <c r="Z33" s="313" t="str">
        <f>IF(VLOOKUP($A33,'Pre-Assessment Estimator'!$A$10:$Z$227,Z$2,FALSE)=0,"",VLOOKUP($A33,'Pre-Assessment Estimator'!$A$10:$Z$227,Z$2,FALSE))</f>
        <v/>
      </c>
      <c r="AA33" s="544">
        <v>24</v>
      </c>
      <c r="AB33" s="446"/>
      <c r="AF33" s="13">
        <f t="shared" si="0"/>
        <v>1</v>
      </c>
      <c r="AG33" s="342"/>
      <c r="AL33" s="14"/>
    </row>
    <row r="34" spans="1:42">
      <c r="A34" s="652">
        <v>25</v>
      </c>
      <c r="B34" s="958" t="s">
        <v>251</v>
      </c>
      <c r="C34" s="958"/>
      <c r="D34" s="980" t="str">
        <f>VLOOKUP($A34,'Pre-Assessment Estimator'!$A$10:$Z$227,D$2,FALSE)</f>
        <v>Man 05</v>
      </c>
      <c r="E34" s="981" t="str">
        <f>VLOOKUP($A34,'Pre-Assessment Estimator'!$A$10:$Z$227,E$2,FALSE)</f>
        <v>Post-occypancy evaluation</v>
      </c>
      <c r="F34" s="443">
        <f>VLOOKUP($A34,'Pre-Assessment Estimator'!$A$10:$Z$227,F$2,FALSE)</f>
        <v>1</v>
      </c>
      <c r="G34" s="449" t="str">
        <f>IF(VLOOKUP($A34,'Pre-Assessment Estimator'!$A$10:$Z$227,G$2,FALSE)=0,"",VLOOKUP($A34,'Pre-Assessment Estimator'!$A$10:$Z$227,G$2,FALSE))</f>
        <v/>
      </c>
      <c r="H34" s="444">
        <f>VLOOKUP($A34,'Pre-Assessment Estimator'!$A$10:$Z$227,H$2,FALSE)</f>
        <v>0</v>
      </c>
      <c r="I34" s="443" t="str">
        <f>VLOOKUP($A34,'Pre-Assessment Estimator'!$A$10:$Z$227,I$2,FALSE)</f>
        <v>N/A</v>
      </c>
      <c r="J34" s="446" t="str">
        <f>IF(VLOOKUP($A34,'Pre-Assessment Estimator'!$A$10:$Z$227,J$2,FALSE)=0,"",VLOOKUP($A34,'Pre-Assessment Estimator'!$A$10:$Z$227,J$2,FALSE))</f>
        <v/>
      </c>
      <c r="K34" s="446" t="str">
        <f>IF(VLOOKUP($A34,'Pre-Assessment Estimator'!$A$10:$Z$227,K$2,FALSE)=0,"",VLOOKUP($A34,'Pre-Assessment Estimator'!$A$10:$Z$227,K$2,FALSE))</f>
        <v/>
      </c>
      <c r="L34" s="447" t="str">
        <f>IF(VLOOKUP($A34,'Pre-Assessment Estimator'!$A$10:$Z$227,L$2,FALSE)=0,"",VLOOKUP($A34,'Pre-Assessment Estimator'!$A$10:$Z$227,L$2,FALSE))</f>
        <v/>
      </c>
      <c r="M34" s="448"/>
      <c r="N34" s="449" t="str">
        <f>IF(VLOOKUP($A34,'Pre-Assessment Estimator'!$A$10:$Z$227,N$2,FALSE)=0,"",VLOOKUP($A34,'Pre-Assessment Estimator'!$A$10:$Z$227,N$2,FALSE))</f>
        <v/>
      </c>
      <c r="O34" s="444">
        <f>VLOOKUP($A34,'Pre-Assessment Estimator'!$A$10:$Z$227,O$2,FALSE)</f>
        <v>0</v>
      </c>
      <c r="P34" s="443" t="str">
        <f>VLOOKUP($A34,'Pre-Assessment Estimator'!$A$10:$Z$227,P$2,FALSE)</f>
        <v>N/A</v>
      </c>
      <c r="Q34" s="446" t="str">
        <f>IF(VLOOKUP($A34,'Pre-Assessment Estimator'!$A$10:$Z$227,Q$2,FALSE)=0,"",VLOOKUP($A34,'Pre-Assessment Estimator'!$A$10:$Z$227,Q$2,FALSE))</f>
        <v/>
      </c>
      <c r="R34" s="446" t="str">
        <f>IF(VLOOKUP($A34,'Pre-Assessment Estimator'!$A$10:$Z$227,R$2,FALSE)=0,"",VLOOKUP($A34,'Pre-Assessment Estimator'!$A$10:$Z$227,R$2,FALSE))</f>
        <v/>
      </c>
      <c r="S34" s="447" t="str">
        <f>IF(VLOOKUP($A34,'Pre-Assessment Estimator'!$A$10:$Z$227,S$2,FALSE)=0,"",VLOOKUP($A34,'Pre-Assessment Estimator'!$A$10:$Z$227,S$2,FALSE))</f>
        <v/>
      </c>
      <c r="T34" s="450"/>
      <c r="U34" s="449" t="str">
        <f>IF(VLOOKUP($A34,'Pre-Assessment Estimator'!$A$10:$Z$227,U$2,FALSE)=0,"",VLOOKUP($A34,'Pre-Assessment Estimator'!$A$10:$Z$227,U$2,FALSE))</f>
        <v/>
      </c>
      <c r="V34" s="444">
        <f>VLOOKUP($A34,'Pre-Assessment Estimator'!$A$10:$Z$227,V$2,FALSE)</f>
        <v>0</v>
      </c>
      <c r="W34" s="443" t="str">
        <f>VLOOKUP($A34,'Pre-Assessment Estimator'!$A$10:$Z$227,W$2,FALSE)</f>
        <v>N/A</v>
      </c>
      <c r="X34" s="446" t="str">
        <f>IF(VLOOKUP($A34,'Pre-Assessment Estimator'!$A$10:$Z$227,X$2,FALSE)=0,"",VLOOKUP($A34,'Pre-Assessment Estimator'!$A$10:$Z$227,X$2,FALSE))</f>
        <v/>
      </c>
      <c r="Y34" s="446" t="str">
        <f>IF(VLOOKUP($A34,'Pre-Assessment Estimator'!$A$10:$Z$227,Y$2,FALSE)=0,"",VLOOKUP($A34,'Pre-Assessment Estimator'!$A$10:$Z$227,Y$2,FALSE))</f>
        <v/>
      </c>
      <c r="Z34" s="313" t="str">
        <f>IF(VLOOKUP($A34,'Pre-Assessment Estimator'!$A$10:$Z$227,Z$2,FALSE)=0,"",VLOOKUP($A34,'Pre-Assessment Estimator'!$A$10:$Z$227,Z$2,FALSE))</f>
        <v/>
      </c>
      <c r="AA34" s="544">
        <v>25</v>
      </c>
      <c r="AB34" s="446"/>
      <c r="AF34" s="13">
        <f t="shared" si="0"/>
        <v>1</v>
      </c>
      <c r="AG34" s="342"/>
      <c r="AL34" s="14"/>
    </row>
    <row r="35" spans="1:42" ht="30" customHeight="1" thickBot="1">
      <c r="A35" s="652">
        <v>26</v>
      </c>
      <c r="B35" s="958" t="s">
        <v>251</v>
      </c>
      <c r="C35" s="958"/>
      <c r="D35" s="982"/>
      <c r="E35" s="982" t="str">
        <f>VLOOKUP($A35,'Pre-Assessment Estimator'!$A$10:$Z$227,E$2,FALSE)</f>
        <v>Total performance management</v>
      </c>
      <c r="F35" s="451">
        <f>VLOOKUP($A35,'Pre-Assessment Estimator'!$A$10:$Z$227,F$2,FALSE)</f>
        <v>21</v>
      </c>
      <c r="G35" s="453" t="str">
        <f>IF(VLOOKUP($A35,'Pre-Assessment Estimator'!$A$10:$Z$227,G$2,FALSE)=0,"",VLOOKUP($A35,'Pre-Assessment Estimator'!$A$10:$Z$227,G$2,FALSE))</f>
        <v/>
      </c>
      <c r="H35" s="452">
        <f>VLOOKUP($A35,'Pre-Assessment Estimator'!$A$10:$Z$227,H$2,FALSE)</f>
        <v>0</v>
      </c>
      <c r="I35" s="451" t="str">
        <f>VLOOKUP($A35,'Pre-Assessment Estimator'!$A$10:$Z$227,I$2,FALSE)</f>
        <v>Credits achieved: 0</v>
      </c>
      <c r="J35" s="930" t="str">
        <f>IF(VLOOKUP($A35,'Pre-Assessment Estimator'!$A$10:$Z$227,J$2,FALSE)=0,"",VLOOKUP($A35,'Pre-Assessment Estimator'!$A$10:$Z$227,J$2,FALSE))</f>
        <v/>
      </c>
      <c r="K35" s="930" t="str">
        <f>IF(VLOOKUP($A35,'Pre-Assessment Estimator'!$A$10:$Z$227,K$2,FALSE)=0,"",VLOOKUP($A35,'Pre-Assessment Estimator'!$A$10:$Z$227,K$2,FALSE))</f>
        <v/>
      </c>
      <c r="L35" s="949" t="str">
        <f>IF(VLOOKUP($A35,'Pre-Assessment Estimator'!$A$10:$Z$227,L$2,FALSE)=0,"",VLOOKUP($A35,'Pre-Assessment Estimator'!$A$10:$Z$227,L$2,FALSE))</f>
        <v/>
      </c>
      <c r="M35" s="950"/>
      <c r="N35" s="453" t="str">
        <f>IF(VLOOKUP($A35,'Pre-Assessment Estimator'!$A$10:$Z$227,N$2,FALSE)=0,"",VLOOKUP($A35,'Pre-Assessment Estimator'!$A$10:$Z$227,N$2,FALSE))</f>
        <v/>
      </c>
      <c r="O35" s="452">
        <f>VLOOKUP($A35,'Pre-Assessment Estimator'!$A$10:$Z$227,O$2,FALSE)</f>
        <v>0</v>
      </c>
      <c r="P35" s="451" t="str">
        <f>VLOOKUP($A35,'Pre-Assessment Estimator'!$A$10:$Z$227,P$2,FALSE)</f>
        <v>Credits achieved: 0</v>
      </c>
      <c r="Q35" s="930" t="str">
        <f>IF(VLOOKUP($A35,'Pre-Assessment Estimator'!$A$10:$Z$227,Q$2,FALSE)=0,"",VLOOKUP($A35,'Pre-Assessment Estimator'!$A$10:$Z$227,Q$2,FALSE))</f>
        <v/>
      </c>
      <c r="R35" s="930" t="str">
        <f>IF(VLOOKUP($A35,'Pre-Assessment Estimator'!$A$10:$Z$227,R$2,FALSE)=0,"",VLOOKUP($A35,'Pre-Assessment Estimator'!$A$10:$Z$227,R$2,FALSE))</f>
        <v/>
      </c>
      <c r="S35" s="949" t="str">
        <f>IF(VLOOKUP($A35,'Pre-Assessment Estimator'!$A$10:$Z$227,S$2,FALSE)=0,"",VLOOKUP($A35,'Pre-Assessment Estimator'!$A$10:$Z$227,S$2,FALSE))</f>
        <v/>
      </c>
      <c r="T35" s="951"/>
      <c r="U35" s="453" t="str">
        <f>IF(VLOOKUP($A35,'Pre-Assessment Estimator'!$A$10:$Z$227,U$2,FALSE)=0,"",VLOOKUP($A35,'Pre-Assessment Estimator'!$A$10:$Z$227,U$2,FALSE))</f>
        <v/>
      </c>
      <c r="V35" s="452">
        <f>VLOOKUP($A35,'Pre-Assessment Estimator'!$A$10:$Z$227,V$2,FALSE)</f>
        <v>0</v>
      </c>
      <c r="W35" s="451" t="str">
        <f>VLOOKUP($A35,'Pre-Assessment Estimator'!$A$10:$Z$227,W$2,FALSE)</f>
        <v>Credits achieved: 0</v>
      </c>
      <c r="X35" s="930" t="str">
        <f>IF(VLOOKUP($A35,'Pre-Assessment Estimator'!$A$10:$Z$227,X$2,FALSE)=0,"",VLOOKUP($A35,'Pre-Assessment Estimator'!$A$10:$Z$227,X$2,FALSE))</f>
        <v/>
      </c>
      <c r="Y35" s="930" t="str">
        <f>IF(VLOOKUP($A35,'Pre-Assessment Estimator'!$A$10:$Z$227,Y$2,FALSE)=0,"",VLOOKUP($A35,'Pre-Assessment Estimator'!$A$10:$Z$227,Y$2,FALSE))</f>
        <v/>
      </c>
      <c r="Z35" s="952" t="str">
        <f>IF(VLOOKUP($A35,'Pre-Assessment Estimator'!$A$10:$Z$227,Z$2,FALSE)=0,"",VLOOKUP($A35,'Pre-Assessment Estimator'!$A$10:$Z$227,Z$2,FALSE))</f>
        <v/>
      </c>
      <c r="AA35" s="544">
        <v>26</v>
      </c>
      <c r="AB35" s="446" t="str">
        <f>IF(VLOOKUP($A35,'Pre-Assessment Estimator'!$A$10:$AB$227,AB$2,FALSE)=0,"",VLOOKUP($A35,'Pre-Assessment Estimator'!$A$10:$AB$227,AB$2,FALSE))</f>
        <v/>
      </c>
      <c r="AF35" s="13">
        <f t="shared" si="0"/>
        <v>1</v>
      </c>
      <c r="AG35" s="342"/>
      <c r="AL35" s="14"/>
    </row>
    <row r="36" spans="1:42">
      <c r="A36" s="652">
        <v>27</v>
      </c>
      <c r="B36" s="958" t="s">
        <v>251</v>
      </c>
      <c r="C36" s="958"/>
      <c r="D36" s="454"/>
      <c r="E36" s="454"/>
      <c r="F36" s="455"/>
      <c r="G36" s="455"/>
      <c r="H36" s="455"/>
      <c r="I36" s="455"/>
      <c r="J36" s="454"/>
      <c r="K36" s="455"/>
      <c r="L36" s="454"/>
      <c r="M36" s="448"/>
      <c r="N36" s="455"/>
      <c r="O36" s="455"/>
      <c r="P36" s="455"/>
      <c r="Q36" s="454"/>
      <c r="R36" s="455"/>
      <c r="S36" s="454"/>
      <c r="T36" s="450"/>
      <c r="U36" s="455"/>
      <c r="V36" s="455"/>
      <c r="W36" s="455"/>
      <c r="X36" s="454"/>
      <c r="Y36" s="455"/>
      <c r="Z36" s="291"/>
      <c r="AA36" s="544">
        <v>27</v>
      </c>
      <c r="AB36" s="454"/>
      <c r="AF36" s="13">
        <f t="shared" si="0"/>
        <v>1</v>
      </c>
      <c r="AL36" s="14"/>
      <c r="AN36" s="13"/>
      <c r="AP36" s="13"/>
    </row>
    <row r="37" spans="1:42" ht="18.75">
      <c r="A37" s="652">
        <v>28</v>
      </c>
      <c r="B37" s="958" t="s">
        <v>286</v>
      </c>
      <c r="C37" s="958"/>
      <c r="D37" s="456"/>
      <c r="E37" s="456" t="s">
        <v>286</v>
      </c>
      <c r="F37" s="439"/>
      <c r="G37" s="439"/>
      <c r="H37" s="439"/>
      <c r="I37" s="439"/>
      <c r="J37" s="440" t="str">
        <f>IF(VLOOKUP($A37,'Pre-Assessment Estimator'!$A$10:$Z$227,J$2,FALSE)=0,"",VLOOKUP($A37,'Pre-Assessment Estimator'!$A$10:$Z$227,J$2,FALSE))</f>
        <v/>
      </c>
      <c r="K37" s="439" t="str">
        <f>IF(VLOOKUP($A37,'Pre-Assessment Estimator'!$A$10:$Z$227,K$2,FALSE)=0,"",VLOOKUP($A37,'Pre-Assessment Estimator'!$A$10:$Z$227,K$2,FALSE))</f>
        <v/>
      </c>
      <c r="L37" s="440" t="str">
        <f>IF(VLOOKUP($A37,'Pre-Assessment Estimator'!$A$10:$Z$227,L$2,FALSE)=0,"",VLOOKUP($A37,'Pre-Assessment Estimator'!$A$10:$Z$227,L$2,FALSE))</f>
        <v/>
      </c>
      <c r="M37" s="448"/>
      <c r="N37" s="439" t="str">
        <f>IF(VLOOKUP($A37,'Pre-Assessment Estimator'!$A$10:$Z$227,N$2,FALSE)=0,"",VLOOKUP($A37,'Pre-Assessment Estimator'!$A$10:$Z$227,N$2,FALSE))</f>
        <v/>
      </c>
      <c r="O37" s="439"/>
      <c r="P37" s="439"/>
      <c r="Q37" s="440" t="str">
        <f>IF(VLOOKUP($A37,'Pre-Assessment Estimator'!$A$10:$Z$227,Q$2,FALSE)=0,"",VLOOKUP($A37,'Pre-Assessment Estimator'!$A$10:$Z$227,Q$2,FALSE))</f>
        <v/>
      </c>
      <c r="R37" s="439" t="str">
        <f>IF(VLOOKUP($A37,'Pre-Assessment Estimator'!$A$10:$Z$227,R$2,FALSE)=0,"",VLOOKUP($A37,'Pre-Assessment Estimator'!$A$10:$Z$227,R$2,FALSE))</f>
        <v/>
      </c>
      <c r="S37" s="440" t="str">
        <f>IF(VLOOKUP($A37,'Pre-Assessment Estimator'!$A$10:$Z$227,S$2,FALSE)=0,"",VLOOKUP($A37,'Pre-Assessment Estimator'!$A$10:$Z$227,S$2,FALSE))</f>
        <v/>
      </c>
      <c r="T37" s="450"/>
      <c r="U37" s="439" t="str">
        <f>IF(VLOOKUP($A37,'Pre-Assessment Estimator'!$A$10:$Z$227,U$2,FALSE)=0,"",VLOOKUP($A37,'Pre-Assessment Estimator'!$A$10:$Z$227,U$2,FALSE))</f>
        <v/>
      </c>
      <c r="V37" s="439"/>
      <c r="W37" s="439"/>
      <c r="X37" s="440" t="str">
        <f>IF(VLOOKUP($A37,'Pre-Assessment Estimator'!$A$10:$Z$227,X$2,FALSE)=0,"",VLOOKUP($A37,'Pre-Assessment Estimator'!$A$10:$Z$227,X$2,FALSE))</f>
        <v/>
      </c>
      <c r="Y37" s="439" t="str">
        <f>IF(VLOOKUP($A37,'Pre-Assessment Estimator'!$A$10:$Z$227,Y$2,FALSE)=0,"",VLOOKUP($A37,'Pre-Assessment Estimator'!$A$10:$Z$227,Y$2,FALSE))</f>
        <v/>
      </c>
      <c r="Z37" s="341" t="str">
        <f>IF(VLOOKUP($A37,'Pre-Assessment Estimator'!$A$10:$Z$227,Z$2,FALSE)=0,"",VLOOKUP($A37,'Pre-Assessment Estimator'!$A$10:$Z$227,Z$2,FALSE))</f>
        <v/>
      </c>
      <c r="AA37" s="544">
        <v>28</v>
      </c>
      <c r="AB37" s="545"/>
      <c r="AF37" s="13">
        <f t="shared" si="0"/>
        <v>1</v>
      </c>
      <c r="AL37" s="14"/>
      <c r="AN37" s="13"/>
      <c r="AP37" s="13"/>
    </row>
    <row r="38" spans="1:42">
      <c r="A38" s="652">
        <v>29</v>
      </c>
      <c r="B38" s="958" t="s">
        <v>286</v>
      </c>
      <c r="C38" s="958"/>
      <c r="D38" s="979" t="str">
        <f>VLOOKUP($A38,'Pre-Assessment Estimator'!$A$10:$Z$227,D$2,FALSE)</f>
        <v>Hea 01</v>
      </c>
      <c r="E38" s="979" t="str">
        <f>VLOOKUP($A38,'Pre-Assessment Estimator'!$A$10:$Z$227,E$2,FALSE)</f>
        <v>Hea 01 Visual comfort</v>
      </c>
      <c r="F38" s="443">
        <f>VLOOKUP($A38,'Pre-Assessment Estimator'!$A$10:$Z$227,F$2,FALSE)</f>
        <v>7</v>
      </c>
      <c r="G38" s="449" t="str">
        <f>IF(VLOOKUP($A38,'Pre-Assessment Estimator'!$A$10:$Z$227,G$2,FALSE)=0,"",VLOOKUP($A38,'Pre-Assessment Estimator'!$A$10:$Z$227,G$2,FALSE))</f>
        <v/>
      </c>
      <c r="H38" s="948" t="str">
        <f>VLOOKUP($A38,'Pre-Assessment Estimator'!$A$10:$Z$227,H$2,FALSE)</f>
        <v>0 c. 0 %</v>
      </c>
      <c r="I38" s="445" t="str">
        <f>VLOOKUP($A38,'Pre-Assessment Estimator'!$A$10:$Z$227,I$2,FALSE)</f>
        <v>N/A</v>
      </c>
      <c r="J38" s="446" t="str">
        <f>IF(VLOOKUP($A38,'Pre-Assessment Estimator'!$A$10:$Z$227,J$2,FALSE)=0,"",VLOOKUP($A38,'Pre-Assessment Estimator'!$A$10:$Z$227,J$2,FALSE))</f>
        <v/>
      </c>
      <c r="K38" s="446" t="str">
        <f>IF(VLOOKUP($A38,'Pre-Assessment Estimator'!$A$10:$Z$227,K$2,FALSE)=0,"",VLOOKUP($A38,'Pre-Assessment Estimator'!$A$10:$Z$227,K$2,FALSE))</f>
        <v/>
      </c>
      <c r="L38" s="447" t="str">
        <f>IF(VLOOKUP($A38,'Pre-Assessment Estimator'!$A$10:$Z$227,L$2,FALSE)=0,"",VLOOKUP($A38,'Pre-Assessment Estimator'!$A$10:$Z$227,L$2,FALSE))</f>
        <v/>
      </c>
      <c r="M38" s="448"/>
      <c r="N38" s="449" t="str">
        <f>IF(VLOOKUP($A38,'Pre-Assessment Estimator'!$A$10:$Z$227,N$2,FALSE)=0,"",VLOOKUP($A38,'Pre-Assessment Estimator'!$A$10:$Z$227,N$2,FALSE))</f>
        <v/>
      </c>
      <c r="O38" s="444" t="str">
        <f>VLOOKUP($A38,'Pre-Assessment Estimator'!$A$10:$Z$227,O$2,FALSE)</f>
        <v>0 c. 0 %</v>
      </c>
      <c r="P38" s="443" t="str">
        <f>VLOOKUP($A38,'Pre-Assessment Estimator'!$A$10:$Z$227,P$2,FALSE)</f>
        <v>N/A</v>
      </c>
      <c r="Q38" s="446" t="str">
        <f>IF(VLOOKUP($A38,'Pre-Assessment Estimator'!$A$10:$Z$227,Q$2,FALSE)=0,"",VLOOKUP($A38,'Pre-Assessment Estimator'!$A$10:$Z$227,Q$2,FALSE))</f>
        <v/>
      </c>
      <c r="R38" s="446" t="str">
        <f>IF(VLOOKUP($A38,'Pre-Assessment Estimator'!$A$10:$Z$227,R$2,FALSE)=0,"",VLOOKUP($A38,'Pre-Assessment Estimator'!$A$10:$Z$227,R$2,FALSE))</f>
        <v/>
      </c>
      <c r="S38" s="447" t="str">
        <f>IF(VLOOKUP($A38,'Pre-Assessment Estimator'!$A$10:$Z$227,S$2,FALSE)=0,"",VLOOKUP($A38,'Pre-Assessment Estimator'!$A$10:$Z$227,S$2,FALSE))</f>
        <v/>
      </c>
      <c r="T38" s="450"/>
      <c r="U38" s="449" t="str">
        <f>IF(VLOOKUP($A38,'Pre-Assessment Estimator'!$A$10:$Z$227,U$2,FALSE)=0,"",VLOOKUP($A38,'Pre-Assessment Estimator'!$A$10:$Z$227,U$2,FALSE))</f>
        <v/>
      </c>
      <c r="V38" s="444" t="str">
        <f>VLOOKUP($A38,'Pre-Assessment Estimator'!$A$10:$Z$227,V$2,FALSE)</f>
        <v>0 c. 0 %</v>
      </c>
      <c r="W38" s="443" t="str">
        <f>VLOOKUP($A38,'Pre-Assessment Estimator'!$A$10:$Z$227,W$2,FALSE)</f>
        <v>N/A</v>
      </c>
      <c r="X38" s="446" t="str">
        <f>IF(VLOOKUP($A38,'Pre-Assessment Estimator'!$A$10:$Z$227,X$2,FALSE)=0,"",VLOOKUP($A38,'Pre-Assessment Estimator'!$A$10:$Z$227,X$2,FALSE))</f>
        <v/>
      </c>
      <c r="Y38" s="446" t="str">
        <f>IF(VLOOKUP($A38,'Pre-Assessment Estimator'!$A$10:$Z$227,Y$2,FALSE)=0,"",VLOOKUP($A38,'Pre-Assessment Estimator'!$A$10:$Z$227,Y$2,FALSE))</f>
        <v/>
      </c>
      <c r="Z38" s="313" t="str">
        <f>IF(VLOOKUP($A38,'Pre-Assessment Estimator'!$A$10:$Z$227,Z$2,FALSE)=0,"",VLOOKUP($A38,'Pre-Assessment Estimator'!$A$10:$Z$227,Z$2,FALSE))</f>
        <v/>
      </c>
      <c r="AA38" s="544">
        <v>29</v>
      </c>
      <c r="AB38" s="446" t="str">
        <f>IF(VLOOKUP($A38,'Pre-Assessment Estimator'!$A$10:$AB$227,AB$2,FALSE)=0,"",VLOOKUP($A38,'Pre-Assessment Estimator'!$A$10:$AB$227,AB$2,FALSE))</f>
        <v/>
      </c>
      <c r="AF38" s="13">
        <f t="shared" si="0"/>
        <v>1</v>
      </c>
      <c r="AN38" s="13"/>
      <c r="AP38" s="13"/>
    </row>
    <row r="39" spans="1:42">
      <c r="A39" s="652">
        <v>30</v>
      </c>
      <c r="B39" s="958" t="s">
        <v>286</v>
      </c>
      <c r="C39" s="958"/>
      <c r="D39" s="980" t="str">
        <f>VLOOKUP($A39,'Pre-Assessment Estimator'!$A$10:$Z$227,D$2,FALSE)</f>
        <v>Hea 01</v>
      </c>
      <c r="E39" s="981" t="str">
        <f>VLOOKUP($A39,'Pre-Assessment Estimator'!$A$10:$Z$227,E$2,FALSE)</f>
        <v>Pre-requisite: limitation of light flicker and stroboscopic effect</v>
      </c>
      <c r="F39" s="443" t="str">
        <f>VLOOKUP($A39,'Pre-Assessment Estimator'!$A$10:$Z$227,F$2,FALSE)</f>
        <v>Yes/No</v>
      </c>
      <c r="G39" s="449" t="str">
        <f>IF(VLOOKUP($A39,'Pre-Assessment Estimator'!$A$10:$Z$227,G$2,FALSE)=0,"",VLOOKUP($A39,'Pre-Assessment Estimator'!$A$10:$Z$227,G$2,FALSE))</f>
        <v/>
      </c>
      <c r="H39" s="948" t="str">
        <f>VLOOKUP($A39,'Pre-Assessment Estimator'!$A$10:$Z$227,H$2,FALSE)</f>
        <v>-</v>
      </c>
      <c r="I39" s="445" t="str">
        <f>VLOOKUP($A39,'Pre-Assessment Estimator'!$A$10:$Z$227,I$2,FALSE)</f>
        <v>Unclassified</v>
      </c>
      <c r="J39" s="446" t="str">
        <f>IF(VLOOKUP($A39,'Pre-Assessment Estimator'!$A$10:$Z$227,J$2,FALSE)=0,"",VLOOKUP($A39,'Pre-Assessment Estimator'!$A$10:$Z$227,J$2,FALSE))</f>
        <v/>
      </c>
      <c r="K39" s="446" t="str">
        <f>IF(VLOOKUP($A39,'Pre-Assessment Estimator'!$A$10:$Z$227,K$2,FALSE)=0,"",VLOOKUP($A39,'Pre-Assessment Estimator'!$A$10:$Z$227,K$2,FALSE))</f>
        <v/>
      </c>
      <c r="L39" s="447" t="str">
        <f>IF(VLOOKUP($A39,'Pre-Assessment Estimator'!$A$10:$Z$227,L$2,FALSE)=0,"",VLOOKUP($A39,'Pre-Assessment Estimator'!$A$10:$Z$227,L$2,FALSE))</f>
        <v/>
      </c>
      <c r="M39" s="448"/>
      <c r="N39" s="449" t="str">
        <f>IF(VLOOKUP($A39,'Pre-Assessment Estimator'!$A$10:$Z$227,N$2,FALSE)=0,"",VLOOKUP($A39,'Pre-Assessment Estimator'!$A$10:$Z$227,N$2,FALSE))</f>
        <v/>
      </c>
      <c r="O39" s="444" t="str">
        <f>VLOOKUP($A39,'Pre-Assessment Estimator'!$A$10:$Z$227,O$2,FALSE)</f>
        <v>-</v>
      </c>
      <c r="P39" s="443" t="str">
        <f>VLOOKUP($A39,'Pre-Assessment Estimator'!$A$10:$Z$227,P$2,FALSE)</f>
        <v>Unclassified</v>
      </c>
      <c r="Q39" s="446" t="str">
        <f>IF(VLOOKUP($A39,'Pre-Assessment Estimator'!$A$10:$Z$227,Q$2,FALSE)=0,"",VLOOKUP($A39,'Pre-Assessment Estimator'!$A$10:$Z$227,Q$2,FALSE))</f>
        <v/>
      </c>
      <c r="R39" s="446" t="str">
        <f>IF(VLOOKUP($A39,'Pre-Assessment Estimator'!$A$10:$Z$227,R$2,FALSE)=0,"",VLOOKUP($A39,'Pre-Assessment Estimator'!$A$10:$Z$227,R$2,FALSE))</f>
        <v/>
      </c>
      <c r="S39" s="447" t="str">
        <f>IF(VLOOKUP($A39,'Pre-Assessment Estimator'!$A$10:$Z$227,S$2,FALSE)=0,"",VLOOKUP($A39,'Pre-Assessment Estimator'!$A$10:$Z$227,S$2,FALSE))</f>
        <v/>
      </c>
      <c r="T39" s="450"/>
      <c r="U39" s="449" t="str">
        <f>IF(VLOOKUP($A39,'Pre-Assessment Estimator'!$A$10:$Z$227,U$2,FALSE)=0,"",VLOOKUP($A39,'Pre-Assessment Estimator'!$A$10:$Z$227,U$2,FALSE))</f>
        <v/>
      </c>
      <c r="V39" s="444" t="str">
        <f>VLOOKUP($A39,'Pre-Assessment Estimator'!$A$10:$Z$227,V$2,FALSE)</f>
        <v>-</v>
      </c>
      <c r="W39" s="443" t="str">
        <f>VLOOKUP($A39,'Pre-Assessment Estimator'!$A$10:$Z$227,W$2,FALSE)</f>
        <v>Unclassified</v>
      </c>
      <c r="X39" s="446" t="str">
        <f>IF(VLOOKUP($A39,'Pre-Assessment Estimator'!$A$10:$Z$227,X$2,FALSE)=0,"",VLOOKUP($A39,'Pre-Assessment Estimator'!$A$10:$Z$227,X$2,FALSE))</f>
        <v/>
      </c>
      <c r="Y39" s="446" t="str">
        <f>IF(VLOOKUP($A39,'Pre-Assessment Estimator'!$A$10:$Z$227,Y$2,FALSE)=0,"",VLOOKUP($A39,'Pre-Assessment Estimator'!$A$10:$Z$227,Y$2,FALSE))</f>
        <v/>
      </c>
      <c r="Z39" s="313" t="str">
        <f>IF(VLOOKUP($A39,'Pre-Assessment Estimator'!$A$10:$Z$227,Z$2,FALSE)=0,"",VLOOKUP($A39,'Pre-Assessment Estimator'!$A$10:$Z$227,Z$2,FALSE))</f>
        <v/>
      </c>
      <c r="AA39" s="544">
        <v>30</v>
      </c>
      <c r="AB39" s="446" t="str">
        <f>IF(VLOOKUP($A39,'Pre-Assessment Estimator'!$A$10:$AB$227,AB$2,FALSE)=0,"",VLOOKUP($A39,'Pre-Assessment Estimator'!$A$10:$AB$227,AB$2,FALSE))</f>
        <v/>
      </c>
      <c r="AF39" s="13">
        <f t="shared" si="0"/>
        <v>1</v>
      </c>
      <c r="AN39" s="13"/>
      <c r="AP39" s="13"/>
    </row>
    <row r="40" spans="1:42">
      <c r="A40" s="652">
        <v>31</v>
      </c>
      <c r="B40" s="958" t="s">
        <v>286</v>
      </c>
      <c r="C40" s="958"/>
      <c r="D40" s="980" t="str">
        <f>VLOOKUP($A40,'Pre-Assessment Estimator'!$A$10:$Z$227,D$2,FALSE)</f>
        <v>Hea 01</v>
      </c>
      <c r="E40" s="981" t="str">
        <f>VLOOKUP($A40,'Pre-Assessment Estimator'!$A$10:$Z$227,E$2,FALSE)</f>
        <v>Pre-requisite: daylight assessments</v>
      </c>
      <c r="F40" s="443" t="str">
        <f>VLOOKUP($A40,'Pre-Assessment Estimator'!$A$10:$Z$227,F$2,FALSE)</f>
        <v>Yes/No</v>
      </c>
      <c r="G40" s="449" t="str">
        <f>IF(VLOOKUP($A40,'Pre-Assessment Estimator'!$A$10:$Z$227,G$2,FALSE)=0,"",VLOOKUP($A40,'Pre-Assessment Estimator'!$A$10:$Z$227,G$2,FALSE))</f>
        <v/>
      </c>
      <c r="H40" s="948" t="str">
        <f>VLOOKUP($A40,'Pre-Assessment Estimator'!$A$10:$Z$227,H$2,FALSE)</f>
        <v>-</v>
      </c>
      <c r="I40" s="445" t="str">
        <f>VLOOKUP($A40,'Pre-Assessment Estimator'!$A$10:$Z$227,I$2,FALSE)</f>
        <v>Unclassified</v>
      </c>
      <c r="J40" s="446" t="str">
        <f>IF(VLOOKUP($A40,'Pre-Assessment Estimator'!$A$10:$Z$227,J$2,FALSE)=0,"",VLOOKUP($A40,'Pre-Assessment Estimator'!$A$10:$Z$227,J$2,FALSE))</f>
        <v/>
      </c>
      <c r="K40" s="446" t="str">
        <f>IF(VLOOKUP($A40,'Pre-Assessment Estimator'!$A$10:$Z$227,K$2,FALSE)=0,"",VLOOKUP($A40,'Pre-Assessment Estimator'!$A$10:$Z$227,K$2,FALSE))</f>
        <v/>
      </c>
      <c r="L40" s="447" t="str">
        <f>IF(VLOOKUP($A40,'Pre-Assessment Estimator'!$A$10:$Z$227,L$2,FALSE)=0,"",VLOOKUP($A40,'Pre-Assessment Estimator'!$A$10:$Z$227,L$2,FALSE))</f>
        <v/>
      </c>
      <c r="M40" s="448"/>
      <c r="N40" s="449" t="str">
        <f>IF(VLOOKUP($A40,'Pre-Assessment Estimator'!$A$10:$Z$227,N$2,FALSE)=0,"",VLOOKUP($A40,'Pre-Assessment Estimator'!$A$10:$Z$227,N$2,FALSE))</f>
        <v/>
      </c>
      <c r="O40" s="444" t="str">
        <f>VLOOKUP($A40,'Pre-Assessment Estimator'!$A$10:$Z$227,O$2,FALSE)</f>
        <v>-</v>
      </c>
      <c r="P40" s="443" t="str">
        <f>VLOOKUP($A40,'Pre-Assessment Estimator'!$A$10:$Z$227,P$2,FALSE)</f>
        <v>Unclassified</v>
      </c>
      <c r="Q40" s="446" t="str">
        <f>IF(VLOOKUP($A40,'Pre-Assessment Estimator'!$A$10:$Z$227,Q$2,FALSE)=0,"",VLOOKUP($A40,'Pre-Assessment Estimator'!$A$10:$Z$227,Q$2,FALSE))</f>
        <v/>
      </c>
      <c r="R40" s="446" t="str">
        <f>IF(VLOOKUP($A40,'Pre-Assessment Estimator'!$A$10:$Z$227,R$2,FALSE)=0,"",VLOOKUP($A40,'Pre-Assessment Estimator'!$A$10:$Z$227,R$2,FALSE))</f>
        <v/>
      </c>
      <c r="S40" s="447" t="str">
        <f>IF(VLOOKUP($A40,'Pre-Assessment Estimator'!$A$10:$Z$227,S$2,FALSE)=0,"",VLOOKUP($A40,'Pre-Assessment Estimator'!$A$10:$Z$227,S$2,FALSE))</f>
        <v/>
      </c>
      <c r="T40" s="450"/>
      <c r="U40" s="449" t="str">
        <f>IF(VLOOKUP($A40,'Pre-Assessment Estimator'!$A$10:$Z$227,U$2,FALSE)=0,"",VLOOKUP($A40,'Pre-Assessment Estimator'!$A$10:$Z$227,U$2,FALSE))</f>
        <v/>
      </c>
      <c r="V40" s="444" t="str">
        <f>VLOOKUP($A40,'Pre-Assessment Estimator'!$A$10:$Z$227,V$2,FALSE)</f>
        <v>-</v>
      </c>
      <c r="W40" s="443" t="str">
        <f>VLOOKUP($A40,'Pre-Assessment Estimator'!$A$10:$Z$227,W$2,FALSE)</f>
        <v>Unclassified</v>
      </c>
      <c r="X40" s="446" t="str">
        <f>IF(VLOOKUP($A40,'Pre-Assessment Estimator'!$A$10:$Z$227,X$2,FALSE)=0,"",VLOOKUP($A40,'Pre-Assessment Estimator'!$A$10:$Z$227,X$2,FALSE))</f>
        <v/>
      </c>
      <c r="Y40" s="446" t="str">
        <f>IF(VLOOKUP($A40,'Pre-Assessment Estimator'!$A$10:$Z$227,Y$2,FALSE)=0,"",VLOOKUP($A40,'Pre-Assessment Estimator'!$A$10:$Z$227,Y$2,FALSE))</f>
        <v/>
      </c>
      <c r="Z40" s="313" t="str">
        <f>IF(VLOOKUP($A40,'Pre-Assessment Estimator'!$A$10:$Z$227,Z$2,FALSE)=0,"",VLOOKUP($A40,'Pre-Assessment Estimator'!$A$10:$Z$227,Z$2,FALSE))</f>
        <v/>
      </c>
      <c r="AA40" s="544">
        <v>30</v>
      </c>
      <c r="AB40" s="446" t="str">
        <f>IF(VLOOKUP($A40,'Pre-Assessment Estimator'!$A$10:$AB$227,AB$2,FALSE)=0,"",VLOOKUP($A40,'Pre-Assessment Estimator'!$A$10:$AB$227,AB$2,FALSE))</f>
        <v/>
      </c>
      <c r="AF40" s="13">
        <f t="shared" ref="AF40" si="1">IF(F40="",1,IF(F40=0,2,1))</f>
        <v>1</v>
      </c>
      <c r="AN40" s="13"/>
      <c r="AP40" s="13"/>
    </row>
    <row r="41" spans="1:42">
      <c r="A41" s="652">
        <v>32</v>
      </c>
      <c r="B41" s="958" t="s">
        <v>286</v>
      </c>
      <c r="C41" s="958"/>
      <c r="D41" s="980" t="str">
        <f>VLOOKUP($A41,'Pre-Assessment Estimator'!$A$10:$Z$227,D$2,FALSE)</f>
        <v>Hea 01</v>
      </c>
      <c r="E41" s="981" t="str">
        <f>VLOOKUP($A41,'Pre-Assessment Estimator'!$A$10:$Z$227,E$2,FALSE)</f>
        <v>Daylighting</v>
      </c>
      <c r="F41" s="443">
        <f>VLOOKUP($A41,'Pre-Assessment Estimator'!$A$10:$Z$227,F$2,FALSE)</f>
        <v>3</v>
      </c>
      <c r="G41" s="449" t="str">
        <f>IF(VLOOKUP($A41,'Pre-Assessment Estimator'!$A$10:$Z$227,G$2,FALSE)=0,"",VLOOKUP($A41,'Pre-Assessment Estimator'!$A$10:$Z$227,G$2,FALSE))</f>
        <v/>
      </c>
      <c r="H41" s="948">
        <f>VLOOKUP($A41,'Pre-Assessment Estimator'!$A$10:$Z$227,H$2,FALSE)</f>
        <v>0</v>
      </c>
      <c r="I41" s="445" t="str">
        <f>VLOOKUP($A41,'Pre-Assessment Estimator'!$A$10:$Z$227,I$2,FALSE)</f>
        <v>N/A</v>
      </c>
      <c r="J41" s="446" t="str">
        <f>IF(VLOOKUP($A41,'Pre-Assessment Estimator'!$A$10:$Z$227,J$2,FALSE)=0,"",VLOOKUP($A41,'Pre-Assessment Estimator'!$A$10:$Z$227,J$2,FALSE))</f>
        <v/>
      </c>
      <c r="K41" s="446" t="str">
        <f>IF(VLOOKUP($A41,'Pre-Assessment Estimator'!$A$10:$Z$227,K$2,FALSE)=0,"",VLOOKUP($A41,'Pre-Assessment Estimator'!$A$10:$Z$227,K$2,FALSE))</f>
        <v/>
      </c>
      <c r="L41" s="447" t="str">
        <f>IF(VLOOKUP($A41,'Pre-Assessment Estimator'!$A$10:$Z$227,L$2,FALSE)=0,"",VLOOKUP($A41,'Pre-Assessment Estimator'!$A$10:$Z$227,L$2,FALSE))</f>
        <v/>
      </c>
      <c r="M41" s="448"/>
      <c r="N41" s="449" t="str">
        <f>IF(VLOOKUP($A41,'Pre-Assessment Estimator'!$A$10:$Z$227,N$2,FALSE)=0,"",VLOOKUP($A41,'Pre-Assessment Estimator'!$A$10:$Z$227,N$2,FALSE))</f>
        <v/>
      </c>
      <c r="O41" s="444">
        <f>VLOOKUP($A41,'Pre-Assessment Estimator'!$A$10:$Z$227,O$2,FALSE)</f>
        <v>0</v>
      </c>
      <c r="P41" s="443" t="str">
        <f>VLOOKUP($A41,'Pre-Assessment Estimator'!$A$10:$Z$227,P$2,FALSE)</f>
        <v>N/A</v>
      </c>
      <c r="Q41" s="446" t="str">
        <f>IF(VLOOKUP($A41,'Pre-Assessment Estimator'!$A$10:$Z$227,Q$2,FALSE)=0,"",VLOOKUP($A41,'Pre-Assessment Estimator'!$A$10:$Z$227,Q$2,FALSE))</f>
        <v/>
      </c>
      <c r="R41" s="446" t="str">
        <f>IF(VLOOKUP($A41,'Pre-Assessment Estimator'!$A$10:$Z$227,R$2,FALSE)=0,"",VLOOKUP($A41,'Pre-Assessment Estimator'!$A$10:$Z$227,R$2,FALSE))</f>
        <v/>
      </c>
      <c r="S41" s="447" t="str">
        <f>IF(VLOOKUP($A41,'Pre-Assessment Estimator'!$A$10:$Z$227,S$2,FALSE)=0,"",VLOOKUP($A41,'Pre-Assessment Estimator'!$A$10:$Z$227,S$2,FALSE))</f>
        <v/>
      </c>
      <c r="T41" s="450"/>
      <c r="U41" s="449" t="str">
        <f>IF(VLOOKUP($A41,'Pre-Assessment Estimator'!$A$10:$Z$227,U$2,FALSE)=0,"",VLOOKUP($A41,'Pre-Assessment Estimator'!$A$10:$Z$227,U$2,FALSE))</f>
        <v/>
      </c>
      <c r="V41" s="444">
        <f>VLOOKUP($A41,'Pre-Assessment Estimator'!$A$10:$Z$227,V$2,FALSE)</f>
        <v>0</v>
      </c>
      <c r="W41" s="443" t="str">
        <f>VLOOKUP($A41,'Pre-Assessment Estimator'!$A$10:$Z$227,W$2,FALSE)</f>
        <v>N/A</v>
      </c>
      <c r="X41" s="446" t="str">
        <f>IF(VLOOKUP($A41,'Pre-Assessment Estimator'!$A$10:$Z$227,X$2,FALSE)=0,"",VLOOKUP($A41,'Pre-Assessment Estimator'!$A$10:$Z$227,X$2,FALSE))</f>
        <v/>
      </c>
      <c r="Y41" s="446" t="str">
        <f>IF(VLOOKUP($A41,'Pre-Assessment Estimator'!$A$10:$Z$227,Y$2,FALSE)=0,"",VLOOKUP($A41,'Pre-Assessment Estimator'!$A$10:$Z$227,Y$2,FALSE))</f>
        <v/>
      </c>
      <c r="Z41" s="313" t="str">
        <f>IF(VLOOKUP($A41,'Pre-Assessment Estimator'!$A$10:$Z$227,Z$2,FALSE)=0,"",VLOOKUP($A41,'Pre-Assessment Estimator'!$A$10:$Z$227,Z$2,FALSE))</f>
        <v/>
      </c>
      <c r="AA41" s="544">
        <v>31</v>
      </c>
      <c r="AB41" s="446" t="str">
        <f>IF(VLOOKUP($A41,'Pre-Assessment Estimator'!$A$10:$AB$227,AB$2,FALSE)=0,"",VLOOKUP($A41,'Pre-Assessment Estimator'!$A$10:$AB$227,AB$2,FALSE))</f>
        <v/>
      </c>
      <c r="AF41" s="13">
        <f t="shared" si="0"/>
        <v>1</v>
      </c>
      <c r="AN41" s="13"/>
      <c r="AO41" s="13"/>
      <c r="AP41" s="13"/>
    </row>
    <row r="42" spans="1:42">
      <c r="A42" s="652">
        <v>33</v>
      </c>
      <c r="B42" s="958" t="s">
        <v>286</v>
      </c>
      <c r="C42" s="958"/>
      <c r="D42" s="980" t="str">
        <f>VLOOKUP($A42,'Pre-Assessment Estimator'!$A$10:$Z$227,D$2,FALSE)</f>
        <v>Hea 01</v>
      </c>
      <c r="E42" s="981" t="str">
        <f>VLOOKUP($A42,'Pre-Assessment Estimator'!$A$10:$Z$227,E$2,FALSE)</f>
        <v xml:space="preserve">Control of glare from sunlight </v>
      </c>
      <c r="F42" s="443">
        <f>VLOOKUP($A42,'Pre-Assessment Estimator'!$A$10:$Z$227,F$2,FALSE)</f>
        <v>1</v>
      </c>
      <c r="G42" s="449" t="str">
        <f>IF(VLOOKUP($A42,'Pre-Assessment Estimator'!$A$10:$Z$227,G$2,FALSE)=0,"",VLOOKUP($A42,'Pre-Assessment Estimator'!$A$10:$Z$227,G$2,FALSE))</f>
        <v/>
      </c>
      <c r="H42" s="948">
        <f>VLOOKUP($A42,'Pre-Assessment Estimator'!$A$10:$Z$227,H$2,FALSE)</f>
        <v>0</v>
      </c>
      <c r="I42" s="445" t="str">
        <f>VLOOKUP($A42,'Pre-Assessment Estimator'!$A$10:$Z$227,I$2,FALSE)</f>
        <v>N/A</v>
      </c>
      <c r="J42" s="446" t="str">
        <f>IF(VLOOKUP($A42,'Pre-Assessment Estimator'!$A$10:$Z$227,J$2,FALSE)=0,"",VLOOKUP($A42,'Pre-Assessment Estimator'!$A$10:$Z$227,J$2,FALSE))</f>
        <v/>
      </c>
      <c r="K42" s="446" t="str">
        <f>IF(VLOOKUP($A42,'Pre-Assessment Estimator'!$A$10:$Z$227,K$2,FALSE)=0,"",VLOOKUP($A42,'Pre-Assessment Estimator'!$A$10:$Z$227,K$2,FALSE))</f>
        <v/>
      </c>
      <c r="L42" s="447" t="str">
        <f>IF(VLOOKUP($A42,'Pre-Assessment Estimator'!$A$10:$Z$227,L$2,FALSE)=0,"",VLOOKUP($A42,'Pre-Assessment Estimator'!$A$10:$Z$227,L$2,FALSE))</f>
        <v/>
      </c>
      <c r="M42" s="448"/>
      <c r="N42" s="449" t="str">
        <f>IF(VLOOKUP($A42,'Pre-Assessment Estimator'!$A$10:$Z$227,N$2,FALSE)=0,"",VLOOKUP($A42,'Pre-Assessment Estimator'!$A$10:$Z$227,N$2,FALSE))</f>
        <v/>
      </c>
      <c r="O42" s="444">
        <f>VLOOKUP($A42,'Pre-Assessment Estimator'!$A$10:$Z$227,O$2,FALSE)</f>
        <v>0</v>
      </c>
      <c r="P42" s="443" t="str">
        <f>VLOOKUP($A42,'Pre-Assessment Estimator'!$A$10:$Z$227,P$2,FALSE)</f>
        <v>N/A</v>
      </c>
      <c r="Q42" s="446" t="str">
        <f>IF(VLOOKUP($A42,'Pre-Assessment Estimator'!$A$10:$Z$227,Q$2,FALSE)=0,"",VLOOKUP($A42,'Pre-Assessment Estimator'!$A$10:$Z$227,Q$2,FALSE))</f>
        <v/>
      </c>
      <c r="R42" s="446" t="str">
        <f>IF(VLOOKUP($A42,'Pre-Assessment Estimator'!$A$10:$Z$227,R$2,FALSE)=0,"",VLOOKUP($A42,'Pre-Assessment Estimator'!$A$10:$Z$227,R$2,FALSE))</f>
        <v/>
      </c>
      <c r="S42" s="447" t="str">
        <f>IF(VLOOKUP($A42,'Pre-Assessment Estimator'!$A$10:$Z$227,S$2,FALSE)=0,"",VLOOKUP($A42,'Pre-Assessment Estimator'!$A$10:$Z$227,S$2,FALSE))</f>
        <v/>
      </c>
      <c r="T42" s="450"/>
      <c r="U42" s="449" t="str">
        <f>IF(VLOOKUP($A42,'Pre-Assessment Estimator'!$A$10:$Z$227,U$2,FALSE)=0,"",VLOOKUP($A42,'Pre-Assessment Estimator'!$A$10:$Z$227,U$2,FALSE))</f>
        <v/>
      </c>
      <c r="V42" s="444">
        <f>VLOOKUP($A42,'Pre-Assessment Estimator'!$A$10:$Z$227,V$2,FALSE)</f>
        <v>0</v>
      </c>
      <c r="W42" s="443" t="str">
        <f>VLOOKUP($A42,'Pre-Assessment Estimator'!$A$10:$Z$227,W$2,FALSE)</f>
        <v>N/A</v>
      </c>
      <c r="X42" s="446" t="str">
        <f>IF(VLOOKUP($A42,'Pre-Assessment Estimator'!$A$10:$Z$227,X$2,FALSE)=0,"",VLOOKUP($A42,'Pre-Assessment Estimator'!$A$10:$Z$227,X$2,FALSE))</f>
        <v/>
      </c>
      <c r="Y42" s="446" t="str">
        <f>IF(VLOOKUP($A42,'Pre-Assessment Estimator'!$A$10:$Z$227,Y$2,FALSE)=0,"",VLOOKUP($A42,'Pre-Assessment Estimator'!$A$10:$Z$227,Y$2,FALSE))</f>
        <v/>
      </c>
      <c r="Z42" s="313" t="str">
        <f>IF(VLOOKUP($A42,'Pre-Assessment Estimator'!$A$10:$Z$227,Z$2,FALSE)=0,"",VLOOKUP($A42,'Pre-Assessment Estimator'!$A$10:$Z$227,Z$2,FALSE))</f>
        <v/>
      </c>
      <c r="AA42" s="544">
        <v>32</v>
      </c>
      <c r="AB42" s="446" t="str">
        <f>IF(VLOOKUP($A42,'Pre-Assessment Estimator'!$A$10:$AB$227,AB$2,FALSE)=0,"",VLOOKUP($A42,'Pre-Assessment Estimator'!$A$10:$AB$227,AB$2,FALSE))</f>
        <v/>
      </c>
      <c r="AF42" s="13">
        <f t="shared" si="0"/>
        <v>1</v>
      </c>
      <c r="AN42" s="13"/>
      <c r="AO42" s="13"/>
      <c r="AP42" s="13"/>
    </row>
    <row r="43" spans="1:42">
      <c r="A43" s="652">
        <v>34</v>
      </c>
      <c r="B43" s="958" t="s">
        <v>286</v>
      </c>
      <c r="C43" s="958"/>
      <c r="D43" s="980" t="str">
        <f>VLOOKUP($A43,'Pre-Assessment Estimator'!$A$10:$Z$227,D$2,FALSE)</f>
        <v>Hea 01</v>
      </c>
      <c r="E43" s="981" t="str">
        <f>VLOOKUP($A43,'Pre-Assessment Estimator'!$A$10:$Z$227,E$2,FALSE)</f>
        <v xml:space="preserve">View out </v>
      </c>
      <c r="F43" s="443">
        <f>VLOOKUP($A43,'Pre-Assessment Estimator'!$A$10:$Z$227,F$2,FALSE)</f>
        <v>1</v>
      </c>
      <c r="G43" s="449" t="str">
        <f>IF(VLOOKUP($A43,'Pre-Assessment Estimator'!$A$10:$Z$227,G$2,FALSE)=0,"",VLOOKUP($A43,'Pre-Assessment Estimator'!$A$10:$Z$227,G$2,FALSE))</f>
        <v/>
      </c>
      <c r="H43" s="948">
        <f>VLOOKUP($A43,'Pre-Assessment Estimator'!$A$10:$Z$227,H$2,FALSE)</f>
        <v>0</v>
      </c>
      <c r="I43" s="445" t="str">
        <f>VLOOKUP($A43,'Pre-Assessment Estimator'!$A$10:$Z$227,I$2,FALSE)</f>
        <v>N/A</v>
      </c>
      <c r="J43" s="446" t="str">
        <f>IF(VLOOKUP($A43,'Pre-Assessment Estimator'!$A$10:$Z$227,J$2,FALSE)=0,"",VLOOKUP($A43,'Pre-Assessment Estimator'!$A$10:$Z$227,J$2,FALSE))</f>
        <v/>
      </c>
      <c r="K43" s="446" t="str">
        <f>IF(VLOOKUP($A43,'Pre-Assessment Estimator'!$A$10:$Z$227,K$2,FALSE)=0,"",VLOOKUP($A43,'Pre-Assessment Estimator'!$A$10:$Z$227,K$2,FALSE))</f>
        <v/>
      </c>
      <c r="L43" s="447" t="str">
        <f>IF(VLOOKUP($A43,'Pre-Assessment Estimator'!$A$10:$Z$227,L$2,FALSE)=0,"",VLOOKUP($A43,'Pre-Assessment Estimator'!$A$10:$Z$227,L$2,FALSE))</f>
        <v/>
      </c>
      <c r="M43" s="448"/>
      <c r="N43" s="449" t="str">
        <f>IF(VLOOKUP($A43,'Pre-Assessment Estimator'!$A$10:$Z$227,N$2,FALSE)=0,"",VLOOKUP($A43,'Pre-Assessment Estimator'!$A$10:$Z$227,N$2,FALSE))</f>
        <v/>
      </c>
      <c r="O43" s="444">
        <f>VLOOKUP($A43,'Pre-Assessment Estimator'!$A$10:$Z$227,O$2,FALSE)</f>
        <v>0</v>
      </c>
      <c r="P43" s="443" t="str">
        <f>VLOOKUP($A43,'Pre-Assessment Estimator'!$A$10:$Z$227,P$2,FALSE)</f>
        <v>N/A</v>
      </c>
      <c r="Q43" s="446" t="str">
        <f>IF(VLOOKUP($A43,'Pre-Assessment Estimator'!$A$10:$Z$227,Q$2,FALSE)=0,"",VLOOKUP($A43,'Pre-Assessment Estimator'!$A$10:$Z$227,Q$2,FALSE))</f>
        <v/>
      </c>
      <c r="R43" s="446" t="str">
        <f>IF(VLOOKUP($A43,'Pre-Assessment Estimator'!$A$10:$Z$227,R$2,FALSE)=0,"",VLOOKUP($A43,'Pre-Assessment Estimator'!$A$10:$Z$227,R$2,FALSE))</f>
        <v/>
      </c>
      <c r="S43" s="447" t="str">
        <f>IF(VLOOKUP($A43,'Pre-Assessment Estimator'!$A$10:$Z$227,S$2,FALSE)=0,"",VLOOKUP($A43,'Pre-Assessment Estimator'!$A$10:$Z$227,S$2,FALSE))</f>
        <v/>
      </c>
      <c r="T43" s="450"/>
      <c r="U43" s="449" t="str">
        <f>IF(VLOOKUP($A43,'Pre-Assessment Estimator'!$A$10:$Z$227,U$2,FALSE)=0,"",VLOOKUP($A43,'Pre-Assessment Estimator'!$A$10:$Z$227,U$2,FALSE))</f>
        <v/>
      </c>
      <c r="V43" s="444">
        <f>VLOOKUP($A43,'Pre-Assessment Estimator'!$A$10:$Z$227,V$2,FALSE)</f>
        <v>0</v>
      </c>
      <c r="W43" s="443" t="str">
        <f>VLOOKUP($A43,'Pre-Assessment Estimator'!$A$10:$Z$227,W$2,FALSE)</f>
        <v>N/A</v>
      </c>
      <c r="X43" s="446" t="str">
        <f>IF(VLOOKUP($A43,'Pre-Assessment Estimator'!$A$10:$Z$227,X$2,FALSE)=0,"",VLOOKUP($A43,'Pre-Assessment Estimator'!$A$10:$Z$227,X$2,FALSE))</f>
        <v/>
      </c>
      <c r="Y43" s="446" t="str">
        <f>IF(VLOOKUP($A43,'Pre-Assessment Estimator'!$A$10:$Z$227,Y$2,FALSE)=0,"",VLOOKUP($A43,'Pre-Assessment Estimator'!$A$10:$Z$227,Y$2,FALSE))</f>
        <v/>
      </c>
      <c r="Z43" s="313" t="str">
        <f>IF(VLOOKUP($A43,'Pre-Assessment Estimator'!$A$10:$Z$227,Z$2,FALSE)=0,"",VLOOKUP($A43,'Pre-Assessment Estimator'!$A$10:$Z$227,Z$2,FALSE))</f>
        <v/>
      </c>
      <c r="AA43" s="544">
        <v>33</v>
      </c>
      <c r="AB43" s="446" t="str">
        <f>IF(VLOOKUP($A43,'Pre-Assessment Estimator'!$A$10:$AB$227,AB$2,FALSE)=0,"",VLOOKUP($A43,'Pre-Assessment Estimator'!$A$10:$AB$227,AB$2,FALSE))</f>
        <v/>
      </c>
      <c r="AF43" s="13">
        <f t="shared" si="0"/>
        <v>1</v>
      </c>
      <c r="AN43" s="13"/>
      <c r="AO43" s="13"/>
      <c r="AP43" s="13"/>
    </row>
    <row r="44" spans="1:42">
      <c r="A44" s="652">
        <v>35</v>
      </c>
      <c r="B44" s="958" t="s">
        <v>286</v>
      </c>
      <c r="C44" s="958"/>
      <c r="D44" s="980" t="str">
        <f>VLOOKUP($A44,'Pre-Assessment Estimator'!$A$10:$Z$227,D$2,FALSE)</f>
        <v>Hea 01</v>
      </c>
      <c r="E44" s="981" t="str">
        <f>VLOOKUP($A44,'Pre-Assessment Estimator'!$A$10:$Z$227,E$2,FALSE)</f>
        <v xml:space="preserve">Sunlight </v>
      </c>
      <c r="F44" s="443">
        <f>VLOOKUP($A44,'Pre-Assessment Estimator'!$A$10:$Z$227,F$2,FALSE)</f>
        <v>1</v>
      </c>
      <c r="G44" s="449" t="str">
        <f>IF(VLOOKUP($A44,'Pre-Assessment Estimator'!$A$10:$Z$227,G$2,FALSE)=0,"",VLOOKUP($A44,'Pre-Assessment Estimator'!$A$10:$Z$227,G$2,FALSE))</f>
        <v/>
      </c>
      <c r="H44" s="948">
        <f>VLOOKUP($A44,'Pre-Assessment Estimator'!$A$10:$Z$227,H$2,FALSE)</f>
        <v>0</v>
      </c>
      <c r="I44" s="445" t="str">
        <f>VLOOKUP($A44,'Pre-Assessment Estimator'!$A$10:$Z$227,I$2,FALSE)</f>
        <v>N/A</v>
      </c>
      <c r="J44" s="446" t="str">
        <f>IF(VLOOKUP($A44,'Pre-Assessment Estimator'!$A$10:$Z$227,J$2,FALSE)=0,"",VLOOKUP($A44,'Pre-Assessment Estimator'!$A$10:$Z$227,J$2,FALSE))</f>
        <v/>
      </c>
      <c r="K44" s="446" t="str">
        <f>IF(VLOOKUP($A44,'Pre-Assessment Estimator'!$A$10:$Z$227,K$2,FALSE)=0,"",VLOOKUP($A44,'Pre-Assessment Estimator'!$A$10:$Z$227,K$2,FALSE))</f>
        <v/>
      </c>
      <c r="L44" s="447" t="str">
        <f>IF(VLOOKUP($A44,'Pre-Assessment Estimator'!$A$10:$Z$227,L$2,FALSE)=0,"",VLOOKUP($A44,'Pre-Assessment Estimator'!$A$10:$Z$227,L$2,FALSE))</f>
        <v/>
      </c>
      <c r="M44" s="448"/>
      <c r="N44" s="449" t="str">
        <f>IF(VLOOKUP($A44,'Pre-Assessment Estimator'!$A$10:$Z$227,N$2,FALSE)=0,"",VLOOKUP($A44,'Pre-Assessment Estimator'!$A$10:$Z$227,N$2,FALSE))</f>
        <v/>
      </c>
      <c r="O44" s="444">
        <f>VLOOKUP($A44,'Pre-Assessment Estimator'!$A$10:$Z$227,O$2,FALSE)</f>
        <v>0</v>
      </c>
      <c r="P44" s="443" t="str">
        <f>VLOOKUP($A44,'Pre-Assessment Estimator'!$A$10:$Z$227,P$2,FALSE)</f>
        <v>N/A</v>
      </c>
      <c r="Q44" s="446" t="str">
        <f>IF(VLOOKUP($A44,'Pre-Assessment Estimator'!$A$10:$Z$227,Q$2,FALSE)=0,"",VLOOKUP($A44,'Pre-Assessment Estimator'!$A$10:$Z$227,Q$2,FALSE))</f>
        <v/>
      </c>
      <c r="R44" s="446" t="str">
        <f>IF(VLOOKUP($A44,'Pre-Assessment Estimator'!$A$10:$Z$227,R$2,FALSE)=0,"",VLOOKUP($A44,'Pre-Assessment Estimator'!$A$10:$Z$227,R$2,FALSE))</f>
        <v/>
      </c>
      <c r="S44" s="447" t="str">
        <f>IF(VLOOKUP($A44,'Pre-Assessment Estimator'!$A$10:$Z$227,S$2,FALSE)=0,"",VLOOKUP($A44,'Pre-Assessment Estimator'!$A$10:$Z$227,S$2,FALSE))</f>
        <v/>
      </c>
      <c r="T44" s="450"/>
      <c r="U44" s="449" t="str">
        <f>IF(VLOOKUP($A44,'Pre-Assessment Estimator'!$A$10:$Z$227,U$2,FALSE)=0,"",VLOOKUP($A44,'Pre-Assessment Estimator'!$A$10:$Z$227,U$2,FALSE))</f>
        <v/>
      </c>
      <c r="V44" s="444">
        <f>VLOOKUP($A44,'Pre-Assessment Estimator'!$A$10:$Z$227,V$2,FALSE)</f>
        <v>0</v>
      </c>
      <c r="W44" s="443" t="str">
        <f>VLOOKUP($A44,'Pre-Assessment Estimator'!$A$10:$Z$227,W$2,FALSE)</f>
        <v>N/A</v>
      </c>
      <c r="X44" s="446" t="str">
        <f>IF(VLOOKUP($A44,'Pre-Assessment Estimator'!$A$10:$Z$227,X$2,FALSE)=0,"",VLOOKUP($A44,'Pre-Assessment Estimator'!$A$10:$Z$227,X$2,FALSE))</f>
        <v/>
      </c>
      <c r="Y44" s="446" t="str">
        <f>IF(VLOOKUP($A44,'Pre-Assessment Estimator'!$A$10:$Z$227,Y$2,FALSE)=0,"",VLOOKUP($A44,'Pre-Assessment Estimator'!$A$10:$Z$227,Y$2,FALSE))</f>
        <v/>
      </c>
      <c r="Z44" s="313" t="str">
        <f>IF(VLOOKUP($A44,'Pre-Assessment Estimator'!$A$10:$Z$227,Z$2,FALSE)=0,"",VLOOKUP($A44,'Pre-Assessment Estimator'!$A$10:$Z$227,Z$2,FALSE))</f>
        <v/>
      </c>
      <c r="AA44" s="544">
        <v>34</v>
      </c>
      <c r="AB44" s="446"/>
      <c r="AF44" s="13">
        <f t="shared" si="0"/>
        <v>1</v>
      </c>
      <c r="AN44" s="13"/>
      <c r="AO44" s="13"/>
      <c r="AP44" s="13"/>
    </row>
    <row r="45" spans="1:42">
      <c r="A45" s="652">
        <v>36</v>
      </c>
      <c r="B45" s="958" t="s">
        <v>286</v>
      </c>
      <c r="C45" s="958"/>
      <c r="D45" s="980" t="str">
        <f>VLOOKUP($A45,'Pre-Assessment Estimator'!$A$10:$Z$227,D$2,FALSE)</f>
        <v>Hea 01</v>
      </c>
      <c r="E45" s="981" t="str">
        <f>VLOOKUP($A45,'Pre-Assessment Estimator'!$A$10:$Z$227,E$2,FALSE)</f>
        <v xml:space="preserve">Internal and external lighting levels, zoning and control </v>
      </c>
      <c r="F45" s="443">
        <f>VLOOKUP($A45,'Pre-Assessment Estimator'!$A$10:$Z$227,F$2,FALSE)</f>
        <v>1</v>
      </c>
      <c r="G45" s="449" t="str">
        <f>IF(VLOOKUP($A45,'Pre-Assessment Estimator'!$A$10:$Z$227,G$2,FALSE)=0,"",VLOOKUP($A45,'Pre-Assessment Estimator'!$A$10:$Z$227,G$2,FALSE))</f>
        <v/>
      </c>
      <c r="H45" s="948">
        <f>VLOOKUP($A45,'Pre-Assessment Estimator'!$A$10:$Z$227,H$2,FALSE)</f>
        <v>0</v>
      </c>
      <c r="I45" s="445" t="str">
        <f>VLOOKUP($A45,'Pre-Assessment Estimator'!$A$10:$Z$227,I$2,FALSE)</f>
        <v>N/A</v>
      </c>
      <c r="J45" s="446" t="str">
        <f>IF(VLOOKUP($A45,'Pre-Assessment Estimator'!$A$10:$Z$227,J$2,FALSE)=0,"",VLOOKUP($A45,'Pre-Assessment Estimator'!$A$10:$Z$227,J$2,FALSE))</f>
        <v/>
      </c>
      <c r="K45" s="446" t="str">
        <f>IF(VLOOKUP($A45,'Pre-Assessment Estimator'!$A$10:$Z$227,K$2,FALSE)=0,"",VLOOKUP($A45,'Pre-Assessment Estimator'!$A$10:$Z$227,K$2,FALSE))</f>
        <v/>
      </c>
      <c r="L45" s="447" t="str">
        <f>IF(VLOOKUP($A45,'Pre-Assessment Estimator'!$A$10:$Z$227,L$2,FALSE)=0,"",VLOOKUP($A45,'Pre-Assessment Estimator'!$A$10:$Z$227,L$2,FALSE))</f>
        <v/>
      </c>
      <c r="M45" s="448"/>
      <c r="N45" s="449" t="str">
        <f>IF(VLOOKUP($A45,'Pre-Assessment Estimator'!$A$10:$Z$227,N$2,FALSE)=0,"",VLOOKUP($A45,'Pre-Assessment Estimator'!$A$10:$Z$227,N$2,FALSE))</f>
        <v/>
      </c>
      <c r="O45" s="444">
        <f>VLOOKUP($A45,'Pre-Assessment Estimator'!$A$10:$Z$227,O$2,FALSE)</f>
        <v>0</v>
      </c>
      <c r="P45" s="443" t="str">
        <f>VLOOKUP($A45,'Pre-Assessment Estimator'!$A$10:$Z$227,P$2,FALSE)</f>
        <v>N/A</v>
      </c>
      <c r="Q45" s="446" t="str">
        <f>IF(VLOOKUP($A45,'Pre-Assessment Estimator'!$A$10:$Z$227,Q$2,FALSE)=0,"",VLOOKUP($A45,'Pre-Assessment Estimator'!$A$10:$Z$227,Q$2,FALSE))</f>
        <v/>
      </c>
      <c r="R45" s="446" t="str">
        <f>IF(VLOOKUP($A45,'Pre-Assessment Estimator'!$A$10:$Z$227,R$2,FALSE)=0,"",VLOOKUP($A45,'Pre-Assessment Estimator'!$A$10:$Z$227,R$2,FALSE))</f>
        <v/>
      </c>
      <c r="S45" s="447" t="str">
        <f>IF(VLOOKUP($A45,'Pre-Assessment Estimator'!$A$10:$Z$227,S$2,FALSE)=0,"",VLOOKUP($A45,'Pre-Assessment Estimator'!$A$10:$Z$227,S$2,FALSE))</f>
        <v/>
      </c>
      <c r="T45" s="450"/>
      <c r="U45" s="449" t="str">
        <f>IF(VLOOKUP($A45,'Pre-Assessment Estimator'!$A$10:$Z$227,U$2,FALSE)=0,"",VLOOKUP($A45,'Pre-Assessment Estimator'!$A$10:$Z$227,U$2,FALSE))</f>
        <v/>
      </c>
      <c r="V45" s="444">
        <f>VLOOKUP($A45,'Pre-Assessment Estimator'!$A$10:$Z$227,V$2,FALSE)</f>
        <v>0</v>
      </c>
      <c r="W45" s="443" t="str">
        <f>VLOOKUP($A45,'Pre-Assessment Estimator'!$A$10:$Z$227,W$2,FALSE)</f>
        <v>N/A</v>
      </c>
      <c r="X45" s="446" t="str">
        <f>IF(VLOOKUP($A45,'Pre-Assessment Estimator'!$A$10:$Z$227,X$2,FALSE)=0,"",VLOOKUP($A45,'Pre-Assessment Estimator'!$A$10:$Z$227,X$2,FALSE))</f>
        <v/>
      </c>
      <c r="Y45" s="446" t="str">
        <f>IF(VLOOKUP($A45,'Pre-Assessment Estimator'!$A$10:$Z$227,Y$2,FALSE)=0,"",VLOOKUP($A45,'Pre-Assessment Estimator'!$A$10:$Z$227,Y$2,FALSE))</f>
        <v/>
      </c>
      <c r="Z45" s="313" t="str">
        <f>IF(VLOOKUP($A45,'Pre-Assessment Estimator'!$A$10:$Z$227,Z$2,FALSE)=0,"",VLOOKUP($A45,'Pre-Assessment Estimator'!$A$10:$Z$227,Z$2,FALSE))</f>
        <v/>
      </c>
      <c r="AA45" s="544">
        <v>35</v>
      </c>
      <c r="AB45" s="446"/>
      <c r="AF45" s="13">
        <f t="shared" si="0"/>
        <v>1</v>
      </c>
      <c r="AN45" s="13"/>
      <c r="AO45" s="13"/>
      <c r="AP45" s="13"/>
    </row>
    <row r="46" spans="1:42">
      <c r="A46" s="652">
        <v>37</v>
      </c>
      <c r="B46" s="958" t="s">
        <v>286</v>
      </c>
      <c r="C46" s="958"/>
      <c r="D46" s="979" t="str">
        <f>VLOOKUP($A46,'Pre-Assessment Estimator'!$A$10:$Z$227,D$2,FALSE)</f>
        <v>Hea 02</v>
      </c>
      <c r="E46" s="979" t="str">
        <f>VLOOKUP($A46,'Pre-Assessment Estimator'!$A$10:$Z$227,E$2,FALSE)</f>
        <v>Hea 02 Indoor air quality</v>
      </c>
      <c r="F46" s="443">
        <f>VLOOKUP($A46,'Pre-Assessment Estimator'!$A$10:$Z$227,F$2,FALSE)</f>
        <v>4</v>
      </c>
      <c r="G46" s="449" t="str">
        <f>IF(VLOOKUP($A46,'Pre-Assessment Estimator'!$A$10:$Z$227,G$2,FALSE)=0,"",VLOOKUP($A46,'Pre-Assessment Estimator'!$A$10:$Z$227,G$2,FALSE))</f>
        <v/>
      </c>
      <c r="H46" s="948" t="str">
        <f>VLOOKUP($A46,'Pre-Assessment Estimator'!$A$10:$Z$227,H$2,FALSE)</f>
        <v>0 c. 0 %</v>
      </c>
      <c r="I46" s="445" t="str">
        <f>VLOOKUP($A46,'Pre-Assessment Estimator'!$A$10:$Z$227,I$2,FALSE)</f>
        <v>N/A</v>
      </c>
      <c r="J46" s="446" t="str">
        <f>IF(VLOOKUP($A46,'Pre-Assessment Estimator'!$A$10:$Z$227,J$2,FALSE)=0,"",VLOOKUP($A46,'Pre-Assessment Estimator'!$A$10:$Z$227,J$2,FALSE))</f>
        <v/>
      </c>
      <c r="K46" s="446" t="str">
        <f>IF(VLOOKUP($A46,'Pre-Assessment Estimator'!$A$10:$Z$227,K$2,FALSE)=0,"",VLOOKUP($A46,'Pre-Assessment Estimator'!$A$10:$Z$227,K$2,FALSE))</f>
        <v/>
      </c>
      <c r="L46" s="447" t="str">
        <f>IF(VLOOKUP($A46,'Pre-Assessment Estimator'!$A$10:$Z$227,L$2,FALSE)=0,"",VLOOKUP($A46,'Pre-Assessment Estimator'!$A$10:$Z$227,L$2,FALSE))</f>
        <v/>
      </c>
      <c r="M46" s="448"/>
      <c r="N46" s="449" t="str">
        <f>IF(VLOOKUP($A46,'Pre-Assessment Estimator'!$A$10:$Z$227,N$2,FALSE)=0,"",VLOOKUP($A46,'Pre-Assessment Estimator'!$A$10:$Z$227,N$2,FALSE))</f>
        <v/>
      </c>
      <c r="O46" s="444" t="str">
        <f>VLOOKUP($A46,'Pre-Assessment Estimator'!$A$10:$Z$227,O$2,FALSE)</f>
        <v>0 c. 0 %</v>
      </c>
      <c r="P46" s="443" t="str">
        <f>VLOOKUP($A46,'Pre-Assessment Estimator'!$A$10:$Z$227,P$2,FALSE)</f>
        <v>N/A</v>
      </c>
      <c r="Q46" s="446" t="str">
        <f>IF(VLOOKUP($A46,'Pre-Assessment Estimator'!$A$10:$Z$227,Q$2,FALSE)=0,"",VLOOKUP($A46,'Pre-Assessment Estimator'!$A$10:$Z$227,Q$2,FALSE))</f>
        <v/>
      </c>
      <c r="R46" s="446" t="str">
        <f>IF(VLOOKUP($A46,'Pre-Assessment Estimator'!$A$10:$Z$227,R$2,FALSE)=0,"",VLOOKUP($A46,'Pre-Assessment Estimator'!$A$10:$Z$227,R$2,FALSE))</f>
        <v/>
      </c>
      <c r="S46" s="447" t="str">
        <f>IF(VLOOKUP($A46,'Pre-Assessment Estimator'!$A$10:$Z$227,S$2,FALSE)=0,"",VLOOKUP($A46,'Pre-Assessment Estimator'!$A$10:$Z$227,S$2,FALSE))</f>
        <v/>
      </c>
      <c r="T46" s="450"/>
      <c r="U46" s="449" t="str">
        <f>IF(VLOOKUP($A46,'Pre-Assessment Estimator'!$A$10:$Z$227,U$2,FALSE)=0,"",VLOOKUP($A46,'Pre-Assessment Estimator'!$A$10:$Z$227,U$2,FALSE))</f>
        <v/>
      </c>
      <c r="V46" s="444" t="str">
        <f>VLOOKUP($A46,'Pre-Assessment Estimator'!$A$10:$Z$227,V$2,FALSE)</f>
        <v>0 c. 0 %</v>
      </c>
      <c r="W46" s="443" t="str">
        <f>VLOOKUP($A46,'Pre-Assessment Estimator'!$A$10:$Z$227,W$2,FALSE)</f>
        <v>N/A</v>
      </c>
      <c r="X46" s="446" t="str">
        <f>IF(VLOOKUP($A46,'Pre-Assessment Estimator'!$A$10:$Z$227,X$2,FALSE)=0,"",VLOOKUP($A46,'Pre-Assessment Estimator'!$A$10:$Z$227,X$2,FALSE))</f>
        <v/>
      </c>
      <c r="Y46" s="446" t="str">
        <f>IF(VLOOKUP($A46,'Pre-Assessment Estimator'!$A$10:$Z$227,Y$2,FALSE)=0,"",VLOOKUP($A46,'Pre-Assessment Estimator'!$A$10:$Z$227,Y$2,FALSE))</f>
        <v/>
      </c>
      <c r="Z46" s="313" t="str">
        <f>IF(VLOOKUP($A46,'Pre-Assessment Estimator'!$A$10:$Z$227,Z$2,FALSE)=0,"",VLOOKUP($A46,'Pre-Assessment Estimator'!$A$10:$Z$227,Z$2,FALSE))</f>
        <v/>
      </c>
      <c r="AA46" s="544">
        <v>36</v>
      </c>
      <c r="AB46" s="446"/>
      <c r="AF46" s="13">
        <f t="shared" si="0"/>
        <v>1</v>
      </c>
      <c r="AN46" s="13"/>
      <c r="AO46" s="13"/>
      <c r="AP46" s="13"/>
    </row>
    <row r="47" spans="1:42" ht="30">
      <c r="A47" s="652">
        <v>38</v>
      </c>
      <c r="B47" s="958" t="s">
        <v>286</v>
      </c>
      <c r="C47" s="958"/>
      <c r="D47" s="980" t="str">
        <f>VLOOKUP($A47,'Pre-Assessment Estimator'!$A$10:$Z$227,D$2,FALSE)</f>
        <v>Hea 02</v>
      </c>
      <c r="E47" s="981" t="str">
        <f>VLOOKUP($A47,'Pre-Assessment Estimator'!$A$10:$Z$227,E$2,FALSE)</f>
        <v>Pre-requisite: A site-specific indoor air quality plan has been produced</v>
      </c>
      <c r="F47" s="443" t="str">
        <f>VLOOKUP($A47,'Pre-Assessment Estimator'!$A$10:$Z$227,F$2,FALSE)</f>
        <v>Yes/No</v>
      </c>
      <c r="G47" s="449" t="str">
        <f>IF(VLOOKUP($A47,'Pre-Assessment Estimator'!$A$10:$Z$227,G$2,FALSE)=0,"",VLOOKUP($A47,'Pre-Assessment Estimator'!$A$10:$Z$227,G$2,FALSE))</f>
        <v/>
      </c>
      <c r="H47" s="948" t="str">
        <f>VLOOKUP($A47,'Pre-Assessment Estimator'!$A$10:$Z$227,H$2,FALSE)</f>
        <v>-</v>
      </c>
      <c r="I47" s="445" t="str">
        <f>VLOOKUP($A47,'Pre-Assessment Estimator'!$A$10:$Z$227,I$2,FALSE)</f>
        <v>Unclassified</v>
      </c>
      <c r="J47" s="446" t="str">
        <f>IF(VLOOKUP($A47,'Pre-Assessment Estimator'!$A$10:$Z$227,J$2,FALSE)=0,"",VLOOKUP($A47,'Pre-Assessment Estimator'!$A$10:$Z$227,J$2,FALSE))</f>
        <v/>
      </c>
      <c r="K47" s="446" t="str">
        <f>IF(VLOOKUP($A47,'Pre-Assessment Estimator'!$A$10:$Z$227,K$2,FALSE)=0,"",VLOOKUP($A47,'Pre-Assessment Estimator'!$A$10:$Z$227,K$2,FALSE))</f>
        <v/>
      </c>
      <c r="L47" s="447" t="str">
        <f>IF(VLOOKUP($A47,'Pre-Assessment Estimator'!$A$10:$Z$227,L$2,FALSE)=0,"",VLOOKUP($A47,'Pre-Assessment Estimator'!$A$10:$Z$227,L$2,FALSE))</f>
        <v/>
      </c>
      <c r="M47" s="448"/>
      <c r="N47" s="449" t="str">
        <f>IF(VLOOKUP($A47,'Pre-Assessment Estimator'!$A$10:$Z$227,N$2,FALSE)=0,"",VLOOKUP($A47,'Pre-Assessment Estimator'!$A$10:$Z$227,N$2,FALSE))</f>
        <v/>
      </c>
      <c r="O47" s="444" t="str">
        <f>VLOOKUP($A47,'Pre-Assessment Estimator'!$A$10:$Z$227,O$2,FALSE)</f>
        <v>-</v>
      </c>
      <c r="P47" s="443" t="str">
        <f>VLOOKUP($A47,'Pre-Assessment Estimator'!$A$10:$Z$227,P$2,FALSE)</f>
        <v>Unclassified</v>
      </c>
      <c r="Q47" s="446" t="str">
        <f>IF(VLOOKUP($A47,'Pre-Assessment Estimator'!$A$10:$Z$227,Q$2,FALSE)=0,"",VLOOKUP($A47,'Pre-Assessment Estimator'!$A$10:$Z$227,Q$2,FALSE))</f>
        <v/>
      </c>
      <c r="R47" s="446" t="str">
        <f>IF(VLOOKUP($A47,'Pre-Assessment Estimator'!$A$10:$Z$227,R$2,FALSE)=0,"",VLOOKUP($A47,'Pre-Assessment Estimator'!$A$10:$Z$227,R$2,FALSE))</f>
        <v/>
      </c>
      <c r="S47" s="447" t="str">
        <f>IF(VLOOKUP($A47,'Pre-Assessment Estimator'!$A$10:$Z$227,S$2,FALSE)=0,"",VLOOKUP($A47,'Pre-Assessment Estimator'!$A$10:$Z$227,S$2,FALSE))</f>
        <v/>
      </c>
      <c r="T47" s="450"/>
      <c r="U47" s="449" t="str">
        <f>IF(VLOOKUP($A47,'Pre-Assessment Estimator'!$A$10:$Z$227,U$2,FALSE)=0,"",VLOOKUP($A47,'Pre-Assessment Estimator'!$A$10:$Z$227,U$2,FALSE))</f>
        <v/>
      </c>
      <c r="V47" s="444" t="str">
        <f>VLOOKUP($A47,'Pre-Assessment Estimator'!$A$10:$Z$227,V$2,FALSE)</f>
        <v>-</v>
      </c>
      <c r="W47" s="443" t="str">
        <f>VLOOKUP($A47,'Pre-Assessment Estimator'!$A$10:$Z$227,W$2,FALSE)</f>
        <v>Unclassified</v>
      </c>
      <c r="X47" s="446" t="str">
        <f>IF(VLOOKUP($A47,'Pre-Assessment Estimator'!$A$10:$Z$227,X$2,FALSE)=0,"",VLOOKUP($A47,'Pre-Assessment Estimator'!$A$10:$Z$227,X$2,FALSE))</f>
        <v/>
      </c>
      <c r="Y47" s="446" t="str">
        <f>IF(VLOOKUP($A47,'Pre-Assessment Estimator'!$A$10:$Z$227,Y$2,FALSE)=0,"",VLOOKUP($A47,'Pre-Assessment Estimator'!$A$10:$Z$227,Y$2,FALSE))</f>
        <v/>
      </c>
      <c r="Z47" s="313" t="str">
        <f>IF(VLOOKUP($A47,'Pre-Assessment Estimator'!$A$10:$Z$227,Z$2,FALSE)=0,"",VLOOKUP($A47,'Pre-Assessment Estimator'!$A$10:$Z$227,Z$2,FALSE))</f>
        <v/>
      </c>
      <c r="AA47" s="544">
        <v>37</v>
      </c>
      <c r="AB47" s="446"/>
      <c r="AF47" s="13">
        <f t="shared" si="0"/>
        <v>1</v>
      </c>
      <c r="AN47" s="13"/>
      <c r="AO47" s="13"/>
      <c r="AP47" s="13"/>
    </row>
    <row r="48" spans="1:42">
      <c r="A48" s="652">
        <v>39</v>
      </c>
      <c r="B48" s="958" t="s">
        <v>286</v>
      </c>
      <c r="C48" s="958"/>
      <c r="D48" s="980" t="str">
        <f>VLOOKUP($A48,'Pre-Assessment Estimator'!$A$10:$Z$227,D$2,FALSE)</f>
        <v>Hea 02</v>
      </c>
      <c r="E48" s="981" t="str">
        <f>VLOOKUP($A48,'Pre-Assessment Estimator'!$A$10:$Z$227,E$2,FALSE)</f>
        <v>Ventilation</v>
      </c>
      <c r="F48" s="443">
        <f>VLOOKUP($A48,'Pre-Assessment Estimator'!$A$10:$Z$227,F$2,FALSE)</f>
        <v>1</v>
      </c>
      <c r="G48" s="449" t="str">
        <f>IF(VLOOKUP($A48,'Pre-Assessment Estimator'!$A$10:$Z$227,G$2,FALSE)=0,"",VLOOKUP($A48,'Pre-Assessment Estimator'!$A$10:$Z$227,G$2,FALSE))</f>
        <v/>
      </c>
      <c r="H48" s="948">
        <f>VLOOKUP($A48,'Pre-Assessment Estimator'!$A$10:$Z$227,H$2,FALSE)</f>
        <v>0</v>
      </c>
      <c r="I48" s="445" t="str">
        <f>VLOOKUP($A48,'Pre-Assessment Estimator'!$A$10:$Z$227,I$2,FALSE)</f>
        <v>N/A</v>
      </c>
      <c r="J48" s="446" t="str">
        <f>IF(VLOOKUP($A48,'Pre-Assessment Estimator'!$A$10:$Z$227,J$2,FALSE)=0,"",VLOOKUP($A48,'Pre-Assessment Estimator'!$A$10:$Z$227,J$2,FALSE))</f>
        <v/>
      </c>
      <c r="K48" s="446" t="str">
        <f>IF(VLOOKUP($A48,'Pre-Assessment Estimator'!$A$10:$Z$227,K$2,FALSE)=0,"",VLOOKUP($A48,'Pre-Assessment Estimator'!$A$10:$Z$227,K$2,FALSE))</f>
        <v/>
      </c>
      <c r="L48" s="447" t="str">
        <f>IF(VLOOKUP($A48,'Pre-Assessment Estimator'!$A$10:$Z$227,L$2,FALSE)=0,"",VLOOKUP($A48,'Pre-Assessment Estimator'!$A$10:$Z$227,L$2,FALSE))</f>
        <v/>
      </c>
      <c r="M48" s="448"/>
      <c r="N48" s="449" t="str">
        <f>IF(VLOOKUP($A48,'Pre-Assessment Estimator'!$A$10:$Z$227,N$2,FALSE)=0,"",VLOOKUP($A48,'Pre-Assessment Estimator'!$A$10:$Z$227,N$2,FALSE))</f>
        <v/>
      </c>
      <c r="O48" s="444">
        <f>VLOOKUP($A48,'Pre-Assessment Estimator'!$A$10:$Z$227,O$2,FALSE)</f>
        <v>0</v>
      </c>
      <c r="P48" s="443" t="str">
        <f>VLOOKUP($A48,'Pre-Assessment Estimator'!$A$10:$Z$227,P$2,FALSE)</f>
        <v>N/A</v>
      </c>
      <c r="Q48" s="446" t="str">
        <f>IF(VLOOKUP($A48,'Pre-Assessment Estimator'!$A$10:$Z$227,Q$2,FALSE)=0,"",VLOOKUP($A48,'Pre-Assessment Estimator'!$A$10:$Z$227,Q$2,FALSE))</f>
        <v/>
      </c>
      <c r="R48" s="446" t="str">
        <f>IF(VLOOKUP($A48,'Pre-Assessment Estimator'!$A$10:$Z$227,R$2,FALSE)=0,"",VLOOKUP($A48,'Pre-Assessment Estimator'!$A$10:$Z$227,R$2,FALSE))</f>
        <v/>
      </c>
      <c r="S48" s="447" t="str">
        <f>IF(VLOOKUP($A48,'Pre-Assessment Estimator'!$A$10:$Z$227,S$2,FALSE)=0,"",VLOOKUP($A48,'Pre-Assessment Estimator'!$A$10:$Z$227,S$2,FALSE))</f>
        <v/>
      </c>
      <c r="T48" s="450"/>
      <c r="U48" s="449" t="str">
        <f>IF(VLOOKUP($A48,'Pre-Assessment Estimator'!$A$10:$Z$227,U$2,FALSE)=0,"",VLOOKUP($A48,'Pre-Assessment Estimator'!$A$10:$Z$227,U$2,FALSE))</f>
        <v/>
      </c>
      <c r="V48" s="444">
        <f>VLOOKUP($A48,'Pre-Assessment Estimator'!$A$10:$Z$227,V$2,FALSE)</f>
        <v>0</v>
      </c>
      <c r="W48" s="443" t="str">
        <f>VLOOKUP($A48,'Pre-Assessment Estimator'!$A$10:$Z$227,W$2,FALSE)</f>
        <v>N/A</v>
      </c>
      <c r="X48" s="446" t="str">
        <f>IF(VLOOKUP($A48,'Pre-Assessment Estimator'!$A$10:$Z$227,X$2,FALSE)=0,"",VLOOKUP($A48,'Pre-Assessment Estimator'!$A$10:$Z$227,X$2,FALSE))</f>
        <v/>
      </c>
      <c r="Y48" s="446" t="str">
        <f>IF(VLOOKUP($A48,'Pre-Assessment Estimator'!$A$10:$Z$227,Y$2,FALSE)=0,"",VLOOKUP($A48,'Pre-Assessment Estimator'!$A$10:$Z$227,Y$2,FALSE))</f>
        <v/>
      </c>
      <c r="Z48" s="313" t="str">
        <f>IF(VLOOKUP($A48,'Pre-Assessment Estimator'!$A$10:$Z$227,Z$2,FALSE)=0,"",VLOOKUP($A48,'Pre-Assessment Estimator'!$A$10:$Z$227,Z$2,FALSE))</f>
        <v/>
      </c>
      <c r="AA48" s="544">
        <v>38</v>
      </c>
      <c r="AB48" s="446"/>
      <c r="AF48" s="13">
        <f t="shared" si="0"/>
        <v>1</v>
      </c>
      <c r="AN48" s="13"/>
      <c r="AO48" s="13"/>
      <c r="AP48" s="13"/>
    </row>
    <row r="49" spans="1:42" ht="30">
      <c r="A49" s="652">
        <v>40</v>
      </c>
      <c r="B49" s="958" t="s">
        <v>286</v>
      </c>
      <c r="C49" s="958"/>
      <c r="D49" s="980" t="str">
        <f>VLOOKUP($A49,'Pre-Assessment Estimator'!$A$10:$Z$227,D$2,FALSE)</f>
        <v>Hea 02</v>
      </c>
      <c r="E49" s="981" t="str">
        <f>VLOOKUP($A49,'Pre-Assessment Estimator'!$A$10:$Z$227,E$2,FALSE)</f>
        <v>Emissions from construction products (EU taxonomy requirement: criterion 5)</v>
      </c>
      <c r="F49" s="443">
        <f>VLOOKUP($A49,'Pre-Assessment Estimator'!$A$10:$Z$227,F$2,FALSE)</f>
        <v>2</v>
      </c>
      <c r="G49" s="449" t="str">
        <f>IF(VLOOKUP($A49,'Pre-Assessment Estimator'!$A$10:$Z$227,G$2,FALSE)=0,"",VLOOKUP($A49,'Pre-Assessment Estimator'!$A$10:$Z$227,G$2,FALSE))</f>
        <v/>
      </c>
      <c r="H49" s="948">
        <f>VLOOKUP($A49,'Pre-Assessment Estimator'!$A$10:$Z$227,H$2,FALSE)</f>
        <v>0</v>
      </c>
      <c r="I49" s="445" t="str">
        <f>VLOOKUP($A49,'Pre-Assessment Estimator'!$A$10:$Z$227,I$2,FALSE)</f>
        <v>Good</v>
      </c>
      <c r="J49" s="446" t="str">
        <f>IF(VLOOKUP($A49,'Pre-Assessment Estimator'!$A$10:$Z$227,J$2,FALSE)=0,"",VLOOKUP($A49,'Pre-Assessment Estimator'!$A$10:$Z$227,J$2,FALSE))</f>
        <v/>
      </c>
      <c r="K49" s="446" t="str">
        <f>IF(VLOOKUP($A49,'Pre-Assessment Estimator'!$A$10:$Z$227,K$2,FALSE)=0,"",VLOOKUP($A49,'Pre-Assessment Estimator'!$A$10:$Z$227,K$2,FALSE))</f>
        <v/>
      </c>
      <c r="L49" s="447" t="str">
        <f>IF(VLOOKUP($A49,'Pre-Assessment Estimator'!$A$10:$Z$227,L$2,FALSE)=0,"",VLOOKUP($A49,'Pre-Assessment Estimator'!$A$10:$Z$227,L$2,FALSE))</f>
        <v/>
      </c>
      <c r="M49" s="448"/>
      <c r="N49" s="449" t="str">
        <f>IF(VLOOKUP($A49,'Pre-Assessment Estimator'!$A$10:$Z$227,N$2,FALSE)=0,"",VLOOKUP($A49,'Pre-Assessment Estimator'!$A$10:$Z$227,N$2,FALSE))</f>
        <v/>
      </c>
      <c r="O49" s="444">
        <f>VLOOKUP($A49,'Pre-Assessment Estimator'!$A$10:$Z$227,O$2,FALSE)</f>
        <v>0</v>
      </c>
      <c r="P49" s="443" t="str">
        <f>VLOOKUP($A49,'Pre-Assessment Estimator'!$A$10:$Z$227,P$2,FALSE)</f>
        <v>Good</v>
      </c>
      <c r="Q49" s="446" t="str">
        <f>IF(VLOOKUP($A49,'Pre-Assessment Estimator'!$A$10:$Z$227,Q$2,FALSE)=0,"",VLOOKUP($A49,'Pre-Assessment Estimator'!$A$10:$Z$227,Q$2,FALSE))</f>
        <v/>
      </c>
      <c r="R49" s="446" t="str">
        <f>IF(VLOOKUP($A49,'Pre-Assessment Estimator'!$A$10:$Z$227,R$2,FALSE)=0,"",VLOOKUP($A49,'Pre-Assessment Estimator'!$A$10:$Z$227,R$2,FALSE))</f>
        <v/>
      </c>
      <c r="S49" s="447" t="str">
        <f>IF(VLOOKUP($A49,'Pre-Assessment Estimator'!$A$10:$Z$227,S$2,FALSE)=0,"",VLOOKUP($A49,'Pre-Assessment Estimator'!$A$10:$Z$227,S$2,FALSE))</f>
        <v/>
      </c>
      <c r="T49" s="450"/>
      <c r="U49" s="449" t="str">
        <f>IF(VLOOKUP($A49,'Pre-Assessment Estimator'!$A$10:$Z$227,U$2,FALSE)=0,"",VLOOKUP($A49,'Pre-Assessment Estimator'!$A$10:$Z$227,U$2,FALSE))</f>
        <v/>
      </c>
      <c r="V49" s="444">
        <f>VLOOKUP($A49,'Pre-Assessment Estimator'!$A$10:$Z$227,V$2,FALSE)</f>
        <v>0</v>
      </c>
      <c r="W49" s="443" t="str">
        <f>VLOOKUP($A49,'Pre-Assessment Estimator'!$A$10:$Z$227,W$2,FALSE)</f>
        <v>Good</v>
      </c>
      <c r="X49" s="446" t="str">
        <f>IF(VLOOKUP($A49,'Pre-Assessment Estimator'!$A$10:$Z$227,X$2,FALSE)=0,"",VLOOKUP($A49,'Pre-Assessment Estimator'!$A$10:$Z$227,X$2,FALSE))</f>
        <v/>
      </c>
      <c r="Y49" s="446" t="str">
        <f>IF(VLOOKUP($A49,'Pre-Assessment Estimator'!$A$10:$Z$227,Y$2,FALSE)=0,"",VLOOKUP($A49,'Pre-Assessment Estimator'!$A$10:$Z$227,Y$2,FALSE))</f>
        <v/>
      </c>
      <c r="Z49" s="313" t="str">
        <f>IF(VLOOKUP($A49,'Pre-Assessment Estimator'!$A$10:$Z$227,Z$2,FALSE)=0,"",VLOOKUP($A49,'Pre-Assessment Estimator'!$A$10:$Z$227,Z$2,FALSE))</f>
        <v/>
      </c>
      <c r="AA49" s="544">
        <v>39</v>
      </c>
      <c r="AB49" s="446"/>
      <c r="AF49" s="13">
        <f t="shared" si="0"/>
        <v>1</v>
      </c>
      <c r="AN49" s="13"/>
      <c r="AO49" s="13"/>
      <c r="AP49" s="13"/>
    </row>
    <row r="50" spans="1:42">
      <c r="A50" s="652">
        <v>41</v>
      </c>
      <c r="B50" s="958" t="s">
        <v>286</v>
      </c>
      <c r="C50" s="958"/>
      <c r="D50" s="980" t="str">
        <f>VLOOKUP($A50,'Pre-Assessment Estimator'!$A$10:$Z$227,D$2,FALSE)</f>
        <v>Hea 02</v>
      </c>
      <c r="E50" s="981" t="str">
        <f>VLOOKUP($A50,'Pre-Assessment Estimator'!$A$10:$Z$227,E$2,FALSE)</f>
        <v xml:space="preserve">Post-construction indoor air quality measurement </v>
      </c>
      <c r="F50" s="443">
        <f>VLOOKUP($A50,'Pre-Assessment Estimator'!$A$10:$Z$227,F$2,FALSE)</f>
        <v>1</v>
      </c>
      <c r="G50" s="449" t="str">
        <f>IF(VLOOKUP($A50,'Pre-Assessment Estimator'!$A$10:$Z$227,G$2,FALSE)=0,"",VLOOKUP($A50,'Pre-Assessment Estimator'!$A$10:$Z$227,G$2,FALSE))</f>
        <v/>
      </c>
      <c r="H50" s="948">
        <f>VLOOKUP($A50,'Pre-Assessment Estimator'!$A$10:$Z$227,H$2,FALSE)</f>
        <v>0</v>
      </c>
      <c r="I50" s="445" t="str">
        <f>VLOOKUP($A50,'Pre-Assessment Estimator'!$A$10:$Z$227,I$2,FALSE)</f>
        <v>N/A</v>
      </c>
      <c r="J50" s="446" t="str">
        <f>IF(VLOOKUP($A50,'Pre-Assessment Estimator'!$A$10:$Z$227,J$2,FALSE)=0,"",VLOOKUP($A50,'Pre-Assessment Estimator'!$A$10:$Z$227,J$2,FALSE))</f>
        <v/>
      </c>
      <c r="K50" s="446" t="str">
        <f>IF(VLOOKUP($A50,'Pre-Assessment Estimator'!$A$10:$Z$227,K$2,FALSE)=0,"",VLOOKUP($A50,'Pre-Assessment Estimator'!$A$10:$Z$227,K$2,FALSE))</f>
        <v/>
      </c>
      <c r="L50" s="447" t="str">
        <f>IF(VLOOKUP($A50,'Pre-Assessment Estimator'!$A$10:$Z$227,L$2,FALSE)=0,"",VLOOKUP($A50,'Pre-Assessment Estimator'!$A$10:$Z$227,L$2,FALSE))</f>
        <v/>
      </c>
      <c r="M50" s="448"/>
      <c r="N50" s="449" t="str">
        <f>IF(VLOOKUP($A50,'Pre-Assessment Estimator'!$A$10:$Z$227,N$2,FALSE)=0,"",VLOOKUP($A50,'Pre-Assessment Estimator'!$A$10:$Z$227,N$2,FALSE))</f>
        <v/>
      </c>
      <c r="O50" s="444">
        <f>VLOOKUP($A50,'Pre-Assessment Estimator'!$A$10:$Z$227,O$2,FALSE)</f>
        <v>0</v>
      </c>
      <c r="P50" s="443" t="str">
        <f>VLOOKUP($A50,'Pre-Assessment Estimator'!$A$10:$Z$227,P$2,FALSE)</f>
        <v>N/A</v>
      </c>
      <c r="Q50" s="446" t="str">
        <f>IF(VLOOKUP($A50,'Pre-Assessment Estimator'!$A$10:$Z$227,Q$2,FALSE)=0,"",VLOOKUP($A50,'Pre-Assessment Estimator'!$A$10:$Z$227,Q$2,FALSE))</f>
        <v/>
      </c>
      <c r="R50" s="446" t="str">
        <f>IF(VLOOKUP($A50,'Pre-Assessment Estimator'!$A$10:$Z$227,R$2,FALSE)=0,"",VLOOKUP($A50,'Pre-Assessment Estimator'!$A$10:$Z$227,R$2,FALSE))</f>
        <v/>
      </c>
      <c r="S50" s="447" t="str">
        <f>IF(VLOOKUP($A50,'Pre-Assessment Estimator'!$A$10:$Z$227,S$2,FALSE)=0,"",VLOOKUP($A50,'Pre-Assessment Estimator'!$A$10:$Z$227,S$2,FALSE))</f>
        <v/>
      </c>
      <c r="T50" s="450"/>
      <c r="U50" s="449" t="str">
        <f>IF(VLOOKUP($A50,'Pre-Assessment Estimator'!$A$10:$Z$227,U$2,FALSE)=0,"",VLOOKUP($A50,'Pre-Assessment Estimator'!$A$10:$Z$227,U$2,FALSE))</f>
        <v/>
      </c>
      <c r="V50" s="444">
        <f>VLOOKUP($A50,'Pre-Assessment Estimator'!$A$10:$Z$227,V$2,FALSE)</f>
        <v>0</v>
      </c>
      <c r="W50" s="443" t="str">
        <f>VLOOKUP($A50,'Pre-Assessment Estimator'!$A$10:$Z$227,W$2,FALSE)</f>
        <v>N/A</v>
      </c>
      <c r="X50" s="446" t="str">
        <f>IF(VLOOKUP($A50,'Pre-Assessment Estimator'!$A$10:$Z$227,X$2,FALSE)=0,"",VLOOKUP($A50,'Pre-Assessment Estimator'!$A$10:$Z$227,X$2,FALSE))</f>
        <v/>
      </c>
      <c r="Y50" s="446" t="str">
        <f>IF(VLOOKUP($A50,'Pre-Assessment Estimator'!$A$10:$Z$227,Y$2,FALSE)=0,"",VLOOKUP($A50,'Pre-Assessment Estimator'!$A$10:$Z$227,Y$2,FALSE))</f>
        <v/>
      </c>
      <c r="Z50" s="313" t="str">
        <f>IF(VLOOKUP($A50,'Pre-Assessment Estimator'!$A$10:$Z$227,Z$2,FALSE)=0,"",VLOOKUP($A50,'Pre-Assessment Estimator'!$A$10:$Z$227,Z$2,FALSE))</f>
        <v/>
      </c>
      <c r="AA50" s="544">
        <v>40</v>
      </c>
      <c r="AB50" s="446"/>
      <c r="AF50" s="13">
        <f t="shared" si="0"/>
        <v>1</v>
      </c>
      <c r="AN50" s="13"/>
      <c r="AO50" s="13"/>
      <c r="AP50" s="13"/>
    </row>
    <row r="51" spans="1:42">
      <c r="A51" s="652">
        <v>42</v>
      </c>
      <c r="B51" s="958" t="s">
        <v>286</v>
      </c>
      <c r="C51" s="958"/>
      <c r="D51" s="979" t="str">
        <f>VLOOKUP($A51,'Pre-Assessment Estimator'!$A$10:$Z$227,D$2,FALSE)</f>
        <v>Hea 03</v>
      </c>
      <c r="E51" s="979" t="str">
        <f>VLOOKUP($A51,'Pre-Assessment Estimator'!$A$10:$Z$227,E$2,FALSE)</f>
        <v>Hea 03 Thermal comfort</v>
      </c>
      <c r="F51" s="443">
        <f>VLOOKUP($A51,'Pre-Assessment Estimator'!$A$10:$Z$227,F$2,FALSE)</f>
        <v>3</v>
      </c>
      <c r="G51" s="449" t="str">
        <f>IF(VLOOKUP($A51,'Pre-Assessment Estimator'!$A$10:$Z$227,G$2,FALSE)=0,"",VLOOKUP($A51,'Pre-Assessment Estimator'!$A$10:$Z$227,G$2,FALSE))</f>
        <v/>
      </c>
      <c r="H51" s="948" t="str">
        <f>VLOOKUP($A51,'Pre-Assessment Estimator'!$A$10:$Z$227,H$2,FALSE)</f>
        <v>0 c. 0 %</v>
      </c>
      <c r="I51" s="445" t="str">
        <f>VLOOKUP($A51,'Pre-Assessment Estimator'!$A$10:$Z$227,I$2,FALSE)</f>
        <v>N/A</v>
      </c>
      <c r="J51" s="446" t="str">
        <f>IF(VLOOKUP($A51,'Pre-Assessment Estimator'!$A$10:$Z$227,J$2,FALSE)=0,"",VLOOKUP($A51,'Pre-Assessment Estimator'!$A$10:$Z$227,J$2,FALSE))</f>
        <v/>
      </c>
      <c r="K51" s="446" t="str">
        <f>IF(VLOOKUP($A51,'Pre-Assessment Estimator'!$A$10:$Z$227,K$2,FALSE)=0,"",VLOOKUP($A51,'Pre-Assessment Estimator'!$A$10:$Z$227,K$2,FALSE))</f>
        <v/>
      </c>
      <c r="L51" s="447" t="str">
        <f>IF(VLOOKUP($A51,'Pre-Assessment Estimator'!$A$10:$Z$227,L$2,FALSE)=0,"",VLOOKUP($A51,'Pre-Assessment Estimator'!$A$10:$Z$227,L$2,FALSE))</f>
        <v/>
      </c>
      <c r="M51" s="448"/>
      <c r="N51" s="449" t="str">
        <f>IF(VLOOKUP($A51,'Pre-Assessment Estimator'!$A$10:$Z$227,N$2,FALSE)=0,"",VLOOKUP($A51,'Pre-Assessment Estimator'!$A$10:$Z$227,N$2,FALSE))</f>
        <v/>
      </c>
      <c r="O51" s="444" t="str">
        <f>VLOOKUP($A51,'Pre-Assessment Estimator'!$A$10:$Z$227,O$2,FALSE)</f>
        <v>0 c. 0 %</v>
      </c>
      <c r="P51" s="443" t="str">
        <f>VLOOKUP($A51,'Pre-Assessment Estimator'!$A$10:$Z$227,P$2,FALSE)</f>
        <v>N/A</v>
      </c>
      <c r="Q51" s="446" t="str">
        <f>IF(VLOOKUP($A51,'Pre-Assessment Estimator'!$A$10:$Z$227,Q$2,FALSE)=0,"",VLOOKUP($A51,'Pre-Assessment Estimator'!$A$10:$Z$227,Q$2,FALSE))</f>
        <v/>
      </c>
      <c r="R51" s="446" t="str">
        <f>IF(VLOOKUP($A51,'Pre-Assessment Estimator'!$A$10:$Z$227,R$2,FALSE)=0,"",VLOOKUP($A51,'Pre-Assessment Estimator'!$A$10:$Z$227,R$2,FALSE))</f>
        <v/>
      </c>
      <c r="S51" s="447" t="str">
        <f>IF(VLOOKUP($A51,'Pre-Assessment Estimator'!$A$10:$Z$227,S$2,FALSE)=0,"",VLOOKUP($A51,'Pre-Assessment Estimator'!$A$10:$Z$227,S$2,FALSE))</f>
        <v/>
      </c>
      <c r="T51" s="450"/>
      <c r="U51" s="449" t="str">
        <f>IF(VLOOKUP($A51,'Pre-Assessment Estimator'!$A$10:$Z$227,U$2,FALSE)=0,"",VLOOKUP($A51,'Pre-Assessment Estimator'!$A$10:$Z$227,U$2,FALSE))</f>
        <v/>
      </c>
      <c r="V51" s="444" t="str">
        <f>VLOOKUP($A51,'Pre-Assessment Estimator'!$A$10:$Z$227,V$2,FALSE)</f>
        <v>0 c. 0 %</v>
      </c>
      <c r="W51" s="443" t="str">
        <f>VLOOKUP($A51,'Pre-Assessment Estimator'!$A$10:$Z$227,W$2,FALSE)</f>
        <v>N/A</v>
      </c>
      <c r="X51" s="446" t="str">
        <f>IF(VLOOKUP($A51,'Pre-Assessment Estimator'!$A$10:$Z$227,X$2,FALSE)=0,"",VLOOKUP($A51,'Pre-Assessment Estimator'!$A$10:$Z$227,X$2,FALSE))</f>
        <v/>
      </c>
      <c r="Y51" s="446" t="str">
        <f>IF(VLOOKUP($A51,'Pre-Assessment Estimator'!$A$10:$Z$227,Y$2,FALSE)=0,"",VLOOKUP($A51,'Pre-Assessment Estimator'!$A$10:$Z$227,Y$2,FALSE))</f>
        <v/>
      </c>
      <c r="Z51" s="313" t="str">
        <f>IF(VLOOKUP($A51,'Pre-Assessment Estimator'!$A$10:$Z$227,Z$2,FALSE)=0,"",VLOOKUP($A51,'Pre-Assessment Estimator'!$A$10:$Z$227,Z$2,FALSE))</f>
        <v/>
      </c>
      <c r="AA51" s="544">
        <v>41</v>
      </c>
      <c r="AB51" s="446"/>
      <c r="AF51" s="13">
        <f t="shared" si="0"/>
        <v>1</v>
      </c>
      <c r="AN51" s="13"/>
      <c r="AO51" s="13"/>
      <c r="AP51" s="13"/>
    </row>
    <row r="52" spans="1:42">
      <c r="A52" s="652">
        <v>43</v>
      </c>
      <c r="B52" s="958" t="s">
        <v>286</v>
      </c>
      <c r="C52" s="958"/>
      <c r="D52" s="980" t="str">
        <f>VLOOKUP($A52,'Pre-Assessment Estimator'!$A$10:$Z$227,D$2,FALSE)</f>
        <v>Hea 03</v>
      </c>
      <c r="E52" s="981" t="str">
        <f>VLOOKUP($A52,'Pre-Assessment Estimator'!$A$10:$Z$227,E$2,FALSE)</f>
        <v xml:space="preserve">Thermal modelling </v>
      </c>
      <c r="F52" s="443">
        <f>VLOOKUP($A52,'Pre-Assessment Estimator'!$A$10:$Z$227,F$2,FALSE)</f>
        <v>1</v>
      </c>
      <c r="G52" s="449" t="str">
        <f>IF(VLOOKUP($A52,'Pre-Assessment Estimator'!$A$10:$Z$227,G$2,FALSE)=0,"",VLOOKUP($A52,'Pre-Assessment Estimator'!$A$10:$Z$227,G$2,FALSE))</f>
        <v/>
      </c>
      <c r="H52" s="948">
        <f>VLOOKUP($A52,'Pre-Assessment Estimator'!$A$10:$Z$227,H$2,FALSE)</f>
        <v>0</v>
      </c>
      <c r="I52" s="445" t="str">
        <f>VLOOKUP($A52,'Pre-Assessment Estimator'!$A$10:$Z$227,I$2,FALSE)</f>
        <v>N/A</v>
      </c>
      <c r="J52" s="446" t="str">
        <f>IF(VLOOKUP($A52,'Pre-Assessment Estimator'!$A$10:$Z$227,J$2,FALSE)=0,"",VLOOKUP($A52,'Pre-Assessment Estimator'!$A$10:$Z$227,J$2,FALSE))</f>
        <v/>
      </c>
      <c r="K52" s="446" t="str">
        <f>IF(VLOOKUP($A52,'Pre-Assessment Estimator'!$A$10:$Z$227,K$2,FALSE)=0,"",VLOOKUP($A52,'Pre-Assessment Estimator'!$A$10:$Z$227,K$2,FALSE))</f>
        <v/>
      </c>
      <c r="L52" s="447" t="str">
        <f>IF(VLOOKUP($A52,'Pre-Assessment Estimator'!$A$10:$Z$227,L$2,FALSE)=0,"",VLOOKUP($A52,'Pre-Assessment Estimator'!$A$10:$Z$227,L$2,FALSE))</f>
        <v/>
      </c>
      <c r="M52" s="448"/>
      <c r="N52" s="449" t="str">
        <f>IF(VLOOKUP($A52,'Pre-Assessment Estimator'!$A$10:$Z$227,N$2,FALSE)=0,"",VLOOKUP($A52,'Pre-Assessment Estimator'!$A$10:$Z$227,N$2,FALSE))</f>
        <v/>
      </c>
      <c r="O52" s="444">
        <f>VLOOKUP($A52,'Pre-Assessment Estimator'!$A$10:$Z$227,O$2,FALSE)</f>
        <v>0</v>
      </c>
      <c r="P52" s="443" t="str">
        <f>VLOOKUP($A52,'Pre-Assessment Estimator'!$A$10:$Z$227,P$2,FALSE)</f>
        <v>N/A</v>
      </c>
      <c r="Q52" s="446" t="str">
        <f>IF(VLOOKUP($A52,'Pre-Assessment Estimator'!$A$10:$Z$227,Q$2,FALSE)=0,"",VLOOKUP($A52,'Pre-Assessment Estimator'!$A$10:$Z$227,Q$2,FALSE))</f>
        <v/>
      </c>
      <c r="R52" s="446" t="str">
        <f>IF(VLOOKUP($A52,'Pre-Assessment Estimator'!$A$10:$Z$227,R$2,FALSE)=0,"",VLOOKUP($A52,'Pre-Assessment Estimator'!$A$10:$Z$227,R$2,FALSE))</f>
        <v/>
      </c>
      <c r="S52" s="447" t="str">
        <f>IF(VLOOKUP($A52,'Pre-Assessment Estimator'!$A$10:$Z$227,S$2,FALSE)=0,"",VLOOKUP($A52,'Pre-Assessment Estimator'!$A$10:$Z$227,S$2,FALSE))</f>
        <v/>
      </c>
      <c r="T52" s="450"/>
      <c r="U52" s="449" t="str">
        <f>IF(VLOOKUP($A52,'Pre-Assessment Estimator'!$A$10:$Z$227,U$2,FALSE)=0,"",VLOOKUP($A52,'Pre-Assessment Estimator'!$A$10:$Z$227,U$2,FALSE))</f>
        <v/>
      </c>
      <c r="V52" s="444">
        <f>VLOOKUP($A52,'Pre-Assessment Estimator'!$A$10:$Z$227,V$2,FALSE)</f>
        <v>0</v>
      </c>
      <c r="W52" s="443" t="str">
        <f>VLOOKUP($A52,'Pre-Assessment Estimator'!$A$10:$Z$227,W$2,FALSE)</f>
        <v>N/A</v>
      </c>
      <c r="X52" s="446" t="str">
        <f>IF(VLOOKUP($A52,'Pre-Assessment Estimator'!$A$10:$Z$227,X$2,FALSE)=0,"",VLOOKUP($A52,'Pre-Assessment Estimator'!$A$10:$Z$227,X$2,FALSE))</f>
        <v/>
      </c>
      <c r="Y52" s="446" t="str">
        <f>IF(VLOOKUP($A52,'Pre-Assessment Estimator'!$A$10:$Z$227,Y$2,FALSE)=0,"",VLOOKUP($A52,'Pre-Assessment Estimator'!$A$10:$Z$227,Y$2,FALSE))</f>
        <v/>
      </c>
      <c r="Z52" s="313" t="str">
        <f>IF(VLOOKUP($A52,'Pre-Assessment Estimator'!$A$10:$Z$227,Z$2,FALSE)=0,"",VLOOKUP($A52,'Pre-Assessment Estimator'!$A$10:$Z$227,Z$2,FALSE))</f>
        <v/>
      </c>
      <c r="AA52" s="544">
        <v>42</v>
      </c>
      <c r="AB52" s="446"/>
      <c r="AF52" s="13">
        <f t="shared" si="0"/>
        <v>1</v>
      </c>
      <c r="AN52" s="13"/>
      <c r="AO52" s="13"/>
      <c r="AP52" s="13"/>
    </row>
    <row r="53" spans="1:42">
      <c r="A53" s="652">
        <v>44</v>
      </c>
      <c r="B53" s="958" t="s">
        <v>286</v>
      </c>
      <c r="C53" s="958"/>
      <c r="D53" s="980" t="str">
        <f>VLOOKUP($A53,'Pre-Assessment Estimator'!$A$10:$Z$227,D$2,FALSE)</f>
        <v>Hea 03</v>
      </c>
      <c r="E53" s="981" t="str">
        <f>VLOOKUP($A53,'Pre-Assessment Estimator'!$A$10:$Z$227,E$2,FALSE)</f>
        <v xml:space="preserve">Design for future thermal comfort </v>
      </c>
      <c r="F53" s="443">
        <f>VLOOKUP($A53,'Pre-Assessment Estimator'!$A$10:$Z$227,F$2,FALSE)</f>
        <v>1</v>
      </c>
      <c r="G53" s="449" t="str">
        <f>IF(VLOOKUP($A53,'Pre-Assessment Estimator'!$A$10:$Z$227,G$2,FALSE)=0,"",VLOOKUP($A53,'Pre-Assessment Estimator'!$A$10:$Z$227,G$2,FALSE))</f>
        <v/>
      </c>
      <c r="H53" s="948">
        <f>VLOOKUP($A53,'Pre-Assessment Estimator'!$A$10:$Z$227,H$2,FALSE)</f>
        <v>0</v>
      </c>
      <c r="I53" s="445" t="str">
        <f>VLOOKUP($A53,'Pre-Assessment Estimator'!$A$10:$Z$227,I$2,FALSE)</f>
        <v>N/A</v>
      </c>
      <c r="J53" s="446" t="str">
        <f>IF(VLOOKUP($A53,'Pre-Assessment Estimator'!$A$10:$Z$227,J$2,FALSE)=0,"",VLOOKUP($A53,'Pre-Assessment Estimator'!$A$10:$Z$227,J$2,FALSE))</f>
        <v/>
      </c>
      <c r="K53" s="446" t="str">
        <f>IF(VLOOKUP($A53,'Pre-Assessment Estimator'!$A$10:$Z$227,K$2,FALSE)=0,"",VLOOKUP($A53,'Pre-Assessment Estimator'!$A$10:$Z$227,K$2,FALSE))</f>
        <v/>
      </c>
      <c r="L53" s="447" t="str">
        <f>IF(VLOOKUP($A53,'Pre-Assessment Estimator'!$A$10:$Z$227,L$2,FALSE)=0,"",VLOOKUP($A53,'Pre-Assessment Estimator'!$A$10:$Z$227,L$2,FALSE))</f>
        <v/>
      </c>
      <c r="M53" s="448"/>
      <c r="N53" s="449" t="str">
        <f>IF(VLOOKUP($A53,'Pre-Assessment Estimator'!$A$10:$Z$227,N$2,FALSE)=0,"",VLOOKUP($A53,'Pre-Assessment Estimator'!$A$10:$Z$227,N$2,FALSE))</f>
        <v/>
      </c>
      <c r="O53" s="444">
        <f>VLOOKUP($A53,'Pre-Assessment Estimator'!$A$10:$Z$227,O$2,FALSE)</f>
        <v>0</v>
      </c>
      <c r="P53" s="443" t="str">
        <f>VLOOKUP($A53,'Pre-Assessment Estimator'!$A$10:$Z$227,P$2,FALSE)</f>
        <v>N/A</v>
      </c>
      <c r="Q53" s="446" t="str">
        <f>IF(VLOOKUP($A53,'Pre-Assessment Estimator'!$A$10:$Z$227,Q$2,FALSE)=0,"",VLOOKUP($A53,'Pre-Assessment Estimator'!$A$10:$Z$227,Q$2,FALSE))</f>
        <v/>
      </c>
      <c r="R53" s="446" t="str">
        <f>IF(VLOOKUP($A53,'Pre-Assessment Estimator'!$A$10:$Z$227,R$2,FALSE)=0,"",VLOOKUP($A53,'Pre-Assessment Estimator'!$A$10:$Z$227,R$2,FALSE))</f>
        <v/>
      </c>
      <c r="S53" s="447" t="str">
        <f>IF(VLOOKUP($A53,'Pre-Assessment Estimator'!$A$10:$Z$227,S$2,FALSE)=0,"",VLOOKUP($A53,'Pre-Assessment Estimator'!$A$10:$Z$227,S$2,FALSE))</f>
        <v/>
      </c>
      <c r="T53" s="450"/>
      <c r="U53" s="449" t="str">
        <f>IF(VLOOKUP($A53,'Pre-Assessment Estimator'!$A$10:$Z$227,U$2,FALSE)=0,"",VLOOKUP($A53,'Pre-Assessment Estimator'!$A$10:$Z$227,U$2,FALSE))</f>
        <v/>
      </c>
      <c r="V53" s="444">
        <f>VLOOKUP($A53,'Pre-Assessment Estimator'!$A$10:$Z$227,V$2,FALSE)</f>
        <v>0</v>
      </c>
      <c r="W53" s="443" t="str">
        <f>VLOOKUP($A53,'Pre-Assessment Estimator'!$A$10:$Z$227,W$2,FALSE)</f>
        <v>N/A</v>
      </c>
      <c r="X53" s="446" t="str">
        <f>IF(VLOOKUP($A53,'Pre-Assessment Estimator'!$A$10:$Z$227,X$2,FALSE)=0,"",VLOOKUP($A53,'Pre-Assessment Estimator'!$A$10:$Z$227,X$2,FALSE))</f>
        <v/>
      </c>
      <c r="Y53" s="446" t="str">
        <f>IF(VLOOKUP($A53,'Pre-Assessment Estimator'!$A$10:$Z$227,Y$2,FALSE)=0,"",VLOOKUP($A53,'Pre-Assessment Estimator'!$A$10:$Z$227,Y$2,FALSE))</f>
        <v/>
      </c>
      <c r="Z53" s="313" t="str">
        <f>IF(VLOOKUP($A53,'Pre-Assessment Estimator'!$A$10:$Z$227,Z$2,FALSE)=0,"",VLOOKUP($A53,'Pre-Assessment Estimator'!$A$10:$Z$227,Z$2,FALSE))</f>
        <v/>
      </c>
      <c r="AA53" s="544">
        <v>43</v>
      </c>
      <c r="AB53" s="446"/>
      <c r="AF53" s="13">
        <f t="shared" si="0"/>
        <v>1</v>
      </c>
      <c r="AN53" s="13"/>
      <c r="AO53" s="13"/>
      <c r="AP53" s="13"/>
    </row>
    <row r="54" spans="1:42">
      <c r="A54" s="652">
        <v>45</v>
      </c>
      <c r="B54" s="958" t="s">
        <v>286</v>
      </c>
      <c r="C54" s="958"/>
      <c r="D54" s="980" t="str">
        <f>VLOOKUP($A54,'Pre-Assessment Estimator'!$A$10:$Z$227,D$2,FALSE)</f>
        <v>Hea 03</v>
      </c>
      <c r="E54" s="981" t="str">
        <f>VLOOKUP($A54,'Pre-Assessment Estimator'!$A$10:$Z$227,E$2,FALSE)</f>
        <v xml:space="preserve">Thermal zoning and controls </v>
      </c>
      <c r="F54" s="443">
        <f>VLOOKUP($A54,'Pre-Assessment Estimator'!$A$10:$Z$227,F$2,FALSE)</f>
        <v>1</v>
      </c>
      <c r="G54" s="449" t="str">
        <f>IF(VLOOKUP($A54,'Pre-Assessment Estimator'!$A$10:$Z$227,G$2,FALSE)=0,"",VLOOKUP($A54,'Pre-Assessment Estimator'!$A$10:$Z$227,G$2,FALSE))</f>
        <v/>
      </c>
      <c r="H54" s="948">
        <f>VLOOKUP($A54,'Pre-Assessment Estimator'!$A$10:$Z$227,H$2,FALSE)</f>
        <v>0</v>
      </c>
      <c r="I54" s="445" t="str">
        <f>VLOOKUP($A54,'Pre-Assessment Estimator'!$A$10:$Z$227,I$2,FALSE)</f>
        <v>N/A</v>
      </c>
      <c r="J54" s="446" t="str">
        <f>IF(VLOOKUP($A54,'Pre-Assessment Estimator'!$A$10:$Z$227,J$2,FALSE)=0,"",VLOOKUP($A54,'Pre-Assessment Estimator'!$A$10:$Z$227,J$2,FALSE))</f>
        <v/>
      </c>
      <c r="K54" s="446" t="str">
        <f>IF(VLOOKUP($A54,'Pre-Assessment Estimator'!$A$10:$Z$227,K$2,FALSE)=0,"",VLOOKUP($A54,'Pre-Assessment Estimator'!$A$10:$Z$227,K$2,FALSE))</f>
        <v/>
      </c>
      <c r="L54" s="447" t="str">
        <f>IF(VLOOKUP($A54,'Pre-Assessment Estimator'!$A$10:$Z$227,L$2,FALSE)=0,"",VLOOKUP($A54,'Pre-Assessment Estimator'!$A$10:$Z$227,L$2,FALSE))</f>
        <v/>
      </c>
      <c r="M54" s="448"/>
      <c r="N54" s="449" t="str">
        <f>IF(VLOOKUP($A54,'Pre-Assessment Estimator'!$A$10:$Z$227,N$2,FALSE)=0,"",VLOOKUP($A54,'Pre-Assessment Estimator'!$A$10:$Z$227,N$2,FALSE))</f>
        <v/>
      </c>
      <c r="O54" s="444">
        <f>VLOOKUP($A54,'Pre-Assessment Estimator'!$A$10:$Z$227,O$2,FALSE)</f>
        <v>0</v>
      </c>
      <c r="P54" s="443" t="str">
        <f>VLOOKUP($A54,'Pre-Assessment Estimator'!$A$10:$Z$227,P$2,FALSE)</f>
        <v>N/A</v>
      </c>
      <c r="Q54" s="446" t="str">
        <f>IF(VLOOKUP($A54,'Pre-Assessment Estimator'!$A$10:$Z$227,Q$2,FALSE)=0,"",VLOOKUP($A54,'Pre-Assessment Estimator'!$A$10:$Z$227,Q$2,FALSE))</f>
        <v/>
      </c>
      <c r="R54" s="446" t="str">
        <f>IF(VLOOKUP($A54,'Pre-Assessment Estimator'!$A$10:$Z$227,R$2,FALSE)=0,"",VLOOKUP($A54,'Pre-Assessment Estimator'!$A$10:$Z$227,R$2,FALSE))</f>
        <v/>
      </c>
      <c r="S54" s="447" t="str">
        <f>IF(VLOOKUP($A54,'Pre-Assessment Estimator'!$A$10:$Z$227,S$2,FALSE)=0,"",VLOOKUP($A54,'Pre-Assessment Estimator'!$A$10:$Z$227,S$2,FALSE))</f>
        <v/>
      </c>
      <c r="T54" s="450"/>
      <c r="U54" s="449" t="str">
        <f>IF(VLOOKUP($A54,'Pre-Assessment Estimator'!$A$10:$Z$227,U$2,FALSE)=0,"",VLOOKUP($A54,'Pre-Assessment Estimator'!$A$10:$Z$227,U$2,FALSE))</f>
        <v/>
      </c>
      <c r="V54" s="444">
        <f>VLOOKUP($A54,'Pre-Assessment Estimator'!$A$10:$Z$227,V$2,FALSE)</f>
        <v>0</v>
      </c>
      <c r="W54" s="443" t="str">
        <f>VLOOKUP($A54,'Pre-Assessment Estimator'!$A$10:$Z$227,W$2,FALSE)</f>
        <v>N/A</v>
      </c>
      <c r="X54" s="446" t="str">
        <f>IF(VLOOKUP($A54,'Pre-Assessment Estimator'!$A$10:$Z$227,X$2,FALSE)=0,"",VLOOKUP($A54,'Pre-Assessment Estimator'!$A$10:$Z$227,X$2,FALSE))</f>
        <v/>
      </c>
      <c r="Y54" s="446" t="str">
        <f>IF(VLOOKUP($A54,'Pre-Assessment Estimator'!$A$10:$Z$227,Y$2,FALSE)=0,"",VLOOKUP($A54,'Pre-Assessment Estimator'!$A$10:$Z$227,Y$2,FALSE))</f>
        <v/>
      </c>
      <c r="Z54" s="313" t="str">
        <f>IF(VLOOKUP($A54,'Pre-Assessment Estimator'!$A$10:$Z$227,Z$2,FALSE)=0,"",VLOOKUP($A54,'Pre-Assessment Estimator'!$A$10:$Z$227,Z$2,FALSE))</f>
        <v/>
      </c>
      <c r="AA54" s="544">
        <v>44</v>
      </c>
      <c r="AB54" s="446"/>
      <c r="AF54" s="13">
        <f t="shared" si="0"/>
        <v>1</v>
      </c>
      <c r="AN54" s="13"/>
      <c r="AO54" s="13"/>
      <c r="AP54" s="13"/>
    </row>
    <row r="55" spans="1:42">
      <c r="A55" s="652">
        <v>46</v>
      </c>
      <c r="B55" s="958" t="s">
        <v>286</v>
      </c>
      <c r="C55" s="958"/>
      <c r="D55" s="979" t="str">
        <f>VLOOKUP($A55,'Pre-Assessment Estimator'!$A$10:$Z$227,D$2,FALSE)</f>
        <v>Hea 05</v>
      </c>
      <c r="E55" s="979" t="str">
        <f>VLOOKUP($A55,'Pre-Assessment Estimator'!$A$10:$Z$227,E$2,FALSE)</f>
        <v>Hea 05 Acoustic performance</v>
      </c>
      <c r="F55" s="443">
        <f>VLOOKUP($A55,'Pre-Assessment Estimator'!$A$10:$Z$227,F$2,FALSE)</f>
        <v>3</v>
      </c>
      <c r="G55" s="449" t="str">
        <f>IF(VLOOKUP($A55,'Pre-Assessment Estimator'!$A$10:$Z$227,G$2,FALSE)=0,"",VLOOKUP($A55,'Pre-Assessment Estimator'!$A$10:$Z$227,G$2,FALSE))</f>
        <v/>
      </c>
      <c r="H55" s="948" t="str">
        <f>VLOOKUP($A55,'Pre-Assessment Estimator'!$A$10:$Z$227,H$2,FALSE)</f>
        <v>0 c. 0 %</v>
      </c>
      <c r="I55" s="445" t="str">
        <f>VLOOKUP($A55,'Pre-Assessment Estimator'!$A$10:$Z$227,I$2,FALSE)</f>
        <v>N/A</v>
      </c>
      <c r="J55" s="446" t="str">
        <f>IF(VLOOKUP($A55,'Pre-Assessment Estimator'!$A$10:$Z$227,J$2,FALSE)=0,"",VLOOKUP($A55,'Pre-Assessment Estimator'!$A$10:$Z$227,J$2,FALSE))</f>
        <v/>
      </c>
      <c r="K55" s="446" t="str">
        <f>IF(VLOOKUP($A55,'Pre-Assessment Estimator'!$A$10:$Z$227,K$2,FALSE)=0,"",VLOOKUP($A55,'Pre-Assessment Estimator'!$A$10:$Z$227,K$2,FALSE))</f>
        <v/>
      </c>
      <c r="L55" s="447" t="str">
        <f>IF(VLOOKUP($A55,'Pre-Assessment Estimator'!$A$10:$Z$227,L$2,FALSE)=0,"",VLOOKUP($A55,'Pre-Assessment Estimator'!$A$10:$Z$227,L$2,FALSE))</f>
        <v/>
      </c>
      <c r="M55" s="448"/>
      <c r="N55" s="449" t="str">
        <f>IF(VLOOKUP($A55,'Pre-Assessment Estimator'!$A$10:$Z$227,N$2,FALSE)=0,"",VLOOKUP($A55,'Pre-Assessment Estimator'!$A$10:$Z$227,N$2,FALSE))</f>
        <v/>
      </c>
      <c r="O55" s="444" t="str">
        <f>VLOOKUP($A55,'Pre-Assessment Estimator'!$A$10:$Z$227,O$2,FALSE)</f>
        <v>0 c. 0 %</v>
      </c>
      <c r="P55" s="443" t="str">
        <f>VLOOKUP($A55,'Pre-Assessment Estimator'!$A$10:$Z$227,P$2,FALSE)</f>
        <v>N/A</v>
      </c>
      <c r="Q55" s="446" t="str">
        <f>IF(VLOOKUP($A55,'Pre-Assessment Estimator'!$A$10:$Z$227,Q$2,FALSE)=0,"",VLOOKUP($A55,'Pre-Assessment Estimator'!$A$10:$Z$227,Q$2,FALSE))</f>
        <v/>
      </c>
      <c r="R55" s="446" t="str">
        <f>IF(VLOOKUP($A55,'Pre-Assessment Estimator'!$A$10:$Z$227,R$2,FALSE)=0,"",VLOOKUP($A55,'Pre-Assessment Estimator'!$A$10:$Z$227,R$2,FALSE))</f>
        <v/>
      </c>
      <c r="S55" s="447" t="str">
        <f>IF(VLOOKUP($A55,'Pre-Assessment Estimator'!$A$10:$Z$227,S$2,FALSE)=0,"",VLOOKUP($A55,'Pre-Assessment Estimator'!$A$10:$Z$227,S$2,FALSE))</f>
        <v/>
      </c>
      <c r="T55" s="450"/>
      <c r="U55" s="449" t="str">
        <f>IF(VLOOKUP($A55,'Pre-Assessment Estimator'!$A$10:$Z$227,U$2,FALSE)=0,"",VLOOKUP($A55,'Pre-Assessment Estimator'!$A$10:$Z$227,U$2,FALSE))</f>
        <v/>
      </c>
      <c r="V55" s="444" t="str">
        <f>VLOOKUP($A55,'Pre-Assessment Estimator'!$A$10:$Z$227,V$2,FALSE)</f>
        <v>0 c. 0 %</v>
      </c>
      <c r="W55" s="443" t="str">
        <f>VLOOKUP($A55,'Pre-Assessment Estimator'!$A$10:$Z$227,W$2,FALSE)</f>
        <v>N/A</v>
      </c>
      <c r="X55" s="446" t="str">
        <f>IF(VLOOKUP($A55,'Pre-Assessment Estimator'!$A$10:$Z$227,X$2,FALSE)=0,"",VLOOKUP($A55,'Pre-Assessment Estimator'!$A$10:$Z$227,X$2,FALSE))</f>
        <v/>
      </c>
      <c r="Y55" s="446" t="str">
        <f>IF(VLOOKUP($A55,'Pre-Assessment Estimator'!$A$10:$Z$227,Y$2,FALSE)=0,"",VLOOKUP($A55,'Pre-Assessment Estimator'!$A$10:$Z$227,Y$2,FALSE))</f>
        <v/>
      </c>
      <c r="Z55" s="313" t="str">
        <f>IF(VLOOKUP($A55,'Pre-Assessment Estimator'!$A$10:$Z$227,Z$2,FALSE)=0,"",VLOOKUP($A55,'Pre-Assessment Estimator'!$A$10:$Z$227,Z$2,FALSE))</f>
        <v/>
      </c>
      <c r="AA55" s="544">
        <v>45</v>
      </c>
      <c r="AB55" s="446"/>
      <c r="AF55" s="13">
        <f t="shared" si="0"/>
        <v>1</v>
      </c>
      <c r="AN55" s="13"/>
      <c r="AO55" s="13"/>
      <c r="AP55" s="13"/>
    </row>
    <row r="56" spans="1:42">
      <c r="A56" s="652">
        <v>47</v>
      </c>
      <c r="B56" s="958" t="s">
        <v>286</v>
      </c>
      <c r="C56" s="958"/>
      <c r="D56" s="980" t="str">
        <f>VLOOKUP($A56,'Pre-Assessment Estimator'!$A$10:$Z$227,D$2,FALSE)</f>
        <v>Hea 05</v>
      </c>
      <c r="E56" s="981" t="str">
        <f>VLOOKUP($A56,'Pre-Assessment Estimator'!$A$10:$Z$227,E$2,FALSE)</f>
        <v xml:space="preserve">Pre-requisite: suitably qualified acoustician </v>
      </c>
      <c r="F56" s="443" t="str">
        <f>VLOOKUP($A56,'Pre-Assessment Estimator'!$A$10:$Z$227,F$2,FALSE)</f>
        <v>Yes/No</v>
      </c>
      <c r="G56" s="449" t="str">
        <f>IF(VLOOKUP($A56,'Pre-Assessment Estimator'!$A$10:$Z$227,G$2,FALSE)=0,"",VLOOKUP($A56,'Pre-Assessment Estimator'!$A$10:$Z$227,G$2,FALSE))</f>
        <v/>
      </c>
      <c r="H56" s="948" t="str">
        <f>VLOOKUP($A56,'Pre-Assessment Estimator'!$A$10:$Z$227,H$2,FALSE)</f>
        <v>-</v>
      </c>
      <c r="I56" s="445" t="str">
        <f>VLOOKUP($A56,'Pre-Assessment Estimator'!$A$10:$Z$227,I$2,FALSE)</f>
        <v>N/A</v>
      </c>
      <c r="J56" s="446" t="str">
        <f>IF(VLOOKUP($A56,'Pre-Assessment Estimator'!$A$10:$Z$227,J$2,FALSE)=0,"",VLOOKUP($A56,'Pre-Assessment Estimator'!$A$10:$Z$227,J$2,FALSE))</f>
        <v/>
      </c>
      <c r="K56" s="446" t="str">
        <f>IF(VLOOKUP($A56,'Pre-Assessment Estimator'!$A$10:$Z$227,K$2,FALSE)=0,"",VLOOKUP($A56,'Pre-Assessment Estimator'!$A$10:$Z$227,K$2,FALSE))</f>
        <v/>
      </c>
      <c r="L56" s="447" t="str">
        <f>IF(VLOOKUP($A56,'Pre-Assessment Estimator'!$A$10:$Z$227,L$2,FALSE)=0,"",VLOOKUP($A56,'Pre-Assessment Estimator'!$A$10:$Z$227,L$2,FALSE))</f>
        <v/>
      </c>
      <c r="M56" s="448"/>
      <c r="N56" s="449" t="str">
        <f>IF(VLOOKUP($A56,'Pre-Assessment Estimator'!$A$10:$Z$227,N$2,FALSE)=0,"",VLOOKUP($A56,'Pre-Assessment Estimator'!$A$10:$Z$227,N$2,FALSE))</f>
        <v/>
      </c>
      <c r="O56" s="444" t="str">
        <f>VLOOKUP($A56,'Pre-Assessment Estimator'!$A$10:$Z$227,O$2,FALSE)</f>
        <v>-</v>
      </c>
      <c r="P56" s="443" t="str">
        <f>VLOOKUP($A56,'Pre-Assessment Estimator'!$A$10:$Z$227,P$2,FALSE)</f>
        <v>N/A</v>
      </c>
      <c r="Q56" s="446" t="str">
        <f>IF(VLOOKUP($A56,'Pre-Assessment Estimator'!$A$10:$Z$227,Q$2,FALSE)=0,"",VLOOKUP($A56,'Pre-Assessment Estimator'!$A$10:$Z$227,Q$2,FALSE))</f>
        <v/>
      </c>
      <c r="R56" s="446" t="str">
        <f>IF(VLOOKUP($A56,'Pre-Assessment Estimator'!$A$10:$Z$227,R$2,FALSE)=0,"",VLOOKUP($A56,'Pre-Assessment Estimator'!$A$10:$Z$227,R$2,FALSE))</f>
        <v/>
      </c>
      <c r="S56" s="447" t="str">
        <f>IF(VLOOKUP($A56,'Pre-Assessment Estimator'!$A$10:$Z$227,S$2,FALSE)=0,"",VLOOKUP($A56,'Pre-Assessment Estimator'!$A$10:$Z$227,S$2,FALSE))</f>
        <v/>
      </c>
      <c r="T56" s="450"/>
      <c r="U56" s="449" t="str">
        <f>IF(VLOOKUP($A56,'Pre-Assessment Estimator'!$A$10:$Z$227,U$2,FALSE)=0,"",VLOOKUP($A56,'Pre-Assessment Estimator'!$A$10:$Z$227,U$2,FALSE))</f>
        <v/>
      </c>
      <c r="V56" s="444" t="str">
        <f>VLOOKUP($A56,'Pre-Assessment Estimator'!$A$10:$Z$227,V$2,FALSE)</f>
        <v>-</v>
      </c>
      <c r="W56" s="443" t="str">
        <f>VLOOKUP($A56,'Pre-Assessment Estimator'!$A$10:$Z$227,W$2,FALSE)</f>
        <v>N/A</v>
      </c>
      <c r="X56" s="446" t="str">
        <f>IF(VLOOKUP($A56,'Pre-Assessment Estimator'!$A$10:$Z$227,X$2,FALSE)=0,"",VLOOKUP($A56,'Pre-Assessment Estimator'!$A$10:$Z$227,X$2,FALSE))</f>
        <v/>
      </c>
      <c r="Y56" s="446" t="str">
        <f>IF(VLOOKUP($A56,'Pre-Assessment Estimator'!$A$10:$Z$227,Y$2,FALSE)=0,"",VLOOKUP($A56,'Pre-Assessment Estimator'!$A$10:$Z$227,Y$2,FALSE))</f>
        <v/>
      </c>
      <c r="Z56" s="313" t="str">
        <f>IF(VLOOKUP($A56,'Pre-Assessment Estimator'!$A$10:$Z$227,Z$2,FALSE)=0,"",VLOOKUP($A56,'Pre-Assessment Estimator'!$A$10:$Z$227,Z$2,FALSE))</f>
        <v/>
      </c>
      <c r="AA56" s="544">
        <v>46</v>
      </c>
      <c r="AB56" s="446"/>
      <c r="AF56" s="13">
        <f t="shared" si="0"/>
        <v>1</v>
      </c>
      <c r="AN56" s="13"/>
      <c r="AO56" s="13"/>
      <c r="AP56" s="13"/>
    </row>
    <row r="57" spans="1:42">
      <c r="A57" s="652">
        <v>48</v>
      </c>
      <c r="B57" s="958" t="s">
        <v>286</v>
      </c>
      <c r="C57" s="958"/>
      <c r="D57" s="980" t="str">
        <f>VLOOKUP($A57,'Pre-Assessment Estimator'!$A$10:$Z$227,D$2,FALSE)</f>
        <v>Hea 05</v>
      </c>
      <c r="E57" s="981" t="str">
        <f>VLOOKUP($A57,'Pre-Assessment Estimator'!$A$10:$Z$227,E$2,FALSE)</f>
        <v xml:space="preserve">Sound class requirements </v>
      </c>
      <c r="F57" s="443">
        <f>VLOOKUP($A57,'Pre-Assessment Estimator'!$A$10:$Z$227,F$2,FALSE)</f>
        <v>3</v>
      </c>
      <c r="G57" s="449" t="str">
        <f>IF(VLOOKUP($A57,'Pre-Assessment Estimator'!$A$10:$Z$227,G$2,FALSE)=0,"",VLOOKUP($A57,'Pre-Assessment Estimator'!$A$10:$Z$227,G$2,FALSE))</f>
        <v/>
      </c>
      <c r="H57" s="948">
        <f>VLOOKUP($A57,'Pre-Assessment Estimator'!$A$10:$Z$227,H$2,FALSE)</f>
        <v>0</v>
      </c>
      <c r="I57" s="445" t="str">
        <f>VLOOKUP($A57,'Pre-Assessment Estimator'!$A$10:$Z$227,I$2,FALSE)</f>
        <v>N/A</v>
      </c>
      <c r="J57" s="446" t="str">
        <f>IF(VLOOKUP($A57,'Pre-Assessment Estimator'!$A$10:$Z$227,J$2,FALSE)=0,"",VLOOKUP($A57,'Pre-Assessment Estimator'!$A$10:$Z$227,J$2,FALSE))</f>
        <v/>
      </c>
      <c r="K57" s="446" t="str">
        <f>IF(VLOOKUP($A57,'Pre-Assessment Estimator'!$A$10:$Z$227,K$2,FALSE)=0,"",VLOOKUP($A57,'Pre-Assessment Estimator'!$A$10:$Z$227,K$2,FALSE))</f>
        <v/>
      </c>
      <c r="L57" s="447" t="str">
        <f>IF(VLOOKUP($A57,'Pre-Assessment Estimator'!$A$10:$Z$227,L$2,FALSE)=0,"",VLOOKUP($A57,'Pre-Assessment Estimator'!$A$10:$Z$227,L$2,FALSE))</f>
        <v/>
      </c>
      <c r="M57" s="448"/>
      <c r="N57" s="449" t="str">
        <f>IF(VLOOKUP($A57,'Pre-Assessment Estimator'!$A$10:$Z$227,N$2,FALSE)=0,"",VLOOKUP($A57,'Pre-Assessment Estimator'!$A$10:$Z$227,N$2,FALSE))</f>
        <v/>
      </c>
      <c r="O57" s="444">
        <f>VLOOKUP($A57,'Pre-Assessment Estimator'!$A$10:$Z$227,O$2,FALSE)</f>
        <v>0</v>
      </c>
      <c r="P57" s="443" t="str">
        <f>VLOOKUP($A57,'Pre-Assessment Estimator'!$A$10:$Z$227,P$2,FALSE)</f>
        <v>N/A</v>
      </c>
      <c r="Q57" s="446" t="str">
        <f>IF(VLOOKUP($A57,'Pre-Assessment Estimator'!$A$10:$Z$227,Q$2,FALSE)=0,"",VLOOKUP($A57,'Pre-Assessment Estimator'!$A$10:$Z$227,Q$2,FALSE))</f>
        <v/>
      </c>
      <c r="R57" s="446" t="str">
        <f>IF(VLOOKUP($A57,'Pre-Assessment Estimator'!$A$10:$Z$227,R$2,FALSE)=0,"",VLOOKUP($A57,'Pre-Assessment Estimator'!$A$10:$Z$227,R$2,FALSE))</f>
        <v/>
      </c>
      <c r="S57" s="447" t="str">
        <f>IF(VLOOKUP($A57,'Pre-Assessment Estimator'!$A$10:$Z$227,S$2,FALSE)=0,"",VLOOKUP($A57,'Pre-Assessment Estimator'!$A$10:$Z$227,S$2,FALSE))</f>
        <v/>
      </c>
      <c r="T57" s="450"/>
      <c r="U57" s="449" t="str">
        <f>IF(VLOOKUP($A57,'Pre-Assessment Estimator'!$A$10:$Z$227,U$2,FALSE)=0,"",VLOOKUP($A57,'Pre-Assessment Estimator'!$A$10:$Z$227,U$2,FALSE))</f>
        <v/>
      </c>
      <c r="V57" s="444">
        <f>VLOOKUP($A57,'Pre-Assessment Estimator'!$A$10:$Z$227,V$2,FALSE)</f>
        <v>0</v>
      </c>
      <c r="W57" s="443" t="str">
        <f>VLOOKUP($A57,'Pre-Assessment Estimator'!$A$10:$Z$227,W$2,FALSE)</f>
        <v>N/A</v>
      </c>
      <c r="X57" s="446" t="str">
        <f>IF(VLOOKUP($A57,'Pre-Assessment Estimator'!$A$10:$Z$227,X$2,FALSE)=0,"",VLOOKUP($A57,'Pre-Assessment Estimator'!$A$10:$Z$227,X$2,FALSE))</f>
        <v/>
      </c>
      <c r="Y57" s="446" t="str">
        <f>IF(VLOOKUP($A57,'Pre-Assessment Estimator'!$A$10:$Z$227,Y$2,FALSE)=0,"",VLOOKUP($A57,'Pre-Assessment Estimator'!$A$10:$Z$227,Y$2,FALSE))</f>
        <v/>
      </c>
      <c r="Z57" s="313" t="str">
        <f>IF(VLOOKUP($A57,'Pre-Assessment Estimator'!$A$10:$Z$227,Z$2,FALSE)=0,"",VLOOKUP($A57,'Pre-Assessment Estimator'!$A$10:$Z$227,Z$2,FALSE))</f>
        <v/>
      </c>
      <c r="AA57" s="544">
        <v>47</v>
      </c>
      <c r="AB57" s="446"/>
      <c r="AF57" s="13">
        <f t="shared" si="0"/>
        <v>1</v>
      </c>
      <c r="AN57" s="13"/>
      <c r="AO57" s="13"/>
      <c r="AP57" s="13"/>
    </row>
    <row r="58" spans="1:42">
      <c r="A58" s="652">
        <v>49</v>
      </c>
      <c r="B58" s="958" t="s">
        <v>286</v>
      </c>
      <c r="C58" s="958"/>
      <c r="D58" s="979" t="str">
        <f>VLOOKUP($A58,'Pre-Assessment Estimator'!$A$10:$Z$227,D$2,FALSE)</f>
        <v>Hea 06</v>
      </c>
      <c r="E58" s="979" t="str">
        <f>VLOOKUP($A58,'Pre-Assessment Estimator'!$A$10:$Z$227,E$2,FALSE)</f>
        <v>Hea 06 Safe access</v>
      </c>
      <c r="F58" s="443">
        <f>VLOOKUP($A58,'Pre-Assessment Estimator'!$A$10:$Z$227,F$2,FALSE)</f>
        <v>2</v>
      </c>
      <c r="G58" s="449" t="str">
        <f>IF(VLOOKUP($A58,'Pre-Assessment Estimator'!$A$10:$Z$227,G$2,FALSE)=0,"",VLOOKUP($A58,'Pre-Assessment Estimator'!$A$10:$Z$227,G$2,FALSE))</f>
        <v/>
      </c>
      <c r="H58" s="948" t="str">
        <f>VLOOKUP($A58,'Pre-Assessment Estimator'!$A$10:$Z$227,H$2,FALSE)</f>
        <v>0 c. 0 %</v>
      </c>
      <c r="I58" s="445" t="str">
        <f>VLOOKUP($A58,'Pre-Assessment Estimator'!$A$10:$Z$227,I$2,FALSE)</f>
        <v>N/A</v>
      </c>
      <c r="J58" s="446" t="str">
        <f>IF(VLOOKUP($A58,'Pre-Assessment Estimator'!$A$10:$Z$227,J$2,FALSE)=0,"",VLOOKUP($A58,'Pre-Assessment Estimator'!$A$10:$Z$227,J$2,FALSE))</f>
        <v/>
      </c>
      <c r="K58" s="446" t="str">
        <f>IF(VLOOKUP($A58,'Pre-Assessment Estimator'!$A$10:$Z$227,K$2,FALSE)=0,"",VLOOKUP($A58,'Pre-Assessment Estimator'!$A$10:$Z$227,K$2,FALSE))</f>
        <v/>
      </c>
      <c r="L58" s="447" t="str">
        <f>IF(VLOOKUP($A58,'Pre-Assessment Estimator'!$A$10:$Z$227,L$2,FALSE)=0,"",VLOOKUP($A58,'Pre-Assessment Estimator'!$A$10:$Z$227,L$2,FALSE))</f>
        <v/>
      </c>
      <c r="M58" s="448"/>
      <c r="N58" s="449" t="str">
        <f>IF(VLOOKUP($A58,'Pre-Assessment Estimator'!$A$10:$Z$227,N$2,FALSE)=0,"",VLOOKUP($A58,'Pre-Assessment Estimator'!$A$10:$Z$227,N$2,FALSE))</f>
        <v/>
      </c>
      <c r="O58" s="444" t="str">
        <f>VLOOKUP($A58,'Pre-Assessment Estimator'!$A$10:$Z$227,O$2,FALSE)</f>
        <v>0 c. 0 %</v>
      </c>
      <c r="P58" s="443" t="str">
        <f>VLOOKUP($A58,'Pre-Assessment Estimator'!$A$10:$Z$227,P$2,FALSE)</f>
        <v>N/A</v>
      </c>
      <c r="Q58" s="446" t="str">
        <f>IF(VLOOKUP($A58,'Pre-Assessment Estimator'!$A$10:$Z$227,Q$2,FALSE)=0,"",VLOOKUP($A58,'Pre-Assessment Estimator'!$A$10:$Z$227,Q$2,FALSE))</f>
        <v/>
      </c>
      <c r="R58" s="446" t="str">
        <f>IF(VLOOKUP($A58,'Pre-Assessment Estimator'!$A$10:$Z$227,R$2,FALSE)=0,"",VLOOKUP($A58,'Pre-Assessment Estimator'!$A$10:$Z$227,R$2,FALSE))</f>
        <v/>
      </c>
      <c r="S58" s="447" t="str">
        <f>IF(VLOOKUP($A58,'Pre-Assessment Estimator'!$A$10:$Z$227,S$2,FALSE)=0,"",VLOOKUP($A58,'Pre-Assessment Estimator'!$A$10:$Z$227,S$2,FALSE))</f>
        <v/>
      </c>
      <c r="T58" s="450"/>
      <c r="U58" s="449" t="str">
        <f>IF(VLOOKUP($A58,'Pre-Assessment Estimator'!$A$10:$Z$227,U$2,FALSE)=0,"",VLOOKUP($A58,'Pre-Assessment Estimator'!$A$10:$Z$227,U$2,FALSE))</f>
        <v/>
      </c>
      <c r="V58" s="444" t="str">
        <f>VLOOKUP($A58,'Pre-Assessment Estimator'!$A$10:$Z$227,V$2,FALSE)</f>
        <v>0 c. 0 %</v>
      </c>
      <c r="W58" s="443" t="str">
        <f>VLOOKUP($A58,'Pre-Assessment Estimator'!$A$10:$Z$227,W$2,FALSE)</f>
        <v>N/A</v>
      </c>
      <c r="X58" s="446" t="str">
        <f>IF(VLOOKUP($A58,'Pre-Assessment Estimator'!$A$10:$Z$227,X$2,FALSE)=0,"",VLOOKUP($A58,'Pre-Assessment Estimator'!$A$10:$Z$227,X$2,FALSE))</f>
        <v/>
      </c>
      <c r="Y58" s="446" t="str">
        <f>IF(VLOOKUP($A58,'Pre-Assessment Estimator'!$A$10:$Z$227,Y$2,FALSE)=0,"",VLOOKUP($A58,'Pre-Assessment Estimator'!$A$10:$Z$227,Y$2,FALSE))</f>
        <v/>
      </c>
      <c r="Z58" s="313" t="str">
        <f>IF(VLOOKUP($A58,'Pre-Assessment Estimator'!$A$10:$Z$227,Z$2,FALSE)=0,"",VLOOKUP($A58,'Pre-Assessment Estimator'!$A$10:$Z$227,Z$2,FALSE))</f>
        <v/>
      </c>
      <c r="AA58" s="544">
        <v>48</v>
      </c>
      <c r="AB58" s="446"/>
      <c r="AF58" s="13">
        <f t="shared" si="0"/>
        <v>1</v>
      </c>
      <c r="AN58" s="13"/>
      <c r="AO58" s="13"/>
      <c r="AP58" s="13"/>
    </row>
    <row r="59" spans="1:42">
      <c r="A59" s="652">
        <v>50</v>
      </c>
      <c r="B59" s="958" t="s">
        <v>286</v>
      </c>
      <c r="C59" s="958"/>
      <c r="D59" s="980" t="str">
        <f>VLOOKUP($A59,'Pre-Assessment Estimator'!$A$10:$Z$227,D$2,FALSE)</f>
        <v>Hea 06</v>
      </c>
      <c r="E59" s="981" t="str">
        <f>VLOOKUP($A59,'Pre-Assessment Estimator'!$A$10:$Z$227,E$2,FALSE)</f>
        <v xml:space="preserve">Inclusive design </v>
      </c>
      <c r="F59" s="443">
        <f>VLOOKUP($A59,'Pre-Assessment Estimator'!$A$10:$Z$227,F$2,FALSE)</f>
        <v>1</v>
      </c>
      <c r="G59" s="449" t="str">
        <f>IF(VLOOKUP($A59,'Pre-Assessment Estimator'!$A$10:$Z$227,G$2,FALSE)=0,"",VLOOKUP($A59,'Pre-Assessment Estimator'!$A$10:$Z$227,G$2,FALSE))</f>
        <v/>
      </c>
      <c r="H59" s="948">
        <f>VLOOKUP($A59,'Pre-Assessment Estimator'!$A$10:$Z$227,H$2,FALSE)</f>
        <v>0</v>
      </c>
      <c r="I59" s="445" t="str">
        <f>VLOOKUP($A59,'Pre-Assessment Estimator'!$A$10:$Z$227,I$2,FALSE)</f>
        <v>N/A</v>
      </c>
      <c r="J59" s="446" t="str">
        <f>IF(VLOOKUP($A59,'Pre-Assessment Estimator'!$A$10:$Z$227,J$2,FALSE)=0,"",VLOOKUP($A59,'Pre-Assessment Estimator'!$A$10:$Z$227,J$2,FALSE))</f>
        <v/>
      </c>
      <c r="K59" s="446" t="str">
        <f>IF(VLOOKUP($A59,'Pre-Assessment Estimator'!$A$10:$Z$227,K$2,FALSE)=0,"",VLOOKUP($A59,'Pre-Assessment Estimator'!$A$10:$Z$227,K$2,FALSE))</f>
        <v/>
      </c>
      <c r="L59" s="447" t="str">
        <f>IF(VLOOKUP($A59,'Pre-Assessment Estimator'!$A$10:$Z$227,L$2,FALSE)=0,"",VLOOKUP($A59,'Pre-Assessment Estimator'!$A$10:$Z$227,L$2,FALSE))</f>
        <v/>
      </c>
      <c r="M59" s="448"/>
      <c r="N59" s="449" t="str">
        <f>IF(VLOOKUP($A59,'Pre-Assessment Estimator'!$A$10:$Z$227,N$2,FALSE)=0,"",VLOOKUP($A59,'Pre-Assessment Estimator'!$A$10:$Z$227,N$2,FALSE))</f>
        <v/>
      </c>
      <c r="O59" s="444">
        <f>VLOOKUP($A59,'Pre-Assessment Estimator'!$A$10:$Z$227,O$2,FALSE)</f>
        <v>0</v>
      </c>
      <c r="P59" s="443" t="str">
        <f>VLOOKUP($A59,'Pre-Assessment Estimator'!$A$10:$Z$227,P$2,FALSE)</f>
        <v>N/A</v>
      </c>
      <c r="Q59" s="446" t="str">
        <f>IF(VLOOKUP($A59,'Pre-Assessment Estimator'!$A$10:$Z$227,Q$2,FALSE)=0,"",VLOOKUP($A59,'Pre-Assessment Estimator'!$A$10:$Z$227,Q$2,FALSE))</f>
        <v/>
      </c>
      <c r="R59" s="446" t="str">
        <f>IF(VLOOKUP($A59,'Pre-Assessment Estimator'!$A$10:$Z$227,R$2,FALSE)=0,"",VLOOKUP($A59,'Pre-Assessment Estimator'!$A$10:$Z$227,R$2,FALSE))</f>
        <v/>
      </c>
      <c r="S59" s="447" t="str">
        <f>IF(VLOOKUP($A59,'Pre-Assessment Estimator'!$A$10:$Z$227,S$2,FALSE)=0,"",VLOOKUP($A59,'Pre-Assessment Estimator'!$A$10:$Z$227,S$2,FALSE))</f>
        <v/>
      </c>
      <c r="T59" s="450"/>
      <c r="U59" s="449" t="str">
        <f>IF(VLOOKUP($A59,'Pre-Assessment Estimator'!$A$10:$Z$227,U$2,FALSE)=0,"",VLOOKUP($A59,'Pre-Assessment Estimator'!$A$10:$Z$227,U$2,FALSE))</f>
        <v/>
      </c>
      <c r="V59" s="444">
        <f>VLOOKUP($A59,'Pre-Assessment Estimator'!$A$10:$Z$227,V$2,FALSE)</f>
        <v>0</v>
      </c>
      <c r="W59" s="443" t="str">
        <f>VLOOKUP($A59,'Pre-Assessment Estimator'!$A$10:$Z$227,W$2,FALSE)</f>
        <v>N/A</v>
      </c>
      <c r="X59" s="446" t="str">
        <f>IF(VLOOKUP($A59,'Pre-Assessment Estimator'!$A$10:$Z$227,X$2,FALSE)=0,"",VLOOKUP($A59,'Pre-Assessment Estimator'!$A$10:$Z$227,X$2,FALSE))</f>
        <v/>
      </c>
      <c r="Y59" s="446" t="str">
        <f>IF(VLOOKUP($A59,'Pre-Assessment Estimator'!$A$10:$Z$227,Y$2,FALSE)=0,"",VLOOKUP($A59,'Pre-Assessment Estimator'!$A$10:$Z$227,Y$2,FALSE))</f>
        <v/>
      </c>
      <c r="Z59" s="313" t="str">
        <f>IF(VLOOKUP($A59,'Pre-Assessment Estimator'!$A$10:$Z$227,Z$2,FALSE)=0,"",VLOOKUP($A59,'Pre-Assessment Estimator'!$A$10:$Z$227,Z$2,FALSE))</f>
        <v/>
      </c>
      <c r="AA59" s="544">
        <v>49</v>
      </c>
      <c r="AB59" s="446"/>
      <c r="AF59" s="13">
        <f t="shared" si="0"/>
        <v>1</v>
      </c>
      <c r="AN59" s="13"/>
      <c r="AO59" s="13"/>
      <c r="AP59" s="13"/>
    </row>
    <row r="60" spans="1:42">
      <c r="A60" s="652">
        <v>51</v>
      </c>
      <c r="B60" s="958" t="s">
        <v>286</v>
      </c>
      <c r="C60" s="958"/>
      <c r="D60" s="980" t="str">
        <f>VLOOKUP($A60,'Pre-Assessment Estimator'!$A$10:$Z$227,D$2,FALSE)</f>
        <v>Hea 06</v>
      </c>
      <c r="E60" s="981" t="str">
        <f>VLOOKUP($A60,'Pre-Assessment Estimator'!$A$10:$Z$227,E$2,FALSE)</f>
        <v xml:space="preserve">Biofilik design </v>
      </c>
      <c r="F60" s="443">
        <f>VLOOKUP($A60,'Pre-Assessment Estimator'!$A$10:$Z$227,F$2,FALSE)</f>
        <v>1</v>
      </c>
      <c r="G60" s="449" t="str">
        <f>IF(VLOOKUP($A60,'Pre-Assessment Estimator'!$A$10:$Z$227,G$2,FALSE)=0,"",VLOOKUP($A60,'Pre-Assessment Estimator'!$A$10:$Z$227,G$2,FALSE))</f>
        <v/>
      </c>
      <c r="H60" s="948">
        <f>VLOOKUP($A60,'Pre-Assessment Estimator'!$A$10:$Z$227,H$2,FALSE)</f>
        <v>0</v>
      </c>
      <c r="I60" s="445" t="str">
        <f>VLOOKUP($A60,'Pre-Assessment Estimator'!$A$10:$Z$227,I$2,FALSE)</f>
        <v>N/A</v>
      </c>
      <c r="J60" s="446" t="str">
        <f>IF(VLOOKUP($A60,'Pre-Assessment Estimator'!$A$10:$Z$227,J$2,FALSE)=0,"",VLOOKUP($A60,'Pre-Assessment Estimator'!$A$10:$Z$227,J$2,FALSE))</f>
        <v/>
      </c>
      <c r="K60" s="446" t="str">
        <f>IF(VLOOKUP($A60,'Pre-Assessment Estimator'!$A$10:$Z$227,K$2,FALSE)=0,"",VLOOKUP($A60,'Pre-Assessment Estimator'!$A$10:$Z$227,K$2,FALSE))</f>
        <v/>
      </c>
      <c r="L60" s="447" t="str">
        <f>IF(VLOOKUP($A60,'Pre-Assessment Estimator'!$A$10:$Z$227,L$2,FALSE)=0,"",VLOOKUP($A60,'Pre-Assessment Estimator'!$A$10:$Z$227,L$2,FALSE))</f>
        <v/>
      </c>
      <c r="M60" s="448"/>
      <c r="N60" s="449" t="str">
        <f>IF(VLOOKUP($A60,'Pre-Assessment Estimator'!$A$10:$Z$227,N$2,FALSE)=0,"",VLOOKUP($A60,'Pre-Assessment Estimator'!$A$10:$Z$227,N$2,FALSE))</f>
        <v/>
      </c>
      <c r="O60" s="444">
        <f>VLOOKUP($A60,'Pre-Assessment Estimator'!$A$10:$Z$227,O$2,FALSE)</f>
        <v>0</v>
      </c>
      <c r="P60" s="443" t="str">
        <f>VLOOKUP($A60,'Pre-Assessment Estimator'!$A$10:$Z$227,P$2,FALSE)</f>
        <v>N/A</v>
      </c>
      <c r="Q60" s="446" t="str">
        <f>IF(VLOOKUP($A60,'Pre-Assessment Estimator'!$A$10:$Z$227,Q$2,FALSE)=0,"",VLOOKUP($A60,'Pre-Assessment Estimator'!$A$10:$Z$227,Q$2,FALSE))</f>
        <v/>
      </c>
      <c r="R60" s="446" t="str">
        <f>IF(VLOOKUP($A60,'Pre-Assessment Estimator'!$A$10:$Z$227,R$2,FALSE)=0,"",VLOOKUP($A60,'Pre-Assessment Estimator'!$A$10:$Z$227,R$2,FALSE))</f>
        <v/>
      </c>
      <c r="S60" s="447" t="str">
        <f>IF(VLOOKUP($A60,'Pre-Assessment Estimator'!$A$10:$Z$227,S$2,FALSE)=0,"",VLOOKUP($A60,'Pre-Assessment Estimator'!$A$10:$Z$227,S$2,FALSE))</f>
        <v/>
      </c>
      <c r="T60" s="450"/>
      <c r="U60" s="449" t="str">
        <f>IF(VLOOKUP($A60,'Pre-Assessment Estimator'!$A$10:$Z$227,U$2,FALSE)=0,"",VLOOKUP($A60,'Pre-Assessment Estimator'!$A$10:$Z$227,U$2,FALSE))</f>
        <v/>
      </c>
      <c r="V60" s="444">
        <f>VLOOKUP($A60,'Pre-Assessment Estimator'!$A$10:$Z$227,V$2,FALSE)</f>
        <v>0</v>
      </c>
      <c r="W60" s="443" t="str">
        <f>VLOOKUP($A60,'Pre-Assessment Estimator'!$A$10:$Z$227,W$2,FALSE)</f>
        <v>N/A</v>
      </c>
      <c r="X60" s="446" t="str">
        <f>IF(VLOOKUP($A60,'Pre-Assessment Estimator'!$A$10:$Z$227,X$2,FALSE)=0,"",VLOOKUP($A60,'Pre-Assessment Estimator'!$A$10:$Z$227,X$2,FALSE))</f>
        <v/>
      </c>
      <c r="Y60" s="446" t="str">
        <f>IF(VLOOKUP($A60,'Pre-Assessment Estimator'!$A$10:$Z$227,Y$2,FALSE)=0,"",VLOOKUP($A60,'Pre-Assessment Estimator'!$A$10:$Z$227,Y$2,FALSE))</f>
        <v/>
      </c>
      <c r="Z60" s="313" t="str">
        <f>IF(VLOOKUP($A60,'Pre-Assessment Estimator'!$A$10:$Z$227,Z$2,FALSE)=0,"",VLOOKUP($A60,'Pre-Assessment Estimator'!$A$10:$Z$227,Z$2,FALSE))</f>
        <v/>
      </c>
      <c r="AA60" s="544">
        <v>50</v>
      </c>
      <c r="AB60" s="446"/>
      <c r="AF60" s="13">
        <f t="shared" si="0"/>
        <v>1</v>
      </c>
      <c r="AN60" s="13"/>
      <c r="AO60" s="13"/>
      <c r="AP60" s="13"/>
    </row>
    <row r="61" spans="1:42">
      <c r="A61" s="652">
        <v>52</v>
      </c>
      <c r="B61" s="958" t="s">
        <v>286</v>
      </c>
      <c r="C61" s="958"/>
      <c r="D61" s="979" t="str">
        <f>VLOOKUP($A61,'Pre-Assessment Estimator'!$A$10:$Z$227,D$2,FALSE)</f>
        <v>Hea 08</v>
      </c>
      <c r="E61" s="979" t="str">
        <f>VLOOKUP($A61,'Pre-Assessment Estimator'!$A$10:$Z$227,E$2,FALSE)</f>
        <v>Hea 08 Private space</v>
      </c>
      <c r="F61" s="443">
        <f>VLOOKUP($A61,'Pre-Assessment Estimator'!$A$10:$Z$227,F$2,FALSE)</f>
        <v>0</v>
      </c>
      <c r="G61" s="449" t="str">
        <f>IF(VLOOKUP($A61,'Pre-Assessment Estimator'!$A$10:$Z$227,G$2,FALSE)=0,"",VLOOKUP($A61,'Pre-Assessment Estimator'!$A$10:$Z$227,G$2,FALSE))</f>
        <v/>
      </c>
      <c r="H61" s="948" t="str">
        <f>VLOOKUP($A61,'Pre-Assessment Estimator'!$A$10:$Z$227,H$2,FALSE)</f>
        <v>0 c. 0 %</v>
      </c>
      <c r="I61" s="445" t="str">
        <f>VLOOKUP($A61,'Pre-Assessment Estimator'!$A$10:$Z$227,I$2,FALSE)</f>
        <v>N/A</v>
      </c>
      <c r="J61" s="446" t="str">
        <f>IF(VLOOKUP($A61,'Pre-Assessment Estimator'!$A$10:$Z$227,J$2,FALSE)=0,"",VLOOKUP($A61,'Pre-Assessment Estimator'!$A$10:$Z$227,J$2,FALSE))</f>
        <v/>
      </c>
      <c r="K61" s="446" t="str">
        <f>IF(VLOOKUP($A61,'Pre-Assessment Estimator'!$A$10:$Z$227,K$2,FALSE)=0,"",VLOOKUP($A61,'Pre-Assessment Estimator'!$A$10:$Z$227,K$2,FALSE))</f>
        <v/>
      </c>
      <c r="L61" s="447" t="str">
        <f>IF(VLOOKUP($A61,'Pre-Assessment Estimator'!$A$10:$Z$227,L$2,FALSE)=0,"",VLOOKUP($A61,'Pre-Assessment Estimator'!$A$10:$Z$227,L$2,FALSE))</f>
        <v/>
      </c>
      <c r="M61" s="448"/>
      <c r="N61" s="449" t="str">
        <f>IF(VLOOKUP($A61,'Pre-Assessment Estimator'!$A$10:$Z$227,N$2,FALSE)=0,"",VLOOKUP($A61,'Pre-Assessment Estimator'!$A$10:$Z$227,N$2,FALSE))</f>
        <v/>
      </c>
      <c r="O61" s="444" t="str">
        <f>VLOOKUP($A61,'Pre-Assessment Estimator'!$A$10:$Z$227,O$2,FALSE)</f>
        <v>0 c. 0 %</v>
      </c>
      <c r="P61" s="443" t="str">
        <f>VLOOKUP($A61,'Pre-Assessment Estimator'!$A$10:$Z$227,P$2,FALSE)</f>
        <v>N/A</v>
      </c>
      <c r="Q61" s="446" t="str">
        <f>IF(VLOOKUP($A61,'Pre-Assessment Estimator'!$A$10:$Z$227,Q$2,FALSE)=0,"",VLOOKUP($A61,'Pre-Assessment Estimator'!$A$10:$Z$227,Q$2,FALSE))</f>
        <v/>
      </c>
      <c r="R61" s="446" t="str">
        <f>IF(VLOOKUP($A61,'Pre-Assessment Estimator'!$A$10:$Z$227,R$2,FALSE)=0,"",VLOOKUP($A61,'Pre-Assessment Estimator'!$A$10:$Z$227,R$2,FALSE))</f>
        <v/>
      </c>
      <c r="S61" s="447" t="str">
        <f>IF(VLOOKUP($A61,'Pre-Assessment Estimator'!$A$10:$Z$227,S$2,FALSE)=0,"",VLOOKUP($A61,'Pre-Assessment Estimator'!$A$10:$Z$227,S$2,FALSE))</f>
        <v/>
      </c>
      <c r="T61" s="450"/>
      <c r="U61" s="449" t="str">
        <f>IF(VLOOKUP($A61,'Pre-Assessment Estimator'!$A$10:$Z$227,U$2,FALSE)=0,"",VLOOKUP($A61,'Pre-Assessment Estimator'!$A$10:$Z$227,U$2,FALSE))</f>
        <v/>
      </c>
      <c r="V61" s="444" t="str">
        <f>VLOOKUP($A61,'Pre-Assessment Estimator'!$A$10:$Z$227,V$2,FALSE)</f>
        <v>0 c. 0 %</v>
      </c>
      <c r="W61" s="443" t="str">
        <f>VLOOKUP($A61,'Pre-Assessment Estimator'!$A$10:$Z$227,W$2,FALSE)</f>
        <v>N/A</v>
      </c>
      <c r="X61" s="446" t="str">
        <f>IF(VLOOKUP($A61,'Pre-Assessment Estimator'!$A$10:$Z$227,X$2,FALSE)=0,"",VLOOKUP($A61,'Pre-Assessment Estimator'!$A$10:$Z$227,X$2,FALSE))</f>
        <v/>
      </c>
      <c r="Y61" s="446" t="str">
        <f>IF(VLOOKUP($A61,'Pre-Assessment Estimator'!$A$10:$Z$227,Y$2,FALSE)=0,"",VLOOKUP($A61,'Pre-Assessment Estimator'!$A$10:$Z$227,Y$2,FALSE))</f>
        <v/>
      </c>
      <c r="Z61" s="313" t="str">
        <f>IF(VLOOKUP($A61,'Pre-Assessment Estimator'!$A$10:$Z$227,Z$2,FALSE)=0,"",VLOOKUP($A61,'Pre-Assessment Estimator'!$A$10:$Z$227,Z$2,FALSE))</f>
        <v/>
      </c>
      <c r="AA61" s="544">
        <v>51</v>
      </c>
      <c r="AB61" s="446"/>
      <c r="AF61" s="13">
        <f t="shared" si="0"/>
        <v>2</v>
      </c>
      <c r="AN61" s="13"/>
      <c r="AO61" s="13"/>
      <c r="AP61" s="13"/>
    </row>
    <row r="62" spans="1:42">
      <c r="A62" s="652">
        <v>53</v>
      </c>
      <c r="B62" s="958" t="s">
        <v>286</v>
      </c>
      <c r="C62" s="958"/>
      <c r="D62" s="980" t="str">
        <f>VLOOKUP($A62,'Pre-Assessment Estimator'!$A$10:$Z$227,D$2,FALSE)</f>
        <v>Hea 08</v>
      </c>
      <c r="E62" s="981" t="str">
        <f>VLOOKUP($A62,'Pre-Assessment Estimator'!$A$10:$Z$227,E$2,FALSE)</f>
        <v xml:space="preserve">Private outdoor spaces </v>
      </c>
      <c r="F62" s="443">
        <f>VLOOKUP($A62,'Pre-Assessment Estimator'!$A$10:$Z$227,F$2,FALSE)</f>
        <v>0</v>
      </c>
      <c r="G62" s="449" t="str">
        <f>IF(VLOOKUP($A62,'Pre-Assessment Estimator'!$A$10:$Z$227,G$2,FALSE)=0,"",VLOOKUP($A62,'Pre-Assessment Estimator'!$A$10:$Z$227,G$2,FALSE))</f>
        <v/>
      </c>
      <c r="H62" s="948">
        <f>VLOOKUP($A62,'Pre-Assessment Estimator'!$A$10:$Z$227,H$2,FALSE)</f>
        <v>0</v>
      </c>
      <c r="I62" s="445" t="str">
        <f>VLOOKUP($A62,'Pre-Assessment Estimator'!$A$10:$Z$227,I$2,FALSE)</f>
        <v>N/A</v>
      </c>
      <c r="J62" s="446" t="str">
        <f>IF(VLOOKUP($A62,'Pre-Assessment Estimator'!$A$10:$Z$227,J$2,FALSE)=0,"",VLOOKUP($A62,'Pre-Assessment Estimator'!$A$10:$Z$227,J$2,FALSE))</f>
        <v/>
      </c>
      <c r="K62" s="446" t="str">
        <f>IF(VLOOKUP($A62,'Pre-Assessment Estimator'!$A$10:$Z$227,K$2,FALSE)=0,"",VLOOKUP($A62,'Pre-Assessment Estimator'!$A$10:$Z$227,K$2,FALSE))</f>
        <v/>
      </c>
      <c r="L62" s="447" t="str">
        <f>IF(VLOOKUP($A62,'Pre-Assessment Estimator'!$A$10:$Z$227,L$2,FALSE)=0,"",VLOOKUP($A62,'Pre-Assessment Estimator'!$A$10:$Z$227,L$2,FALSE))</f>
        <v/>
      </c>
      <c r="M62" s="448"/>
      <c r="N62" s="449" t="str">
        <f>IF(VLOOKUP($A62,'Pre-Assessment Estimator'!$A$10:$Z$227,N$2,FALSE)=0,"",VLOOKUP($A62,'Pre-Assessment Estimator'!$A$10:$Z$227,N$2,FALSE))</f>
        <v/>
      </c>
      <c r="O62" s="444">
        <f>VLOOKUP($A62,'Pre-Assessment Estimator'!$A$10:$Z$227,O$2,FALSE)</f>
        <v>0</v>
      </c>
      <c r="P62" s="443" t="str">
        <f>VLOOKUP($A62,'Pre-Assessment Estimator'!$A$10:$Z$227,P$2,FALSE)</f>
        <v>N/A</v>
      </c>
      <c r="Q62" s="446" t="str">
        <f>IF(VLOOKUP($A62,'Pre-Assessment Estimator'!$A$10:$Z$227,Q$2,FALSE)=0,"",VLOOKUP($A62,'Pre-Assessment Estimator'!$A$10:$Z$227,Q$2,FALSE))</f>
        <v/>
      </c>
      <c r="R62" s="446" t="str">
        <f>IF(VLOOKUP($A62,'Pre-Assessment Estimator'!$A$10:$Z$227,R$2,FALSE)=0,"",VLOOKUP($A62,'Pre-Assessment Estimator'!$A$10:$Z$227,R$2,FALSE))</f>
        <v/>
      </c>
      <c r="S62" s="447" t="str">
        <f>IF(VLOOKUP($A62,'Pre-Assessment Estimator'!$A$10:$Z$227,S$2,FALSE)=0,"",VLOOKUP($A62,'Pre-Assessment Estimator'!$A$10:$Z$227,S$2,FALSE))</f>
        <v/>
      </c>
      <c r="T62" s="450"/>
      <c r="U62" s="449" t="str">
        <f>IF(VLOOKUP($A62,'Pre-Assessment Estimator'!$A$10:$Z$227,U$2,FALSE)=0,"",VLOOKUP($A62,'Pre-Assessment Estimator'!$A$10:$Z$227,U$2,FALSE))</f>
        <v/>
      </c>
      <c r="V62" s="444">
        <f>VLOOKUP($A62,'Pre-Assessment Estimator'!$A$10:$Z$227,V$2,FALSE)</f>
        <v>0</v>
      </c>
      <c r="W62" s="443" t="str">
        <f>VLOOKUP($A62,'Pre-Assessment Estimator'!$A$10:$Z$227,W$2,FALSE)</f>
        <v>N/A</v>
      </c>
      <c r="X62" s="446" t="str">
        <f>IF(VLOOKUP($A62,'Pre-Assessment Estimator'!$A$10:$Z$227,X$2,FALSE)=0,"",VLOOKUP($A62,'Pre-Assessment Estimator'!$A$10:$Z$227,X$2,FALSE))</f>
        <v/>
      </c>
      <c r="Y62" s="446" t="str">
        <f>IF(VLOOKUP($A62,'Pre-Assessment Estimator'!$A$10:$Z$227,Y$2,FALSE)=0,"",VLOOKUP($A62,'Pre-Assessment Estimator'!$A$10:$Z$227,Y$2,FALSE))</f>
        <v/>
      </c>
      <c r="Z62" s="313" t="str">
        <f>IF(VLOOKUP($A62,'Pre-Assessment Estimator'!$A$10:$Z$227,Z$2,FALSE)=0,"",VLOOKUP($A62,'Pre-Assessment Estimator'!$A$10:$Z$227,Z$2,FALSE))</f>
        <v/>
      </c>
      <c r="AA62" s="544">
        <v>52</v>
      </c>
      <c r="AB62" s="446"/>
      <c r="AF62" s="13">
        <f t="shared" si="0"/>
        <v>2</v>
      </c>
      <c r="AN62" s="13"/>
      <c r="AO62" s="13"/>
      <c r="AP62" s="13"/>
    </row>
    <row r="63" spans="1:42" ht="30" customHeight="1" thickBot="1">
      <c r="A63" s="652">
        <v>54</v>
      </c>
      <c r="B63" s="958" t="s">
        <v>286</v>
      </c>
      <c r="C63" s="958"/>
      <c r="D63" s="982"/>
      <c r="E63" s="982" t="str">
        <f>VLOOKUP($A63,'Pre-Assessment Estimator'!$A$10:$Z$227,E$2,FALSE)</f>
        <v>Total performance health &amp; wellbeing</v>
      </c>
      <c r="F63" s="451">
        <f>VLOOKUP($A63,'Pre-Assessment Estimator'!$A$10:$Z$227,F$2,FALSE)</f>
        <v>19</v>
      </c>
      <c r="G63" s="453" t="str">
        <f>IF(VLOOKUP($A63,'Pre-Assessment Estimator'!$A$10:$Z$227,G$2,FALSE)=0,"",VLOOKUP($A63,'Pre-Assessment Estimator'!$A$10:$Z$227,G$2,FALSE))</f>
        <v/>
      </c>
      <c r="H63" s="452">
        <f>VLOOKUP($A63,'Pre-Assessment Estimator'!$A$10:$Z$227,H$2,FALSE)</f>
        <v>0</v>
      </c>
      <c r="I63" s="451" t="str">
        <f>VLOOKUP($A63,'Pre-Assessment Estimator'!$A$10:$Z$227,I$2,FALSE)</f>
        <v>Credits achieved: 0</v>
      </c>
      <c r="J63" s="930" t="str">
        <f>IF(VLOOKUP($A63,'Pre-Assessment Estimator'!$A$10:$Z$227,J$2,FALSE)=0,"",VLOOKUP($A63,'Pre-Assessment Estimator'!$A$10:$Z$227,J$2,FALSE))</f>
        <v/>
      </c>
      <c r="K63" s="930" t="str">
        <f>IF(VLOOKUP($A63,'Pre-Assessment Estimator'!$A$10:$Z$227,K$2,FALSE)=0,"",VLOOKUP($A63,'Pre-Assessment Estimator'!$A$10:$Z$227,K$2,FALSE))</f>
        <v/>
      </c>
      <c r="L63" s="949" t="str">
        <f>IF(VLOOKUP($A63,'Pre-Assessment Estimator'!$A$10:$Z$227,L$2,FALSE)=0,"",VLOOKUP($A63,'Pre-Assessment Estimator'!$A$10:$Z$227,L$2,FALSE))</f>
        <v/>
      </c>
      <c r="M63" s="950"/>
      <c r="N63" s="453" t="str">
        <f>IF(VLOOKUP($A63,'Pre-Assessment Estimator'!$A$10:$Z$227,N$2,FALSE)=0,"",VLOOKUP($A63,'Pre-Assessment Estimator'!$A$10:$Z$227,N$2,FALSE))</f>
        <v/>
      </c>
      <c r="O63" s="452">
        <f>VLOOKUP($A63,'Pre-Assessment Estimator'!$A$10:$Z$227,O$2,FALSE)</f>
        <v>0</v>
      </c>
      <c r="P63" s="451" t="str">
        <f>VLOOKUP($A63,'Pre-Assessment Estimator'!$A$10:$Z$227,P$2,FALSE)</f>
        <v>Credits achieved: 0</v>
      </c>
      <c r="Q63" s="930" t="str">
        <f>IF(VLOOKUP($A63,'Pre-Assessment Estimator'!$A$10:$Z$227,Q$2,FALSE)=0,"",VLOOKUP($A63,'Pre-Assessment Estimator'!$A$10:$Z$227,Q$2,FALSE))</f>
        <v/>
      </c>
      <c r="R63" s="930" t="str">
        <f>IF(VLOOKUP($A63,'Pre-Assessment Estimator'!$A$10:$Z$227,R$2,FALSE)=0,"",VLOOKUP($A63,'Pre-Assessment Estimator'!$A$10:$Z$227,R$2,FALSE))</f>
        <v/>
      </c>
      <c r="S63" s="949" t="str">
        <f>IF(VLOOKUP($A63,'Pre-Assessment Estimator'!$A$10:$Z$227,S$2,FALSE)=0,"",VLOOKUP($A63,'Pre-Assessment Estimator'!$A$10:$Z$227,S$2,FALSE))</f>
        <v/>
      </c>
      <c r="T63" s="951"/>
      <c r="U63" s="453" t="str">
        <f>IF(VLOOKUP($A63,'Pre-Assessment Estimator'!$A$10:$Z$227,U$2,FALSE)=0,"",VLOOKUP($A63,'Pre-Assessment Estimator'!$A$10:$Z$227,U$2,FALSE))</f>
        <v/>
      </c>
      <c r="V63" s="452">
        <f>VLOOKUP($A63,'Pre-Assessment Estimator'!$A$10:$Z$227,V$2,FALSE)</f>
        <v>0</v>
      </c>
      <c r="W63" s="451" t="str">
        <f>VLOOKUP($A63,'Pre-Assessment Estimator'!$A$10:$Z$227,W$2,FALSE)</f>
        <v>Credits achieved: 0</v>
      </c>
      <c r="X63" s="930" t="str">
        <f>IF(VLOOKUP($A63,'Pre-Assessment Estimator'!$A$10:$Z$227,X$2,FALSE)=0,"",VLOOKUP($A63,'Pre-Assessment Estimator'!$A$10:$Z$227,X$2,FALSE))</f>
        <v/>
      </c>
      <c r="Y63" s="930" t="str">
        <f>IF(VLOOKUP($A63,'Pre-Assessment Estimator'!$A$10:$Z$227,Y$2,FALSE)=0,"",VLOOKUP($A63,'Pre-Assessment Estimator'!$A$10:$Z$227,Y$2,FALSE))</f>
        <v/>
      </c>
      <c r="Z63" s="952" t="str">
        <f>IF(VLOOKUP($A63,'Pre-Assessment Estimator'!$A$10:$Z$227,Z$2,FALSE)=0,"",VLOOKUP($A63,'Pre-Assessment Estimator'!$A$10:$Z$227,Z$2,FALSE))</f>
        <v/>
      </c>
      <c r="AA63" s="544">
        <v>53</v>
      </c>
      <c r="AB63" s="446" t="str">
        <f>IF(VLOOKUP($A63,'Pre-Assessment Estimator'!$A$10:$AB$227,AB$2,FALSE)=0,"",VLOOKUP($A63,'Pre-Assessment Estimator'!$A$10:$AB$227,AB$2,FALSE))</f>
        <v/>
      </c>
      <c r="AF63" s="13">
        <f t="shared" si="0"/>
        <v>1</v>
      </c>
    </row>
    <row r="64" spans="1:42">
      <c r="A64" s="652">
        <v>55</v>
      </c>
      <c r="B64" s="958" t="s">
        <v>286</v>
      </c>
      <c r="C64" s="958"/>
      <c r="D64" s="454"/>
      <c r="E64" s="454"/>
      <c r="F64" s="455"/>
      <c r="G64" s="455"/>
      <c r="H64" s="455"/>
      <c r="I64" s="455"/>
      <c r="J64" s="454"/>
      <c r="K64" s="455"/>
      <c r="L64" s="454"/>
      <c r="M64" s="448"/>
      <c r="N64" s="455"/>
      <c r="O64" s="455"/>
      <c r="P64" s="455"/>
      <c r="Q64" s="454"/>
      <c r="R64" s="455"/>
      <c r="S64" s="454"/>
      <c r="T64" s="450"/>
      <c r="U64" s="455"/>
      <c r="V64" s="455"/>
      <c r="W64" s="455"/>
      <c r="X64" s="454"/>
      <c r="Y64" s="455"/>
      <c r="Z64" s="291"/>
      <c r="AA64" s="544">
        <v>54</v>
      </c>
      <c r="AB64" s="454"/>
      <c r="AF64" s="13">
        <f t="shared" si="0"/>
        <v>1</v>
      </c>
    </row>
    <row r="65" spans="1:32" ht="18.75">
      <c r="A65" s="652">
        <v>56</v>
      </c>
      <c r="B65" s="958" t="s">
        <v>332</v>
      </c>
      <c r="C65" s="958"/>
      <c r="D65" s="456"/>
      <c r="E65" s="456" t="s">
        <v>332</v>
      </c>
      <c r="F65" s="439"/>
      <c r="G65" s="439"/>
      <c r="H65" s="439"/>
      <c r="I65" s="439"/>
      <c r="J65" s="440" t="str">
        <f>IF(VLOOKUP($A65,'Pre-Assessment Estimator'!$A$10:$Z$227,J$2,FALSE)=0,"",VLOOKUP($A65,'Pre-Assessment Estimator'!$A$10:$Z$227,J$2,FALSE))</f>
        <v/>
      </c>
      <c r="K65" s="439" t="str">
        <f>IF(VLOOKUP($A65,'Pre-Assessment Estimator'!$A$10:$Z$227,K$2,FALSE)=0,"",VLOOKUP($A65,'Pre-Assessment Estimator'!$A$10:$Z$227,K$2,FALSE))</f>
        <v/>
      </c>
      <c r="L65" s="440" t="str">
        <f>IF(VLOOKUP($A65,'Pre-Assessment Estimator'!$A$10:$Z$227,L$2,FALSE)=0,"",VLOOKUP($A65,'Pre-Assessment Estimator'!$A$10:$Z$227,L$2,FALSE))</f>
        <v/>
      </c>
      <c r="M65" s="448"/>
      <c r="N65" s="439" t="str">
        <f>IF(VLOOKUP($A65,'Pre-Assessment Estimator'!$A$10:$Z$227,N$2,FALSE)=0,"",VLOOKUP($A65,'Pre-Assessment Estimator'!$A$10:$Z$227,N$2,FALSE))</f>
        <v/>
      </c>
      <c r="O65" s="439"/>
      <c r="P65" s="439"/>
      <c r="Q65" s="440" t="str">
        <f>IF(VLOOKUP($A65,'Pre-Assessment Estimator'!$A$10:$Z$227,Q$2,FALSE)=0,"",VLOOKUP($A65,'Pre-Assessment Estimator'!$A$10:$Z$227,Q$2,FALSE))</f>
        <v/>
      </c>
      <c r="R65" s="439" t="str">
        <f>IF(VLOOKUP($A65,'Pre-Assessment Estimator'!$A$10:$Z$227,R$2,FALSE)=0,"",VLOOKUP($A65,'Pre-Assessment Estimator'!$A$10:$Z$227,R$2,FALSE))</f>
        <v/>
      </c>
      <c r="S65" s="440" t="str">
        <f>IF(VLOOKUP($A65,'Pre-Assessment Estimator'!$A$10:$Z$227,S$2,FALSE)=0,"",VLOOKUP($A65,'Pre-Assessment Estimator'!$A$10:$Z$227,S$2,FALSE))</f>
        <v/>
      </c>
      <c r="T65" s="450"/>
      <c r="U65" s="439" t="str">
        <f>IF(VLOOKUP($A65,'Pre-Assessment Estimator'!$A$10:$Z$227,U$2,FALSE)=0,"",VLOOKUP($A65,'Pre-Assessment Estimator'!$A$10:$Z$227,U$2,FALSE))</f>
        <v/>
      </c>
      <c r="V65" s="439"/>
      <c r="W65" s="439"/>
      <c r="X65" s="440" t="str">
        <f>IF(VLOOKUP($A65,'Pre-Assessment Estimator'!$A$10:$Z$227,X$2,FALSE)=0,"",VLOOKUP($A65,'Pre-Assessment Estimator'!$A$10:$Z$227,X$2,FALSE))</f>
        <v/>
      </c>
      <c r="Y65" s="439" t="str">
        <f>IF(VLOOKUP($A65,'Pre-Assessment Estimator'!$A$10:$Z$227,Y$2,FALSE)=0,"",VLOOKUP($A65,'Pre-Assessment Estimator'!$A$10:$Z$227,Y$2,FALSE))</f>
        <v/>
      </c>
      <c r="Z65" s="341" t="str">
        <f>IF(VLOOKUP($A65,'Pre-Assessment Estimator'!$A$10:$Z$227,Z$2,FALSE)=0,"",VLOOKUP($A65,'Pre-Assessment Estimator'!$A$10:$Z$227,Z$2,FALSE))</f>
        <v/>
      </c>
      <c r="AA65" s="544">
        <v>55</v>
      </c>
      <c r="AB65" s="545"/>
      <c r="AF65" s="13">
        <f t="shared" si="0"/>
        <v>1</v>
      </c>
    </row>
    <row r="66" spans="1:32">
      <c r="A66" s="652">
        <v>57</v>
      </c>
      <c r="B66" s="958" t="s">
        <v>332</v>
      </c>
      <c r="C66" s="958"/>
      <c r="D66" s="979" t="str">
        <f>VLOOKUP($A66,'Pre-Assessment Estimator'!$A$10:$Z$227,D$2,FALSE)</f>
        <v>Ene 01</v>
      </c>
      <c r="E66" s="979" t="str">
        <f>VLOOKUP($A66,'Pre-Assessment Estimator'!$A$10:$Z$227,E$2,FALSE)</f>
        <v>Ene 01 Energy efficiency</v>
      </c>
      <c r="F66" s="443">
        <f>VLOOKUP($A66,'Pre-Assessment Estimator'!$A$10:$Z$227,F$2,FALSE)</f>
        <v>12</v>
      </c>
      <c r="G66" s="449" t="str">
        <f>IF(VLOOKUP($A66,'Pre-Assessment Estimator'!$A$10:$Z$227,G$2,FALSE)=0,"",VLOOKUP($A66,'Pre-Assessment Estimator'!$A$10:$Z$227,G$2,FALSE))</f>
        <v/>
      </c>
      <c r="H66" s="948" t="str">
        <f>VLOOKUP($A66,'Pre-Assessment Estimator'!$A$10:$Z$227,H$2,FALSE)</f>
        <v>0 c. 0 %</v>
      </c>
      <c r="I66" s="445" t="str">
        <f>VLOOKUP($A66,'Pre-Assessment Estimator'!$A$10:$Z$227,I$2,FALSE)</f>
        <v>N/A</v>
      </c>
      <c r="J66" s="446" t="str">
        <f>IF(VLOOKUP($A66,'Pre-Assessment Estimator'!$A$10:$Z$227,J$2,FALSE)=0,"",VLOOKUP($A66,'Pre-Assessment Estimator'!$A$10:$Z$227,J$2,FALSE))</f>
        <v/>
      </c>
      <c r="K66" s="446" t="str">
        <f>IF(VLOOKUP($A66,'Pre-Assessment Estimator'!$A$10:$Z$227,K$2,FALSE)=0,"",VLOOKUP($A66,'Pre-Assessment Estimator'!$A$10:$Z$227,K$2,FALSE))</f>
        <v/>
      </c>
      <c r="L66" s="447" t="str">
        <f>IF(VLOOKUP($A66,'Pre-Assessment Estimator'!$A$10:$Z$227,L$2,FALSE)=0,"",VLOOKUP($A66,'Pre-Assessment Estimator'!$A$10:$Z$227,L$2,FALSE))</f>
        <v/>
      </c>
      <c r="M66" s="448"/>
      <c r="N66" s="449" t="str">
        <f>IF(VLOOKUP($A66,'Pre-Assessment Estimator'!$A$10:$Z$227,N$2,FALSE)=0,"",VLOOKUP($A66,'Pre-Assessment Estimator'!$A$10:$Z$227,N$2,FALSE))</f>
        <v/>
      </c>
      <c r="O66" s="444" t="str">
        <f>VLOOKUP($A66,'Pre-Assessment Estimator'!$A$10:$Z$227,O$2,FALSE)</f>
        <v>0 c. 0 %</v>
      </c>
      <c r="P66" s="443" t="str">
        <f>VLOOKUP($A66,'Pre-Assessment Estimator'!$A$10:$Z$227,P$2,FALSE)</f>
        <v>N/A</v>
      </c>
      <c r="Q66" s="446" t="str">
        <f>IF(VLOOKUP($A66,'Pre-Assessment Estimator'!$A$10:$Z$227,Q$2,FALSE)=0,"",VLOOKUP($A66,'Pre-Assessment Estimator'!$A$10:$Z$227,Q$2,FALSE))</f>
        <v/>
      </c>
      <c r="R66" s="446" t="str">
        <f>IF(VLOOKUP($A66,'Pre-Assessment Estimator'!$A$10:$Z$227,R$2,FALSE)=0,"",VLOOKUP($A66,'Pre-Assessment Estimator'!$A$10:$Z$227,R$2,FALSE))</f>
        <v/>
      </c>
      <c r="S66" s="447" t="str">
        <f>IF(VLOOKUP($A66,'Pre-Assessment Estimator'!$A$10:$Z$227,S$2,FALSE)=0,"",VLOOKUP($A66,'Pre-Assessment Estimator'!$A$10:$Z$227,S$2,FALSE))</f>
        <v/>
      </c>
      <c r="T66" s="450"/>
      <c r="U66" s="449" t="str">
        <f>IF(VLOOKUP($A66,'Pre-Assessment Estimator'!$A$10:$Z$227,U$2,FALSE)=0,"",VLOOKUP($A66,'Pre-Assessment Estimator'!$A$10:$Z$227,U$2,FALSE))</f>
        <v/>
      </c>
      <c r="V66" s="444" t="str">
        <f>VLOOKUP($A66,'Pre-Assessment Estimator'!$A$10:$Z$227,V$2,FALSE)</f>
        <v>0 c. 0 %</v>
      </c>
      <c r="W66" s="443" t="str">
        <f>VLOOKUP($A66,'Pre-Assessment Estimator'!$A$10:$Z$227,W$2,FALSE)</f>
        <v>N/A</v>
      </c>
      <c r="X66" s="446" t="str">
        <f>IF(VLOOKUP($A66,'Pre-Assessment Estimator'!$A$10:$Z$227,X$2,FALSE)=0,"",VLOOKUP($A66,'Pre-Assessment Estimator'!$A$10:$Z$227,X$2,FALSE))</f>
        <v/>
      </c>
      <c r="Y66" s="446" t="str">
        <f>IF(VLOOKUP($A66,'Pre-Assessment Estimator'!$A$10:$Z$227,Y$2,FALSE)=0,"",VLOOKUP($A66,'Pre-Assessment Estimator'!$A$10:$Z$227,Y$2,FALSE))</f>
        <v/>
      </c>
      <c r="Z66" s="313" t="str">
        <f>IF(VLOOKUP($A66,'Pre-Assessment Estimator'!$A$10:$Z$227,Z$2,FALSE)=0,"",VLOOKUP($A66,'Pre-Assessment Estimator'!$A$10:$Z$227,Z$2,FALSE))</f>
        <v/>
      </c>
      <c r="AA66" s="544">
        <v>56</v>
      </c>
      <c r="AB66" s="446" t="str">
        <f>IF(VLOOKUP($A66,'Pre-Assessment Estimator'!$A$10:$AB$227,AB$2,FALSE)=0,"",VLOOKUP($A66,'Pre-Assessment Estimator'!$A$10:$AB$227,AB$2,FALSE))</f>
        <v/>
      </c>
      <c r="AF66" s="13">
        <f t="shared" si="0"/>
        <v>1</v>
      </c>
    </row>
    <row r="67" spans="1:32">
      <c r="A67" s="652">
        <v>58</v>
      </c>
      <c r="B67" s="958" t="s">
        <v>332</v>
      </c>
      <c r="C67" s="958"/>
      <c r="D67" s="980" t="str">
        <f>VLOOKUP($A67,'Pre-Assessment Estimator'!$A$10:$Z$227,D$2,FALSE)</f>
        <v>Ene 01</v>
      </c>
      <c r="E67" s="981" t="str">
        <f>VLOOKUP($A67,'Pre-Assessment Estimator'!$A$10:$Z$227,E$2,FALSE)</f>
        <v xml:space="preserve">Passive design </v>
      </c>
      <c r="F67" s="443">
        <f>VLOOKUP($A67,'Pre-Assessment Estimator'!$A$10:$Z$227,F$2,FALSE)</f>
        <v>2</v>
      </c>
      <c r="G67" s="449" t="str">
        <f>IF(VLOOKUP($A67,'Pre-Assessment Estimator'!$A$10:$Z$227,G$2,FALSE)=0,"",VLOOKUP($A67,'Pre-Assessment Estimator'!$A$10:$Z$227,G$2,FALSE))</f>
        <v/>
      </c>
      <c r="H67" s="948">
        <f>VLOOKUP($A67,'Pre-Assessment Estimator'!$A$10:$Z$227,H$2,FALSE)</f>
        <v>0</v>
      </c>
      <c r="I67" s="445" t="str">
        <f>VLOOKUP($A67,'Pre-Assessment Estimator'!$A$10:$Z$227,I$2,FALSE)</f>
        <v>N/A</v>
      </c>
      <c r="J67" s="446" t="str">
        <f>IF(VLOOKUP($A67,'Pre-Assessment Estimator'!$A$10:$Z$227,J$2,FALSE)=0,"",VLOOKUP($A67,'Pre-Assessment Estimator'!$A$10:$Z$227,J$2,FALSE))</f>
        <v/>
      </c>
      <c r="K67" s="446" t="str">
        <f>IF(VLOOKUP($A67,'Pre-Assessment Estimator'!$A$10:$Z$227,K$2,FALSE)=0,"",VLOOKUP($A67,'Pre-Assessment Estimator'!$A$10:$Z$227,K$2,FALSE))</f>
        <v/>
      </c>
      <c r="L67" s="447" t="str">
        <f>IF(VLOOKUP($A67,'Pre-Assessment Estimator'!$A$10:$Z$227,L$2,FALSE)=0,"",VLOOKUP($A67,'Pre-Assessment Estimator'!$A$10:$Z$227,L$2,FALSE))</f>
        <v/>
      </c>
      <c r="M67" s="448"/>
      <c r="N67" s="449" t="str">
        <f>IF(VLOOKUP($A67,'Pre-Assessment Estimator'!$A$10:$Z$227,N$2,FALSE)=0,"",VLOOKUP($A67,'Pre-Assessment Estimator'!$A$10:$Z$227,N$2,FALSE))</f>
        <v/>
      </c>
      <c r="O67" s="444">
        <f>VLOOKUP($A67,'Pre-Assessment Estimator'!$A$10:$Z$227,O$2,FALSE)</f>
        <v>0</v>
      </c>
      <c r="P67" s="443" t="str">
        <f>VLOOKUP($A67,'Pre-Assessment Estimator'!$A$10:$Z$227,P$2,FALSE)</f>
        <v>N/A</v>
      </c>
      <c r="Q67" s="446" t="str">
        <f>IF(VLOOKUP($A67,'Pre-Assessment Estimator'!$A$10:$Z$227,Q$2,FALSE)=0,"",VLOOKUP($A67,'Pre-Assessment Estimator'!$A$10:$Z$227,Q$2,FALSE))</f>
        <v/>
      </c>
      <c r="R67" s="446" t="str">
        <f>IF(VLOOKUP($A67,'Pre-Assessment Estimator'!$A$10:$Z$227,R$2,FALSE)=0,"",VLOOKUP($A67,'Pre-Assessment Estimator'!$A$10:$Z$227,R$2,FALSE))</f>
        <v/>
      </c>
      <c r="S67" s="447" t="str">
        <f>IF(VLOOKUP($A67,'Pre-Assessment Estimator'!$A$10:$Z$227,S$2,FALSE)=0,"",VLOOKUP($A67,'Pre-Assessment Estimator'!$A$10:$Z$227,S$2,FALSE))</f>
        <v/>
      </c>
      <c r="T67" s="450"/>
      <c r="U67" s="449" t="str">
        <f>IF(VLOOKUP($A67,'Pre-Assessment Estimator'!$A$10:$Z$227,U$2,FALSE)=0,"",VLOOKUP($A67,'Pre-Assessment Estimator'!$A$10:$Z$227,U$2,FALSE))</f>
        <v/>
      </c>
      <c r="V67" s="444">
        <f>VLOOKUP($A67,'Pre-Assessment Estimator'!$A$10:$Z$227,V$2,FALSE)</f>
        <v>0</v>
      </c>
      <c r="W67" s="443" t="str">
        <f>VLOOKUP($A67,'Pre-Assessment Estimator'!$A$10:$Z$227,W$2,FALSE)</f>
        <v>N/A</v>
      </c>
      <c r="X67" s="446" t="str">
        <f>IF(VLOOKUP($A67,'Pre-Assessment Estimator'!$A$10:$Z$227,X$2,FALSE)=0,"",VLOOKUP($A67,'Pre-Assessment Estimator'!$A$10:$Z$227,X$2,FALSE))</f>
        <v/>
      </c>
      <c r="Y67" s="446" t="str">
        <f>IF(VLOOKUP($A67,'Pre-Assessment Estimator'!$A$10:$Z$227,Y$2,FALSE)=0,"",VLOOKUP($A67,'Pre-Assessment Estimator'!$A$10:$Z$227,Y$2,FALSE))</f>
        <v/>
      </c>
      <c r="Z67" s="313" t="str">
        <f>IF(VLOOKUP($A67,'Pre-Assessment Estimator'!$A$10:$Z$227,Z$2,FALSE)=0,"",VLOOKUP($A67,'Pre-Assessment Estimator'!$A$10:$Z$227,Z$2,FALSE))</f>
        <v/>
      </c>
      <c r="AA67" s="544">
        <v>57</v>
      </c>
      <c r="AB67" s="446" t="str">
        <f>IF(VLOOKUP($A67,'Pre-Assessment Estimator'!$A$10:$AB$227,AB$2,FALSE)=0,"",VLOOKUP($A67,'Pre-Assessment Estimator'!$A$10:$AB$227,AB$2,FALSE))</f>
        <v/>
      </c>
      <c r="AF67" s="13">
        <f t="shared" si="0"/>
        <v>1</v>
      </c>
    </row>
    <row r="68" spans="1:32">
      <c r="A68" s="652">
        <v>59</v>
      </c>
      <c r="B68" s="958" t="s">
        <v>332</v>
      </c>
      <c r="C68" s="958"/>
      <c r="D68" s="980" t="str">
        <f>VLOOKUP($A68,'Pre-Assessment Estimator'!$A$10:$Z$227,D$2,FALSE)</f>
        <v>Ene 01</v>
      </c>
      <c r="E68" s="981" t="str">
        <f>VLOOKUP($A68,'Pre-Assessment Estimator'!$A$10:$Z$227,E$2,FALSE)</f>
        <v xml:space="preserve">Low and zero carbon technologies </v>
      </c>
      <c r="F68" s="443">
        <f>VLOOKUP($A68,'Pre-Assessment Estimator'!$A$10:$Z$227,F$2,FALSE)</f>
        <v>1</v>
      </c>
      <c r="G68" s="449" t="str">
        <f>IF(VLOOKUP($A68,'Pre-Assessment Estimator'!$A$10:$Z$227,G$2,FALSE)=0,"",VLOOKUP($A68,'Pre-Assessment Estimator'!$A$10:$Z$227,G$2,FALSE))</f>
        <v/>
      </c>
      <c r="H68" s="948">
        <f>VLOOKUP($A68,'Pre-Assessment Estimator'!$A$10:$Z$227,H$2,FALSE)</f>
        <v>0</v>
      </c>
      <c r="I68" s="445" t="str">
        <f>VLOOKUP($A68,'Pre-Assessment Estimator'!$A$10:$Z$227,I$2,FALSE)</f>
        <v>N/A</v>
      </c>
      <c r="J68" s="446" t="str">
        <f>IF(VLOOKUP($A68,'Pre-Assessment Estimator'!$A$10:$Z$227,J$2,FALSE)=0,"",VLOOKUP($A68,'Pre-Assessment Estimator'!$A$10:$Z$227,J$2,FALSE))</f>
        <v/>
      </c>
      <c r="K68" s="446" t="str">
        <f>IF(VLOOKUP($A68,'Pre-Assessment Estimator'!$A$10:$Z$227,K$2,FALSE)=0,"",VLOOKUP($A68,'Pre-Assessment Estimator'!$A$10:$Z$227,K$2,FALSE))</f>
        <v/>
      </c>
      <c r="L68" s="447" t="str">
        <f>IF(VLOOKUP($A68,'Pre-Assessment Estimator'!$A$10:$Z$227,L$2,FALSE)=0,"",VLOOKUP($A68,'Pre-Assessment Estimator'!$A$10:$Z$227,L$2,FALSE))</f>
        <v/>
      </c>
      <c r="M68" s="448"/>
      <c r="N68" s="449" t="str">
        <f>IF(VLOOKUP($A68,'Pre-Assessment Estimator'!$A$10:$Z$227,N$2,FALSE)=0,"",VLOOKUP($A68,'Pre-Assessment Estimator'!$A$10:$Z$227,N$2,FALSE))</f>
        <v/>
      </c>
      <c r="O68" s="444">
        <f>VLOOKUP($A68,'Pre-Assessment Estimator'!$A$10:$Z$227,O$2,FALSE)</f>
        <v>0</v>
      </c>
      <c r="P68" s="443" t="str">
        <f>VLOOKUP($A68,'Pre-Assessment Estimator'!$A$10:$Z$227,P$2,FALSE)</f>
        <v>N/A</v>
      </c>
      <c r="Q68" s="446" t="str">
        <f>IF(VLOOKUP($A68,'Pre-Assessment Estimator'!$A$10:$Z$227,Q$2,FALSE)=0,"",VLOOKUP($A68,'Pre-Assessment Estimator'!$A$10:$Z$227,Q$2,FALSE))</f>
        <v/>
      </c>
      <c r="R68" s="446" t="str">
        <f>IF(VLOOKUP($A68,'Pre-Assessment Estimator'!$A$10:$Z$227,R$2,FALSE)=0,"",VLOOKUP($A68,'Pre-Assessment Estimator'!$A$10:$Z$227,R$2,FALSE))</f>
        <v/>
      </c>
      <c r="S68" s="447" t="str">
        <f>IF(VLOOKUP($A68,'Pre-Assessment Estimator'!$A$10:$Z$227,S$2,FALSE)=0,"",VLOOKUP($A68,'Pre-Assessment Estimator'!$A$10:$Z$227,S$2,FALSE))</f>
        <v/>
      </c>
      <c r="T68" s="450"/>
      <c r="U68" s="449" t="str">
        <f>IF(VLOOKUP($A68,'Pre-Assessment Estimator'!$A$10:$Z$227,U$2,FALSE)=0,"",VLOOKUP($A68,'Pre-Assessment Estimator'!$A$10:$Z$227,U$2,FALSE))</f>
        <v/>
      </c>
      <c r="V68" s="444">
        <f>VLOOKUP($A68,'Pre-Assessment Estimator'!$A$10:$Z$227,V$2,FALSE)</f>
        <v>0</v>
      </c>
      <c r="W68" s="443" t="str">
        <f>VLOOKUP($A68,'Pre-Assessment Estimator'!$A$10:$Z$227,W$2,FALSE)</f>
        <v>N/A</v>
      </c>
      <c r="X68" s="446" t="str">
        <f>IF(VLOOKUP($A68,'Pre-Assessment Estimator'!$A$10:$Z$227,X$2,FALSE)=0,"",VLOOKUP($A68,'Pre-Assessment Estimator'!$A$10:$Z$227,X$2,FALSE))</f>
        <v/>
      </c>
      <c r="Y68" s="446" t="str">
        <f>IF(VLOOKUP($A68,'Pre-Assessment Estimator'!$A$10:$Z$227,Y$2,FALSE)=0,"",VLOOKUP($A68,'Pre-Assessment Estimator'!$A$10:$Z$227,Y$2,FALSE))</f>
        <v/>
      </c>
      <c r="Z68" s="313" t="str">
        <f>IF(VLOOKUP($A68,'Pre-Assessment Estimator'!$A$10:$Z$227,Z$2,FALSE)=0,"",VLOOKUP($A68,'Pre-Assessment Estimator'!$A$10:$Z$227,Z$2,FALSE))</f>
        <v/>
      </c>
      <c r="AA68" s="544">
        <v>58</v>
      </c>
      <c r="AB68" s="446" t="str">
        <f>IF(VLOOKUP($A68,'Pre-Assessment Estimator'!$A$10:$AB$227,AB$2,FALSE)=0,"",VLOOKUP($A68,'Pre-Assessment Estimator'!$A$10:$AB$227,AB$2,FALSE))</f>
        <v/>
      </c>
      <c r="AF68" s="13">
        <f t="shared" si="0"/>
        <v>1</v>
      </c>
    </row>
    <row r="69" spans="1:32">
      <c r="A69" s="652">
        <v>60</v>
      </c>
      <c r="B69" s="958" t="s">
        <v>332</v>
      </c>
      <c r="C69" s="958"/>
      <c r="D69" s="980" t="str">
        <f>VLOOKUP($A69,'Pre-Assessment Estimator'!$A$10:$Z$227,D$2,FALSE)</f>
        <v>Ene 01</v>
      </c>
      <c r="E69" s="981" t="str">
        <f>VLOOKUP($A69,'Pre-Assessment Estimator'!$A$10:$Z$227,E$2,FALSE)</f>
        <v xml:space="preserve">Energy performance </v>
      </c>
      <c r="F69" s="443">
        <f>VLOOKUP($A69,'Pre-Assessment Estimator'!$A$10:$Z$227,F$2,FALSE)</f>
        <v>4</v>
      </c>
      <c r="G69" s="449" t="str">
        <f>IF(VLOOKUP($A69,'Pre-Assessment Estimator'!$A$10:$Z$227,G$2,FALSE)=0,"",VLOOKUP($A69,'Pre-Assessment Estimator'!$A$10:$Z$227,G$2,FALSE))</f>
        <v/>
      </c>
      <c r="H69" s="948">
        <f>VLOOKUP($A69,'Pre-Assessment Estimator'!$A$10:$Z$227,H$2,FALSE)</f>
        <v>0</v>
      </c>
      <c r="I69" s="445" t="str">
        <f>VLOOKUP($A69,'Pre-Assessment Estimator'!$A$10:$Z$227,I$2,FALSE)</f>
        <v>Very Good</v>
      </c>
      <c r="J69" s="446" t="str">
        <f>IF(VLOOKUP($A69,'Pre-Assessment Estimator'!$A$10:$Z$227,J$2,FALSE)=0,"",VLOOKUP($A69,'Pre-Assessment Estimator'!$A$10:$Z$227,J$2,FALSE))</f>
        <v/>
      </c>
      <c r="K69" s="446" t="str">
        <f>IF(VLOOKUP($A69,'Pre-Assessment Estimator'!$A$10:$Z$227,K$2,FALSE)=0,"",VLOOKUP($A69,'Pre-Assessment Estimator'!$A$10:$Z$227,K$2,FALSE))</f>
        <v/>
      </c>
      <c r="L69" s="447" t="str">
        <f>IF(VLOOKUP($A69,'Pre-Assessment Estimator'!$A$10:$Z$227,L$2,FALSE)=0,"",VLOOKUP($A69,'Pre-Assessment Estimator'!$A$10:$Z$227,L$2,FALSE))</f>
        <v/>
      </c>
      <c r="M69" s="448"/>
      <c r="N69" s="449" t="str">
        <f>IF(VLOOKUP($A69,'Pre-Assessment Estimator'!$A$10:$Z$227,N$2,FALSE)=0,"",VLOOKUP($A69,'Pre-Assessment Estimator'!$A$10:$Z$227,N$2,FALSE))</f>
        <v/>
      </c>
      <c r="O69" s="444">
        <f>VLOOKUP($A69,'Pre-Assessment Estimator'!$A$10:$Z$227,O$2,FALSE)</f>
        <v>0</v>
      </c>
      <c r="P69" s="443" t="str">
        <f>VLOOKUP($A69,'Pre-Assessment Estimator'!$A$10:$Z$227,P$2,FALSE)</f>
        <v>Very Good</v>
      </c>
      <c r="Q69" s="446" t="str">
        <f>IF(VLOOKUP($A69,'Pre-Assessment Estimator'!$A$10:$Z$227,Q$2,FALSE)=0,"",VLOOKUP($A69,'Pre-Assessment Estimator'!$A$10:$Z$227,Q$2,FALSE))</f>
        <v/>
      </c>
      <c r="R69" s="446" t="str">
        <f>IF(VLOOKUP($A69,'Pre-Assessment Estimator'!$A$10:$Z$227,R$2,FALSE)=0,"",VLOOKUP($A69,'Pre-Assessment Estimator'!$A$10:$Z$227,R$2,FALSE))</f>
        <v/>
      </c>
      <c r="S69" s="447" t="str">
        <f>IF(VLOOKUP($A69,'Pre-Assessment Estimator'!$A$10:$Z$227,S$2,FALSE)=0,"",VLOOKUP($A69,'Pre-Assessment Estimator'!$A$10:$Z$227,S$2,FALSE))</f>
        <v/>
      </c>
      <c r="T69" s="450"/>
      <c r="U69" s="449" t="str">
        <f>IF(VLOOKUP($A69,'Pre-Assessment Estimator'!$A$10:$Z$227,U$2,FALSE)=0,"",VLOOKUP($A69,'Pre-Assessment Estimator'!$A$10:$Z$227,U$2,FALSE))</f>
        <v/>
      </c>
      <c r="V69" s="444">
        <f>VLOOKUP($A69,'Pre-Assessment Estimator'!$A$10:$Z$227,V$2,FALSE)</f>
        <v>0</v>
      </c>
      <c r="W69" s="443" t="str">
        <f>VLOOKUP($A69,'Pre-Assessment Estimator'!$A$10:$Z$227,W$2,FALSE)</f>
        <v>Very Good</v>
      </c>
      <c r="X69" s="446" t="str">
        <f>IF(VLOOKUP($A69,'Pre-Assessment Estimator'!$A$10:$Z$227,X$2,FALSE)=0,"",VLOOKUP($A69,'Pre-Assessment Estimator'!$A$10:$Z$227,X$2,FALSE))</f>
        <v/>
      </c>
      <c r="Y69" s="446" t="str">
        <f>IF(VLOOKUP($A69,'Pre-Assessment Estimator'!$A$10:$Z$227,Y$2,FALSE)=0,"",VLOOKUP($A69,'Pre-Assessment Estimator'!$A$10:$Z$227,Y$2,FALSE))</f>
        <v/>
      </c>
      <c r="Z69" s="313" t="str">
        <f>IF(VLOOKUP($A69,'Pre-Assessment Estimator'!$A$10:$Z$227,Z$2,FALSE)=0,"",VLOOKUP($A69,'Pre-Assessment Estimator'!$A$10:$Z$227,Z$2,FALSE))</f>
        <v/>
      </c>
      <c r="AA69" s="544">
        <v>59</v>
      </c>
      <c r="AB69" s="446"/>
      <c r="AF69" s="13">
        <f t="shared" si="0"/>
        <v>1</v>
      </c>
    </row>
    <row r="70" spans="1:32">
      <c r="A70" s="652">
        <v>61</v>
      </c>
      <c r="B70" s="958" t="s">
        <v>332</v>
      </c>
      <c r="C70" s="958"/>
      <c r="D70" s="980" t="str">
        <f>VLOOKUP($A70,'Pre-Assessment Estimator'!$A$10:$Z$227,D$2,FALSE)</f>
        <v>Ene 01</v>
      </c>
      <c r="E70" s="983" t="str">
        <f>VLOOKUP($A70,'Pre-Assessment Estimator'!$A$10:$Z$227,E$2,FALSE)</f>
        <v>EU taxonomy requirements: criterion 10 - thermographic survey</v>
      </c>
      <c r="F70" s="443" t="str">
        <f>VLOOKUP($A70,'Pre-Assessment Estimator'!$A$10:$Z$227,F$2,FALSE)</f>
        <v>Yes/No</v>
      </c>
      <c r="G70" s="449" t="str">
        <f>IF(VLOOKUP($A70,'Pre-Assessment Estimator'!$A$10:$Z$227,G$2,FALSE)=0,"",VLOOKUP($A70,'Pre-Assessment Estimator'!$A$10:$Z$227,G$2,FALSE))</f>
        <v/>
      </c>
      <c r="H70" s="948" t="str">
        <f>VLOOKUP($A70,'Pre-Assessment Estimator'!$A$10:$Z$227,H$2,FALSE)</f>
        <v>-</v>
      </c>
      <c r="I70" s="445" t="str">
        <f>VLOOKUP($A70,'Pre-Assessment Estimator'!$A$10:$Z$227,I$2,FALSE)</f>
        <v>N/A</v>
      </c>
      <c r="J70" s="446" t="str">
        <f>IF(VLOOKUP($A70,'Pre-Assessment Estimator'!$A$10:$Z$227,J$2,FALSE)=0,"",VLOOKUP($A70,'Pre-Assessment Estimator'!$A$10:$Z$227,J$2,FALSE))</f>
        <v/>
      </c>
      <c r="K70" s="446" t="str">
        <f>IF(VLOOKUP($A70,'Pre-Assessment Estimator'!$A$10:$Z$227,K$2,FALSE)=0,"",VLOOKUP($A70,'Pre-Assessment Estimator'!$A$10:$Z$227,K$2,FALSE))</f>
        <v/>
      </c>
      <c r="L70" s="447" t="str">
        <f>IF(VLOOKUP($A70,'Pre-Assessment Estimator'!$A$10:$Z$227,L$2,FALSE)=0,"",VLOOKUP($A70,'Pre-Assessment Estimator'!$A$10:$Z$227,L$2,FALSE))</f>
        <v/>
      </c>
      <c r="M70" s="448"/>
      <c r="N70" s="449" t="str">
        <f>IF(VLOOKUP($A70,'Pre-Assessment Estimator'!$A$10:$Z$227,N$2,FALSE)=0,"",VLOOKUP($A70,'Pre-Assessment Estimator'!$A$10:$Z$227,N$2,FALSE))</f>
        <v/>
      </c>
      <c r="O70" s="444" t="str">
        <f>VLOOKUP($A70,'Pre-Assessment Estimator'!$A$10:$Z$227,O$2,FALSE)</f>
        <v>-</v>
      </c>
      <c r="P70" s="443" t="str">
        <f>VLOOKUP($A70,'Pre-Assessment Estimator'!$A$10:$Z$227,P$2,FALSE)</f>
        <v>N/A</v>
      </c>
      <c r="Q70" s="446" t="str">
        <f>IF(VLOOKUP($A70,'Pre-Assessment Estimator'!$A$10:$Z$227,Q$2,FALSE)=0,"",VLOOKUP($A70,'Pre-Assessment Estimator'!$A$10:$Z$227,Q$2,FALSE))</f>
        <v/>
      </c>
      <c r="R70" s="446" t="str">
        <f>IF(VLOOKUP($A70,'Pre-Assessment Estimator'!$A$10:$Z$227,R$2,FALSE)=0,"",VLOOKUP($A70,'Pre-Assessment Estimator'!$A$10:$Z$227,R$2,FALSE))</f>
        <v/>
      </c>
      <c r="S70" s="447" t="str">
        <f>IF(VLOOKUP($A70,'Pre-Assessment Estimator'!$A$10:$Z$227,S$2,FALSE)=0,"",VLOOKUP($A70,'Pre-Assessment Estimator'!$A$10:$Z$227,S$2,FALSE))</f>
        <v/>
      </c>
      <c r="T70" s="450"/>
      <c r="U70" s="449" t="str">
        <f>IF(VLOOKUP($A70,'Pre-Assessment Estimator'!$A$10:$Z$227,U$2,FALSE)=0,"",VLOOKUP($A70,'Pre-Assessment Estimator'!$A$10:$Z$227,U$2,FALSE))</f>
        <v/>
      </c>
      <c r="V70" s="444" t="str">
        <f>VLOOKUP($A70,'Pre-Assessment Estimator'!$A$10:$Z$227,V$2,FALSE)</f>
        <v>-</v>
      </c>
      <c r="W70" s="443" t="str">
        <f>VLOOKUP($A70,'Pre-Assessment Estimator'!$A$10:$Z$227,W$2,FALSE)</f>
        <v>N/A</v>
      </c>
      <c r="X70" s="446" t="str">
        <f>IF(VLOOKUP($A70,'Pre-Assessment Estimator'!$A$10:$Z$227,X$2,FALSE)=0,"",VLOOKUP($A70,'Pre-Assessment Estimator'!$A$10:$Z$227,X$2,FALSE))</f>
        <v/>
      </c>
      <c r="Y70" s="446" t="str">
        <f>IF(VLOOKUP($A70,'Pre-Assessment Estimator'!$A$10:$Z$227,Y$2,FALSE)=0,"",VLOOKUP($A70,'Pre-Assessment Estimator'!$A$10:$Z$227,Y$2,FALSE))</f>
        <v/>
      </c>
      <c r="Z70" s="313" t="str">
        <f>IF(VLOOKUP($A70,'Pre-Assessment Estimator'!$A$10:$Z$227,Z$2,FALSE)=0,"",VLOOKUP($A70,'Pre-Assessment Estimator'!$A$10:$Z$227,Z$2,FALSE))</f>
        <v/>
      </c>
      <c r="AA70" s="544">
        <v>60</v>
      </c>
      <c r="AB70" s="446"/>
      <c r="AF70" s="13">
        <f t="shared" si="0"/>
        <v>1</v>
      </c>
    </row>
    <row r="71" spans="1:32">
      <c r="A71" s="652">
        <v>62</v>
      </c>
      <c r="B71" s="958" t="s">
        <v>332</v>
      </c>
      <c r="C71" s="958"/>
      <c r="D71" s="980" t="str">
        <f>VLOOKUP($A71,'Pre-Assessment Estimator'!$A$10:$Z$227,D$2,FALSE)</f>
        <v>Ene 01</v>
      </c>
      <c r="E71" s="981" t="str">
        <f>VLOOKUP($A71,'Pre-Assessment Estimator'!$A$10:$Z$227,E$2,FALSE)</f>
        <v>Adaptation to EU taxonomy</v>
      </c>
      <c r="F71" s="443">
        <f>VLOOKUP($A71,'Pre-Assessment Estimator'!$A$10:$Z$227,F$2,FALSE)</f>
        <v>1</v>
      </c>
      <c r="G71" s="449" t="str">
        <f>IF(VLOOKUP($A71,'Pre-Assessment Estimator'!$A$10:$Z$227,G$2,FALSE)=0,"",VLOOKUP($A71,'Pre-Assessment Estimator'!$A$10:$Z$227,G$2,FALSE))</f>
        <v/>
      </c>
      <c r="H71" s="948">
        <f>VLOOKUP($A71,'Pre-Assessment Estimator'!$A$10:$Z$227,H$2,FALSE)</f>
        <v>0</v>
      </c>
      <c r="I71" s="445" t="str">
        <f>VLOOKUP($A71,'Pre-Assessment Estimator'!$A$10:$Z$227,I$2,FALSE)</f>
        <v>Very Good</v>
      </c>
      <c r="J71" s="446" t="str">
        <f>IF(VLOOKUP($A71,'Pre-Assessment Estimator'!$A$10:$Z$227,J$2,FALSE)=0,"",VLOOKUP($A71,'Pre-Assessment Estimator'!$A$10:$Z$227,J$2,FALSE))</f>
        <v/>
      </c>
      <c r="K71" s="446" t="str">
        <f>IF(VLOOKUP($A71,'Pre-Assessment Estimator'!$A$10:$Z$227,K$2,FALSE)=0,"",VLOOKUP($A71,'Pre-Assessment Estimator'!$A$10:$Z$227,K$2,FALSE))</f>
        <v/>
      </c>
      <c r="L71" s="447" t="str">
        <f>IF(VLOOKUP($A71,'Pre-Assessment Estimator'!$A$10:$Z$227,L$2,FALSE)=0,"",VLOOKUP($A71,'Pre-Assessment Estimator'!$A$10:$Z$227,L$2,FALSE))</f>
        <v/>
      </c>
      <c r="M71" s="448"/>
      <c r="N71" s="449" t="str">
        <f>IF(VLOOKUP($A71,'Pre-Assessment Estimator'!$A$10:$Z$227,N$2,FALSE)=0,"",VLOOKUP($A71,'Pre-Assessment Estimator'!$A$10:$Z$227,N$2,FALSE))</f>
        <v/>
      </c>
      <c r="O71" s="444">
        <f>VLOOKUP($A71,'Pre-Assessment Estimator'!$A$10:$Z$227,O$2,FALSE)</f>
        <v>0</v>
      </c>
      <c r="P71" s="443" t="str">
        <f>VLOOKUP($A71,'Pre-Assessment Estimator'!$A$10:$Z$227,P$2,FALSE)</f>
        <v>Very Good</v>
      </c>
      <c r="Q71" s="446" t="str">
        <f>IF(VLOOKUP($A71,'Pre-Assessment Estimator'!$A$10:$Z$227,Q$2,FALSE)=0,"",VLOOKUP($A71,'Pre-Assessment Estimator'!$A$10:$Z$227,Q$2,FALSE))</f>
        <v/>
      </c>
      <c r="R71" s="446" t="str">
        <f>IF(VLOOKUP($A71,'Pre-Assessment Estimator'!$A$10:$Z$227,R$2,FALSE)=0,"",VLOOKUP($A71,'Pre-Assessment Estimator'!$A$10:$Z$227,R$2,FALSE))</f>
        <v/>
      </c>
      <c r="S71" s="447" t="str">
        <f>IF(VLOOKUP($A71,'Pre-Assessment Estimator'!$A$10:$Z$227,S$2,FALSE)=0,"",VLOOKUP($A71,'Pre-Assessment Estimator'!$A$10:$Z$227,S$2,FALSE))</f>
        <v/>
      </c>
      <c r="T71" s="450"/>
      <c r="U71" s="449" t="str">
        <f>IF(VLOOKUP($A71,'Pre-Assessment Estimator'!$A$10:$Z$227,U$2,FALSE)=0,"",VLOOKUP($A71,'Pre-Assessment Estimator'!$A$10:$Z$227,U$2,FALSE))</f>
        <v/>
      </c>
      <c r="V71" s="444">
        <f>VLOOKUP($A71,'Pre-Assessment Estimator'!$A$10:$Z$227,V$2,FALSE)</f>
        <v>0</v>
      </c>
      <c r="W71" s="443" t="str">
        <f>VLOOKUP($A71,'Pre-Assessment Estimator'!$A$10:$Z$227,W$2,FALSE)</f>
        <v>Very Good</v>
      </c>
      <c r="X71" s="446" t="str">
        <f>IF(VLOOKUP($A71,'Pre-Assessment Estimator'!$A$10:$Z$227,X$2,FALSE)=0,"",VLOOKUP($A71,'Pre-Assessment Estimator'!$A$10:$Z$227,X$2,FALSE))</f>
        <v/>
      </c>
      <c r="Y71" s="446" t="str">
        <f>IF(VLOOKUP($A71,'Pre-Assessment Estimator'!$A$10:$Z$227,Y$2,FALSE)=0,"",VLOOKUP($A71,'Pre-Assessment Estimator'!$A$10:$Z$227,Y$2,FALSE))</f>
        <v/>
      </c>
      <c r="Z71" s="313" t="str">
        <f>IF(VLOOKUP($A71,'Pre-Assessment Estimator'!$A$10:$Z$227,Z$2,FALSE)=0,"",VLOOKUP($A71,'Pre-Assessment Estimator'!$A$10:$Z$227,Z$2,FALSE))</f>
        <v/>
      </c>
      <c r="AA71" s="544">
        <v>61</v>
      </c>
      <c r="AB71" s="446"/>
    </row>
    <row r="72" spans="1:32">
      <c r="A72" s="652">
        <v>63</v>
      </c>
      <c r="B72" s="958" t="s">
        <v>332</v>
      </c>
      <c r="C72" s="958"/>
      <c r="D72" s="980" t="str">
        <f>VLOOKUP($A72,'Pre-Assessment Estimator'!$A$10:$Z$227,D$2,FALSE)</f>
        <v>Ene 01</v>
      </c>
      <c r="E72" s="983" t="str">
        <f>VLOOKUP($A72,'Pre-Assessment Estimator'!$A$10:$Z$227,E$2,FALSE)</f>
        <v>EU taxonomy requirements: criterion 11-12</v>
      </c>
      <c r="F72" s="443" t="str">
        <f>VLOOKUP($A72,'Pre-Assessment Estimator'!$A$10:$Z$227,F$2,FALSE)</f>
        <v>Yes/No</v>
      </c>
      <c r="G72" s="449" t="str">
        <f>IF(VLOOKUP($A72,'Pre-Assessment Estimator'!$A$10:$Z$227,G$2,FALSE)=0,"",VLOOKUP($A72,'Pre-Assessment Estimator'!$A$10:$Z$227,G$2,FALSE))</f>
        <v/>
      </c>
      <c r="H72" s="948" t="str">
        <f>VLOOKUP($A72,'Pre-Assessment Estimator'!$A$10:$Z$227,H$2,FALSE)</f>
        <v>-</v>
      </c>
      <c r="I72" s="445" t="str">
        <f>VLOOKUP($A72,'Pre-Assessment Estimator'!$A$10:$Z$227,I$2,FALSE)</f>
        <v>N/A</v>
      </c>
      <c r="J72" s="446" t="str">
        <f>IF(VLOOKUP($A72,'Pre-Assessment Estimator'!$A$10:$Z$227,J$2,FALSE)=0,"",VLOOKUP($A72,'Pre-Assessment Estimator'!$A$10:$Z$227,J$2,FALSE))</f>
        <v/>
      </c>
      <c r="K72" s="446" t="str">
        <f>IF(VLOOKUP($A72,'Pre-Assessment Estimator'!$A$10:$Z$227,K$2,FALSE)=0,"",VLOOKUP($A72,'Pre-Assessment Estimator'!$A$10:$Z$227,K$2,FALSE))</f>
        <v/>
      </c>
      <c r="L72" s="447" t="str">
        <f>IF(VLOOKUP($A72,'Pre-Assessment Estimator'!$A$10:$Z$227,L$2,FALSE)=0,"",VLOOKUP($A72,'Pre-Assessment Estimator'!$A$10:$Z$227,L$2,FALSE))</f>
        <v/>
      </c>
      <c r="M72" s="448"/>
      <c r="N72" s="449" t="str">
        <f>IF(VLOOKUP($A72,'Pre-Assessment Estimator'!$A$10:$Z$227,N$2,FALSE)=0,"",VLOOKUP($A72,'Pre-Assessment Estimator'!$A$10:$Z$227,N$2,FALSE))</f>
        <v/>
      </c>
      <c r="O72" s="444" t="str">
        <f>VLOOKUP($A72,'Pre-Assessment Estimator'!$A$10:$Z$227,O$2,FALSE)</f>
        <v>-</v>
      </c>
      <c r="P72" s="443" t="str">
        <f>VLOOKUP($A72,'Pre-Assessment Estimator'!$A$10:$Z$227,P$2,FALSE)</f>
        <v>N/A</v>
      </c>
      <c r="Q72" s="446" t="str">
        <f>IF(VLOOKUP($A72,'Pre-Assessment Estimator'!$A$10:$Z$227,Q$2,FALSE)=0,"",VLOOKUP($A72,'Pre-Assessment Estimator'!$A$10:$Z$227,Q$2,FALSE))</f>
        <v/>
      </c>
      <c r="R72" s="446" t="str">
        <f>IF(VLOOKUP($A72,'Pre-Assessment Estimator'!$A$10:$Z$227,R$2,FALSE)=0,"",VLOOKUP($A72,'Pre-Assessment Estimator'!$A$10:$Z$227,R$2,FALSE))</f>
        <v/>
      </c>
      <c r="S72" s="447" t="str">
        <f>IF(VLOOKUP($A72,'Pre-Assessment Estimator'!$A$10:$Z$227,S$2,FALSE)=0,"",VLOOKUP($A72,'Pre-Assessment Estimator'!$A$10:$Z$227,S$2,FALSE))</f>
        <v/>
      </c>
      <c r="T72" s="450"/>
      <c r="U72" s="449" t="str">
        <f>IF(VLOOKUP($A72,'Pre-Assessment Estimator'!$A$10:$Z$227,U$2,FALSE)=0,"",VLOOKUP($A72,'Pre-Assessment Estimator'!$A$10:$Z$227,U$2,FALSE))</f>
        <v/>
      </c>
      <c r="V72" s="444" t="str">
        <f>VLOOKUP($A72,'Pre-Assessment Estimator'!$A$10:$Z$227,V$2,FALSE)</f>
        <v>-</v>
      </c>
      <c r="W72" s="443" t="str">
        <f>VLOOKUP($A72,'Pre-Assessment Estimator'!$A$10:$Z$227,W$2,FALSE)</f>
        <v>N/A</v>
      </c>
      <c r="X72" s="446" t="str">
        <f>IF(VLOOKUP($A72,'Pre-Assessment Estimator'!$A$10:$Z$227,X$2,FALSE)=0,"",VLOOKUP($A72,'Pre-Assessment Estimator'!$A$10:$Z$227,X$2,FALSE))</f>
        <v/>
      </c>
      <c r="Y72" s="446" t="str">
        <f>IF(VLOOKUP($A72,'Pre-Assessment Estimator'!$A$10:$Z$227,Y$2,FALSE)=0,"",VLOOKUP($A72,'Pre-Assessment Estimator'!$A$10:$Z$227,Y$2,FALSE))</f>
        <v/>
      </c>
      <c r="Z72" s="313" t="str">
        <f>IF(VLOOKUP($A72,'Pre-Assessment Estimator'!$A$10:$Z$227,Z$2,FALSE)=0,"",VLOOKUP($A72,'Pre-Assessment Estimator'!$A$10:$Z$227,Z$2,FALSE))</f>
        <v/>
      </c>
      <c r="AA72" s="544">
        <v>61</v>
      </c>
      <c r="AB72" s="446"/>
    </row>
    <row r="73" spans="1:32">
      <c r="A73" s="652">
        <v>64</v>
      </c>
      <c r="B73" s="958" t="s">
        <v>332</v>
      </c>
      <c r="C73" s="958"/>
      <c r="D73" s="980" t="str">
        <f>VLOOKUP($A73,'Pre-Assessment Estimator'!$A$10:$Z$227,D$2,FALSE)</f>
        <v>Ene 01</v>
      </c>
      <c r="E73" s="981" t="str">
        <f>VLOOKUP($A73,'Pre-Assessment Estimator'!$A$10:$Z$227,E$2,FALSE)</f>
        <v xml:space="preserve">Prediction of operational energy consumption </v>
      </c>
      <c r="F73" s="443">
        <f>VLOOKUP($A73,'Pre-Assessment Estimator'!$A$10:$Z$227,F$2,FALSE)</f>
        <v>4</v>
      </c>
      <c r="G73" s="449" t="str">
        <f>IF(VLOOKUP($A73,'Pre-Assessment Estimator'!$A$10:$Z$227,G$2,FALSE)=0,"",VLOOKUP($A73,'Pre-Assessment Estimator'!$A$10:$Z$227,G$2,FALSE))</f>
        <v/>
      </c>
      <c r="H73" s="948">
        <f>VLOOKUP($A73,'Pre-Assessment Estimator'!$A$10:$Z$227,H$2,FALSE)</f>
        <v>0</v>
      </c>
      <c r="I73" s="445" t="str">
        <f>VLOOKUP($A73,'Pre-Assessment Estimator'!$A$10:$Z$227,I$2,FALSE)</f>
        <v>N/A</v>
      </c>
      <c r="J73" s="446" t="str">
        <f>IF(VLOOKUP($A73,'Pre-Assessment Estimator'!$A$10:$Z$227,J$2,FALSE)=0,"",VLOOKUP($A73,'Pre-Assessment Estimator'!$A$10:$Z$227,J$2,FALSE))</f>
        <v/>
      </c>
      <c r="K73" s="446" t="str">
        <f>IF(VLOOKUP($A73,'Pre-Assessment Estimator'!$A$10:$Z$227,K$2,FALSE)=0,"",VLOOKUP($A73,'Pre-Assessment Estimator'!$A$10:$Z$227,K$2,FALSE))</f>
        <v/>
      </c>
      <c r="L73" s="447" t="str">
        <f>IF(VLOOKUP($A73,'Pre-Assessment Estimator'!$A$10:$Z$227,L$2,FALSE)=0,"",VLOOKUP($A73,'Pre-Assessment Estimator'!$A$10:$Z$227,L$2,FALSE))</f>
        <v/>
      </c>
      <c r="M73" s="448"/>
      <c r="N73" s="449" t="str">
        <f>IF(VLOOKUP($A73,'Pre-Assessment Estimator'!$A$10:$Z$227,N$2,FALSE)=0,"",VLOOKUP($A73,'Pre-Assessment Estimator'!$A$10:$Z$227,N$2,FALSE))</f>
        <v/>
      </c>
      <c r="O73" s="444">
        <f>VLOOKUP($A73,'Pre-Assessment Estimator'!$A$10:$Z$227,O$2,FALSE)</f>
        <v>0</v>
      </c>
      <c r="P73" s="443" t="str">
        <f>VLOOKUP($A73,'Pre-Assessment Estimator'!$A$10:$Z$227,P$2,FALSE)</f>
        <v>N/A</v>
      </c>
      <c r="Q73" s="446" t="str">
        <f>IF(VLOOKUP($A73,'Pre-Assessment Estimator'!$A$10:$Z$227,Q$2,FALSE)=0,"",VLOOKUP($A73,'Pre-Assessment Estimator'!$A$10:$Z$227,Q$2,FALSE))</f>
        <v/>
      </c>
      <c r="R73" s="446" t="str">
        <f>IF(VLOOKUP($A73,'Pre-Assessment Estimator'!$A$10:$Z$227,R$2,FALSE)=0,"",VLOOKUP($A73,'Pre-Assessment Estimator'!$A$10:$Z$227,R$2,FALSE))</f>
        <v/>
      </c>
      <c r="S73" s="447" t="str">
        <f>IF(VLOOKUP($A73,'Pre-Assessment Estimator'!$A$10:$Z$227,S$2,FALSE)=0,"",VLOOKUP($A73,'Pre-Assessment Estimator'!$A$10:$Z$227,S$2,FALSE))</f>
        <v/>
      </c>
      <c r="T73" s="450"/>
      <c r="U73" s="449" t="str">
        <f>IF(VLOOKUP($A73,'Pre-Assessment Estimator'!$A$10:$Z$227,U$2,FALSE)=0,"",VLOOKUP($A73,'Pre-Assessment Estimator'!$A$10:$Z$227,U$2,FALSE))</f>
        <v/>
      </c>
      <c r="V73" s="444">
        <f>VLOOKUP($A73,'Pre-Assessment Estimator'!$A$10:$Z$227,V$2,FALSE)</f>
        <v>0</v>
      </c>
      <c r="W73" s="443" t="str">
        <f>VLOOKUP($A73,'Pre-Assessment Estimator'!$A$10:$Z$227,W$2,FALSE)</f>
        <v>N/A</v>
      </c>
      <c r="X73" s="446" t="str">
        <f>IF(VLOOKUP($A73,'Pre-Assessment Estimator'!$A$10:$Z$227,X$2,FALSE)=0,"",VLOOKUP($A73,'Pre-Assessment Estimator'!$A$10:$Z$227,X$2,FALSE))</f>
        <v/>
      </c>
      <c r="Y73" s="446" t="str">
        <f>IF(VLOOKUP($A73,'Pre-Assessment Estimator'!$A$10:$Z$227,Y$2,FALSE)=0,"",VLOOKUP($A73,'Pre-Assessment Estimator'!$A$10:$Z$227,Y$2,FALSE))</f>
        <v/>
      </c>
      <c r="Z73" s="313" t="str">
        <f>IF(VLOOKUP($A73,'Pre-Assessment Estimator'!$A$10:$Z$227,Z$2,FALSE)=0,"",VLOOKUP($A73,'Pre-Assessment Estimator'!$A$10:$Z$227,Z$2,FALSE))</f>
        <v/>
      </c>
      <c r="AA73" s="544">
        <v>62</v>
      </c>
      <c r="AB73" s="446"/>
      <c r="AF73" s="13">
        <f t="shared" si="0"/>
        <v>1</v>
      </c>
    </row>
    <row r="74" spans="1:32">
      <c r="A74" s="652">
        <v>65</v>
      </c>
      <c r="B74" s="958" t="s">
        <v>332</v>
      </c>
      <c r="C74" s="958"/>
      <c r="D74" s="979" t="str">
        <f>VLOOKUP($A74,'Pre-Assessment Estimator'!$A$10:$Z$227,D$2,FALSE)</f>
        <v>Ene 02</v>
      </c>
      <c r="E74" s="979" t="str">
        <f>VLOOKUP($A74,'Pre-Assessment Estimator'!$A$10:$Z$227,E$2,FALSE)</f>
        <v>Ene 02 Energy monitoring</v>
      </c>
      <c r="F74" s="443">
        <f>VLOOKUP($A74,'Pre-Assessment Estimator'!$A$10:$Z$227,F$2,FALSE)</f>
        <v>2</v>
      </c>
      <c r="G74" s="449" t="str">
        <f>IF(VLOOKUP($A74,'Pre-Assessment Estimator'!$A$10:$Z$227,G$2,FALSE)=0,"",VLOOKUP($A74,'Pre-Assessment Estimator'!$A$10:$Z$227,G$2,FALSE))</f>
        <v/>
      </c>
      <c r="H74" s="948" t="str">
        <f>VLOOKUP($A74,'Pre-Assessment Estimator'!$A$10:$Z$227,H$2,FALSE)</f>
        <v>0 c. 0 %</v>
      </c>
      <c r="I74" s="445" t="str">
        <f>VLOOKUP($A74,'Pre-Assessment Estimator'!$A$10:$Z$227,I$2,FALSE)</f>
        <v>N/A</v>
      </c>
      <c r="J74" s="446" t="str">
        <f>IF(VLOOKUP($A74,'Pre-Assessment Estimator'!$A$10:$Z$227,J$2,FALSE)=0,"",VLOOKUP($A74,'Pre-Assessment Estimator'!$A$10:$Z$227,J$2,FALSE))</f>
        <v/>
      </c>
      <c r="K74" s="446" t="str">
        <f>IF(VLOOKUP($A74,'Pre-Assessment Estimator'!$A$10:$Z$227,K$2,FALSE)=0,"",VLOOKUP($A74,'Pre-Assessment Estimator'!$A$10:$Z$227,K$2,FALSE))</f>
        <v/>
      </c>
      <c r="L74" s="447" t="str">
        <f>IF(VLOOKUP($A74,'Pre-Assessment Estimator'!$A$10:$Z$227,L$2,FALSE)=0,"",VLOOKUP($A74,'Pre-Assessment Estimator'!$A$10:$Z$227,L$2,FALSE))</f>
        <v/>
      </c>
      <c r="M74" s="448"/>
      <c r="N74" s="449" t="str">
        <f>IF(VLOOKUP($A74,'Pre-Assessment Estimator'!$A$10:$Z$227,N$2,FALSE)=0,"",VLOOKUP($A74,'Pre-Assessment Estimator'!$A$10:$Z$227,N$2,FALSE))</f>
        <v/>
      </c>
      <c r="O74" s="444" t="str">
        <f>VLOOKUP($A74,'Pre-Assessment Estimator'!$A$10:$Z$227,O$2,FALSE)</f>
        <v>0 c. 0 %</v>
      </c>
      <c r="P74" s="443" t="str">
        <f>VLOOKUP($A74,'Pre-Assessment Estimator'!$A$10:$Z$227,P$2,FALSE)</f>
        <v>N/A</v>
      </c>
      <c r="Q74" s="446" t="str">
        <f>IF(VLOOKUP($A74,'Pre-Assessment Estimator'!$A$10:$Z$227,Q$2,FALSE)=0,"",VLOOKUP($A74,'Pre-Assessment Estimator'!$A$10:$Z$227,Q$2,FALSE))</f>
        <v/>
      </c>
      <c r="R74" s="446" t="str">
        <f>IF(VLOOKUP($A74,'Pre-Assessment Estimator'!$A$10:$Z$227,R$2,FALSE)=0,"",VLOOKUP($A74,'Pre-Assessment Estimator'!$A$10:$Z$227,R$2,FALSE))</f>
        <v/>
      </c>
      <c r="S74" s="447" t="str">
        <f>IF(VLOOKUP($A74,'Pre-Assessment Estimator'!$A$10:$Z$227,S$2,FALSE)=0,"",VLOOKUP($A74,'Pre-Assessment Estimator'!$A$10:$Z$227,S$2,FALSE))</f>
        <v/>
      </c>
      <c r="T74" s="450"/>
      <c r="U74" s="449" t="str">
        <f>IF(VLOOKUP($A74,'Pre-Assessment Estimator'!$A$10:$Z$227,U$2,FALSE)=0,"",VLOOKUP($A74,'Pre-Assessment Estimator'!$A$10:$Z$227,U$2,FALSE))</f>
        <v/>
      </c>
      <c r="V74" s="444" t="str">
        <f>VLOOKUP($A74,'Pre-Assessment Estimator'!$A$10:$Z$227,V$2,FALSE)</f>
        <v>0 c. 0 %</v>
      </c>
      <c r="W74" s="443" t="str">
        <f>VLOOKUP($A74,'Pre-Assessment Estimator'!$A$10:$Z$227,W$2,FALSE)</f>
        <v>N/A</v>
      </c>
      <c r="X74" s="446" t="str">
        <f>IF(VLOOKUP($A74,'Pre-Assessment Estimator'!$A$10:$Z$227,X$2,FALSE)=0,"",VLOOKUP($A74,'Pre-Assessment Estimator'!$A$10:$Z$227,X$2,FALSE))</f>
        <v/>
      </c>
      <c r="Y74" s="446" t="str">
        <f>IF(VLOOKUP($A74,'Pre-Assessment Estimator'!$A$10:$Z$227,Y$2,FALSE)=0,"",VLOOKUP($A74,'Pre-Assessment Estimator'!$A$10:$Z$227,Y$2,FALSE))</f>
        <v/>
      </c>
      <c r="Z74" s="313" t="str">
        <f>IF(VLOOKUP($A74,'Pre-Assessment Estimator'!$A$10:$Z$227,Z$2,FALSE)=0,"",VLOOKUP($A74,'Pre-Assessment Estimator'!$A$10:$Z$227,Z$2,FALSE))</f>
        <v/>
      </c>
      <c r="AA74" s="544">
        <v>63</v>
      </c>
      <c r="AB74" s="446"/>
      <c r="AF74" s="13">
        <f t="shared" si="0"/>
        <v>1</v>
      </c>
    </row>
    <row r="75" spans="1:32">
      <c r="A75" s="652">
        <v>66</v>
      </c>
      <c r="B75" s="958" t="s">
        <v>332</v>
      </c>
      <c r="C75" s="958"/>
      <c r="D75" s="980" t="str">
        <f>VLOOKUP($A75,'Pre-Assessment Estimator'!$A$10:$Z$227,D$2,FALSE)</f>
        <v>Ene 02</v>
      </c>
      <c r="E75" s="981" t="str">
        <f>VLOOKUP($A75,'Pre-Assessment Estimator'!$A$10:$Z$227,E$2,FALSE)</f>
        <v xml:space="preserve">Sub-metering of end-use categories </v>
      </c>
      <c r="F75" s="443">
        <f>VLOOKUP($A75,'Pre-Assessment Estimator'!$A$10:$Z$227,F$2,FALSE)</f>
        <v>1</v>
      </c>
      <c r="G75" s="449" t="str">
        <f>IF(VLOOKUP($A75,'Pre-Assessment Estimator'!$A$10:$Z$227,G$2,FALSE)=0,"",VLOOKUP($A75,'Pre-Assessment Estimator'!$A$10:$Z$227,G$2,FALSE))</f>
        <v/>
      </c>
      <c r="H75" s="948">
        <f>VLOOKUP($A75,'Pre-Assessment Estimator'!$A$10:$Z$227,H$2,FALSE)</f>
        <v>0</v>
      </c>
      <c r="I75" s="445" t="str">
        <f>VLOOKUP($A75,'Pre-Assessment Estimator'!$A$10:$Z$227,I$2,FALSE)</f>
        <v>N/A</v>
      </c>
      <c r="J75" s="446" t="str">
        <f>IF(VLOOKUP($A75,'Pre-Assessment Estimator'!$A$10:$Z$227,J$2,FALSE)=0,"",VLOOKUP($A75,'Pre-Assessment Estimator'!$A$10:$Z$227,J$2,FALSE))</f>
        <v/>
      </c>
      <c r="K75" s="446" t="str">
        <f>IF(VLOOKUP($A75,'Pre-Assessment Estimator'!$A$10:$Z$227,K$2,FALSE)=0,"",VLOOKUP($A75,'Pre-Assessment Estimator'!$A$10:$Z$227,K$2,FALSE))</f>
        <v/>
      </c>
      <c r="L75" s="447" t="str">
        <f>IF(VLOOKUP($A75,'Pre-Assessment Estimator'!$A$10:$Z$227,L$2,FALSE)=0,"",VLOOKUP($A75,'Pre-Assessment Estimator'!$A$10:$Z$227,L$2,FALSE))</f>
        <v/>
      </c>
      <c r="M75" s="448"/>
      <c r="N75" s="449" t="str">
        <f>IF(VLOOKUP($A75,'Pre-Assessment Estimator'!$A$10:$Z$227,N$2,FALSE)=0,"",VLOOKUP($A75,'Pre-Assessment Estimator'!$A$10:$Z$227,N$2,FALSE))</f>
        <v/>
      </c>
      <c r="O75" s="444">
        <f>VLOOKUP($A75,'Pre-Assessment Estimator'!$A$10:$Z$227,O$2,FALSE)</f>
        <v>0</v>
      </c>
      <c r="P75" s="443" t="str">
        <f>VLOOKUP($A75,'Pre-Assessment Estimator'!$A$10:$Z$227,P$2,FALSE)</f>
        <v>N/A</v>
      </c>
      <c r="Q75" s="446" t="str">
        <f>IF(VLOOKUP($A75,'Pre-Assessment Estimator'!$A$10:$Z$227,Q$2,FALSE)=0,"",VLOOKUP($A75,'Pre-Assessment Estimator'!$A$10:$Z$227,Q$2,FALSE))</f>
        <v/>
      </c>
      <c r="R75" s="446" t="str">
        <f>IF(VLOOKUP($A75,'Pre-Assessment Estimator'!$A$10:$Z$227,R$2,FALSE)=0,"",VLOOKUP($A75,'Pre-Assessment Estimator'!$A$10:$Z$227,R$2,FALSE))</f>
        <v/>
      </c>
      <c r="S75" s="447" t="str">
        <f>IF(VLOOKUP($A75,'Pre-Assessment Estimator'!$A$10:$Z$227,S$2,FALSE)=0,"",VLOOKUP($A75,'Pre-Assessment Estimator'!$A$10:$Z$227,S$2,FALSE))</f>
        <v/>
      </c>
      <c r="T75" s="450"/>
      <c r="U75" s="449" t="str">
        <f>IF(VLOOKUP($A75,'Pre-Assessment Estimator'!$A$10:$Z$227,U$2,FALSE)=0,"",VLOOKUP($A75,'Pre-Assessment Estimator'!$A$10:$Z$227,U$2,FALSE))</f>
        <v/>
      </c>
      <c r="V75" s="444">
        <f>VLOOKUP($A75,'Pre-Assessment Estimator'!$A$10:$Z$227,V$2,FALSE)</f>
        <v>0</v>
      </c>
      <c r="W75" s="443" t="str">
        <f>VLOOKUP($A75,'Pre-Assessment Estimator'!$A$10:$Z$227,W$2,FALSE)</f>
        <v>N/A</v>
      </c>
      <c r="X75" s="446" t="str">
        <f>IF(VLOOKUP($A75,'Pre-Assessment Estimator'!$A$10:$Z$227,X$2,FALSE)=0,"",VLOOKUP($A75,'Pre-Assessment Estimator'!$A$10:$Z$227,X$2,FALSE))</f>
        <v/>
      </c>
      <c r="Y75" s="446" t="str">
        <f>IF(VLOOKUP($A75,'Pre-Assessment Estimator'!$A$10:$Z$227,Y$2,FALSE)=0,"",VLOOKUP($A75,'Pre-Assessment Estimator'!$A$10:$Z$227,Y$2,FALSE))</f>
        <v/>
      </c>
      <c r="Z75" s="313" t="str">
        <f>IF(VLOOKUP($A75,'Pre-Assessment Estimator'!$A$10:$Z$227,Z$2,FALSE)=0,"",VLOOKUP($A75,'Pre-Assessment Estimator'!$A$10:$Z$227,Z$2,FALSE))</f>
        <v/>
      </c>
      <c r="AA75" s="544">
        <v>64</v>
      </c>
      <c r="AB75" s="446"/>
      <c r="AF75" s="13">
        <f t="shared" si="0"/>
        <v>1</v>
      </c>
    </row>
    <row r="76" spans="1:32">
      <c r="A76" s="652">
        <v>67</v>
      </c>
      <c r="B76" s="958" t="s">
        <v>332</v>
      </c>
      <c r="C76" s="958"/>
      <c r="D76" s="980" t="str">
        <f>VLOOKUP($A76,'Pre-Assessment Estimator'!$A$10:$Z$227,D$2,FALSE)</f>
        <v>Ene 02</v>
      </c>
      <c r="E76" s="981" t="str">
        <f>VLOOKUP($A76,'Pre-Assessment Estimator'!$A$10:$Z$227,E$2,FALSE)</f>
        <v xml:space="preserve">Sub-metering of high energy load and tenancy areas </v>
      </c>
      <c r="F76" s="443">
        <f>VLOOKUP($A76,'Pre-Assessment Estimator'!$A$10:$Z$227,F$2,FALSE)</f>
        <v>1</v>
      </c>
      <c r="G76" s="449" t="str">
        <f>IF(VLOOKUP($A76,'Pre-Assessment Estimator'!$A$10:$Z$227,G$2,FALSE)=0,"",VLOOKUP($A76,'Pre-Assessment Estimator'!$A$10:$Z$227,G$2,FALSE))</f>
        <v/>
      </c>
      <c r="H76" s="948">
        <f>VLOOKUP($A76,'Pre-Assessment Estimator'!$A$10:$Z$227,H$2,FALSE)</f>
        <v>0</v>
      </c>
      <c r="I76" s="445" t="str">
        <f>VLOOKUP($A76,'Pre-Assessment Estimator'!$A$10:$Z$227,I$2,FALSE)</f>
        <v>N/A</v>
      </c>
      <c r="J76" s="446" t="str">
        <f>IF(VLOOKUP($A76,'Pre-Assessment Estimator'!$A$10:$Z$227,J$2,FALSE)=0,"",VLOOKUP($A76,'Pre-Assessment Estimator'!$A$10:$Z$227,J$2,FALSE))</f>
        <v/>
      </c>
      <c r="K76" s="446" t="str">
        <f>IF(VLOOKUP($A76,'Pre-Assessment Estimator'!$A$10:$Z$227,K$2,FALSE)=0,"",VLOOKUP($A76,'Pre-Assessment Estimator'!$A$10:$Z$227,K$2,FALSE))</f>
        <v/>
      </c>
      <c r="L76" s="447" t="str">
        <f>IF(VLOOKUP($A76,'Pre-Assessment Estimator'!$A$10:$Z$227,L$2,FALSE)=0,"",VLOOKUP($A76,'Pre-Assessment Estimator'!$A$10:$Z$227,L$2,FALSE))</f>
        <v/>
      </c>
      <c r="M76" s="448"/>
      <c r="N76" s="449" t="str">
        <f>IF(VLOOKUP($A76,'Pre-Assessment Estimator'!$A$10:$Z$227,N$2,FALSE)=0,"",VLOOKUP($A76,'Pre-Assessment Estimator'!$A$10:$Z$227,N$2,FALSE))</f>
        <v/>
      </c>
      <c r="O76" s="444">
        <f>VLOOKUP($A76,'Pre-Assessment Estimator'!$A$10:$Z$227,O$2,FALSE)</f>
        <v>0</v>
      </c>
      <c r="P76" s="443" t="str">
        <f>VLOOKUP($A76,'Pre-Assessment Estimator'!$A$10:$Z$227,P$2,FALSE)</f>
        <v>N/A</v>
      </c>
      <c r="Q76" s="446" t="str">
        <f>IF(VLOOKUP($A76,'Pre-Assessment Estimator'!$A$10:$Z$227,Q$2,FALSE)=0,"",VLOOKUP($A76,'Pre-Assessment Estimator'!$A$10:$Z$227,Q$2,FALSE))</f>
        <v/>
      </c>
      <c r="R76" s="446" t="str">
        <f>IF(VLOOKUP($A76,'Pre-Assessment Estimator'!$A$10:$Z$227,R$2,FALSE)=0,"",VLOOKUP($A76,'Pre-Assessment Estimator'!$A$10:$Z$227,R$2,FALSE))</f>
        <v/>
      </c>
      <c r="S76" s="447" t="str">
        <f>IF(VLOOKUP($A76,'Pre-Assessment Estimator'!$A$10:$Z$227,S$2,FALSE)=0,"",VLOOKUP($A76,'Pre-Assessment Estimator'!$A$10:$Z$227,S$2,FALSE))</f>
        <v/>
      </c>
      <c r="T76" s="450"/>
      <c r="U76" s="449" t="str">
        <f>IF(VLOOKUP($A76,'Pre-Assessment Estimator'!$A$10:$Z$227,U$2,FALSE)=0,"",VLOOKUP($A76,'Pre-Assessment Estimator'!$A$10:$Z$227,U$2,FALSE))</f>
        <v/>
      </c>
      <c r="V76" s="444">
        <f>VLOOKUP($A76,'Pre-Assessment Estimator'!$A$10:$Z$227,V$2,FALSE)</f>
        <v>0</v>
      </c>
      <c r="W76" s="443" t="str">
        <f>VLOOKUP($A76,'Pre-Assessment Estimator'!$A$10:$Z$227,W$2,FALSE)</f>
        <v>N/A</v>
      </c>
      <c r="X76" s="446" t="str">
        <f>IF(VLOOKUP($A76,'Pre-Assessment Estimator'!$A$10:$Z$227,X$2,FALSE)=0,"",VLOOKUP($A76,'Pre-Assessment Estimator'!$A$10:$Z$227,X$2,FALSE))</f>
        <v/>
      </c>
      <c r="Y76" s="446" t="str">
        <f>IF(VLOOKUP($A76,'Pre-Assessment Estimator'!$A$10:$Z$227,Y$2,FALSE)=0,"",VLOOKUP($A76,'Pre-Assessment Estimator'!$A$10:$Z$227,Y$2,FALSE))</f>
        <v/>
      </c>
      <c r="Z76" s="313" t="str">
        <f>IF(VLOOKUP($A76,'Pre-Assessment Estimator'!$A$10:$Z$227,Z$2,FALSE)=0,"",VLOOKUP($A76,'Pre-Assessment Estimator'!$A$10:$Z$227,Z$2,FALSE))</f>
        <v/>
      </c>
      <c r="AA76" s="544">
        <v>65</v>
      </c>
      <c r="AB76" s="446"/>
      <c r="AF76" s="13">
        <f t="shared" si="0"/>
        <v>1</v>
      </c>
    </row>
    <row r="77" spans="1:32">
      <c r="A77" s="652">
        <v>68</v>
      </c>
      <c r="B77" s="958" t="s">
        <v>332</v>
      </c>
      <c r="C77" s="958"/>
      <c r="D77" s="980" t="str">
        <f>VLOOKUP($A77,'Pre-Assessment Estimator'!$A$10:$Z$227,D$2,FALSE)</f>
        <v>Ene 02</v>
      </c>
      <c r="E77" s="981" t="str">
        <f>VLOOKUP($A77,'Pre-Assessment Estimator'!$A$10:$Z$227,E$2,FALSE)</f>
        <v xml:space="preserve">Sub-metering of energy consumption in residential buildings </v>
      </c>
      <c r="F77" s="443">
        <f>VLOOKUP($A77,'Pre-Assessment Estimator'!$A$10:$Z$227,F$2,FALSE)</f>
        <v>0</v>
      </c>
      <c r="G77" s="449" t="str">
        <f>IF(VLOOKUP($A77,'Pre-Assessment Estimator'!$A$10:$Z$227,G$2,FALSE)=0,"",VLOOKUP($A77,'Pre-Assessment Estimator'!$A$10:$Z$227,G$2,FALSE))</f>
        <v/>
      </c>
      <c r="H77" s="948">
        <f>VLOOKUP($A77,'Pre-Assessment Estimator'!$A$10:$Z$227,H$2,FALSE)</f>
        <v>0</v>
      </c>
      <c r="I77" s="445" t="str">
        <f>VLOOKUP($A77,'Pre-Assessment Estimator'!$A$10:$Z$227,I$2,FALSE)</f>
        <v>N/A</v>
      </c>
      <c r="J77" s="446" t="str">
        <f>IF(VLOOKUP($A77,'Pre-Assessment Estimator'!$A$10:$Z$227,J$2,FALSE)=0,"",VLOOKUP($A77,'Pre-Assessment Estimator'!$A$10:$Z$227,J$2,FALSE))</f>
        <v/>
      </c>
      <c r="K77" s="446" t="str">
        <f>IF(VLOOKUP($A77,'Pre-Assessment Estimator'!$A$10:$Z$227,K$2,FALSE)=0,"",VLOOKUP($A77,'Pre-Assessment Estimator'!$A$10:$Z$227,K$2,FALSE))</f>
        <v/>
      </c>
      <c r="L77" s="447" t="str">
        <f>IF(VLOOKUP($A77,'Pre-Assessment Estimator'!$A$10:$Z$227,L$2,FALSE)=0,"",VLOOKUP($A77,'Pre-Assessment Estimator'!$A$10:$Z$227,L$2,FALSE))</f>
        <v/>
      </c>
      <c r="M77" s="448"/>
      <c r="N77" s="449" t="str">
        <f>IF(VLOOKUP($A77,'Pre-Assessment Estimator'!$A$10:$Z$227,N$2,FALSE)=0,"",VLOOKUP($A77,'Pre-Assessment Estimator'!$A$10:$Z$227,N$2,FALSE))</f>
        <v/>
      </c>
      <c r="O77" s="444">
        <f>VLOOKUP($A77,'Pre-Assessment Estimator'!$A$10:$Z$227,O$2,FALSE)</f>
        <v>0</v>
      </c>
      <c r="P77" s="443" t="str">
        <f>VLOOKUP($A77,'Pre-Assessment Estimator'!$A$10:$Z$227,P$2,FALSE)</f>
        <v>N/A</v>
      </c>
      <c r="Q77" s="446" t="str">
        <f>IF(VLOOKUP($A77,'Pre-Assessment Estimator'!$A$10:$Z$227,Q$2,FALSE)=0,"",VLOOKUP($A77,'Pre-Assessment Estimator'!$A$10:$Z$227,Q$2,FALSE))</f>
        <v/>
      </c>
      <c r="R77" s="446" t="str">
        <f>IF(VLOOKUP($A77,'Pre-Assessment Estimator'!$A$10:$Z$227,R$2,FALSE)=0,"",VLOOKUP($A77,'Pre-Assessment Estimator'!$A$10:$Z$227,R$2,FALSE))</f>
        <v/>
      </c>
      <c r="S77" s="447" t="str">
        <f>IF(VLOOKUP($A77,'Pre-Assessment Estimator'!$A$10:$Z$227,S$2,FALSE)=0,"",VLOOKUP($A77,'Pre-Assessment Estimator'!$A$10:$Z$227,S$2,FALSE))</f>
        <v/>
      </c>
      <c r="T77" s="450"/>
      <c r="U77" s="449" t="str">
        <f>IF(VLOOKUP($A77,'Pre-Assessment Estimator'!$A$10:$Z$227,U$2,FALSE)=0,"",VLOOKUP($A77,'Pre-Assessment Estimator'!$A$10:$Z$227,U$2,FALSE))</f>
        <v/>
      </c>
      <c r="V77" s="444">
        <f>VLOOKUP($A77,'Pre-Assessment Estimator'!$A$10:$Z$227,V$2,FALSE)</f>
        <v>0</v>
      </c>
      <c r="W77" s="443" t="str">
        <f>VLOOKUP($A77,'Pre-Assessment Estimator'!$A$10:$Z$227,W$2,FALSE)</f>
        <v>N/A</v>
      </c>
      <c r="X77" s="446" t="str">
        <f>IF(VLOOKUP($A77,'Pre-Assessment Estimator'!$A$10:$Z$227,X$2,FALSE)=0,"",VLOOKUP($A77,'Pre-Assessment Estimator'!$A$10:$Z$227,X$2,FALSE))</f>
        <v/>
      </c>
      <c r="Y77" s="446" t="str">
        <f>IF(VLOOKUP($A77,'Pre-Assessment Estimator'!$A$10:$Z$227,Y$2,FALSE)=0,"",VLOOKUP($A77,'Pre-Assessment Estimator'!$A$10:$Z$227,Y$2,FALSE))</f>
        <v/>
      </c>
      <c r="Z77" s="313" t="str">
        <f>IF(VLOOKUP($A77,'Pre-Assessment Estimator'!$A$10:$Z$227,Z$2,FALSE)=0,"",VLOOKUP($A77,'Pre-Assessment Estimator'!$A$10:$Z$227,Z$2,FALSE))</f>
        <v/>
      </c>
      <c r="AA77" s="544">
        <v>66</v>
      </c>
      <c r="AB77" s="446"/>
      <c r="AF77" s="13">
        <f t="shared" si="0"/>
        <v>2</v>
      </c>
    </row>
    <row r="78" spans="1:32">
      <c r="A78" s="652">
        <v>69</v>
      </c>
      <c r="B78" s="958" t="s">
        <v>332</v>
      </c>
      <c r="C78" s="958"/>
      <c r="D78" s="979" t="str">
        <f>VLOOKUP($A78,'Pre-Assessment Estimator'!$A$10:$Z$227,D$2,FALSE)</f>
        <v>Ene 03</v>
      </c>
      <c r="E78" s="979" t="str">
        <f>VLOOKUP($A78,'Pre-Assessment Estimator'!$A$10:$Z$227,E$2,FALSE)</f>
        <v>Ene 03 External lighting</v>
      </c>
      <c r="F78" s="443">
        <f>VLOOKUP($A78,'Pre-Assessment Estimator'!$A$10:$Z$227,F$2,FALSE)</f>
        <v>1</v>
      </c>
      <c r="G78" s="449" t="str">
        <f>IF(VLOOKUP($A78,'Pre-Assessment Estimator'!$A$10:$Z$227,G$2,FALSE)=0,"",VLOOKUP($A78,'Pre-Assessment Estimator'!$A$10:$Z$227,G$2,FALSE))</f>
        <v/>
      </c>
      <c r="H78" s="948" t="str">
        <f>VLOOKUP($A78,'Pre-Assessment Estimator'!$A$10:$Z$227,H$2,FALSE)</f>
        <v>0 c. 0 %</v>
      </c>
      <c r="I78" s="445" t="str">
        <f>VLOOKUP($A78,'Pre-Assessment Estimator'!$A$10:$Z$227,I$2,FALSE)</f>
        <v>N/A</v>
      </c>
      <c r="J78" s="446" t="str">
        <f>IF(VLOOKUP($A78,'Pre-Assessment Estimator'!$A$10:$Z$227,J$2,FALSE)=0,"",VLOOKUP($A78,'Pre-Assessment Estimator'!$A$10:$Z$227,J$2,FALSE))</f>
        <v/>
      </c>
      <c r="K78" s="446" t="str">
        <f>IF(VLOOKUP($A78,'Pre-Assessment Estimator'!$A$10:$Z$227,K$2,FALSE)=0,"",VLOOKUP($A78,'Pre-Assessment Estimator'!$A$10:$Z$227,K$2,FALSE))</f>
        <v/>
      </c>
      <c r="L78" s="447" t="str">
        <f>IF(VLOOKUP($A78,'Pre-Assessment Estimator'!$A$10:$Z$227,L$2,FALSE)=0,"",VLOOKUP($A78,'Pre-Assessment Estimator'!$A$10:$Z$227,L$2,FALSE))</f>
        <v/>
      </c>
      <c r="M78" s="448"/>
      <c r="N78" s="449" t="str">
        <f>IF(VLOOKUP($A78,'Pre-Assessment Estimator'!$A$10:$Z$227,N$2,FALSE)=0,"",VLOOKUP($A78,'Pre-Assessment Estimator'!$A$10:$Z$227,N$2,FALSE))</f>
        <v/>
      </c>
      <c r="O78" s="444" t="str">
        <f>VLOOKUP($A78,'Pre-Assessment Estimator'!$A$10:$Z$227,O$2,FALSE)</f>
        <v>0 c. 0 %</v>
      </c>
      <c r="P78" s="443" t="str">
        <f>VLOOKUP($A78,'Pre-Assessment Estimator'!$A$10:$Z$227,P$2,FALSE)</f>
        <v>N/A</v>
      </c>
      <c r="Q78" s="446" t="str">
        <f>IF(VLOOKUP($A78,'Pre-Assessment Estimator'!$A$10:$Z$227,Q$2,FALSE)=0,"",VLOOKUP($A78,'Pre-Assessment Estimator'!$A$10:$Z$227,Q$2,FALSE))</f>
        <v/>
      </c>
      <c r="R78" s="446" t="str">
        <f>IF(VLOOKUP($A78,'Pre-Assessment Estimator'!$A$10:$Z$227,R$2,FALSE)=0,"",VLOOKUP($A78,'Pre-Assessment Estimator'!$A$10:$Z$227,R$2,FALSE))</f>
        <v/>
      </c>
      <c r="S78" s="447" t="str">
        <f>IF(VLOOKUP($A78,'Pre-Assessment Estimator'!$A$10:$Z$227,S$2,FALSE)=0,"",VLOOKUP($A78,'Pre-Assessment Estimator'!$A$10:$Z$227,S$2,FALSE))</f>
        <v/>
      </c>
      <c r="T78" s="450"/>
      <c r="U78" s="449" t="str">
        <f>IF(VLOOKUP($A78,'Pre-Assessment Estimator'!$A$10:$Z$227,U$2,FALSE)=0,"",VLOOKUP($A78,'Pre-Assessment Estimator'!$A$10:$Z$227,U$2,FALSE))</f>
        <v/>
      </c>
      <c r="V78" s="444" t="str">
        <f>VLOOKUP($A78,'Pre-Assessment Estimator'!$A$10:$Z$227,V$2,FALSE)</f>
        <v>0 c. 0 %</v>
      </c>
      <c r="W78" s="443" t="str">
        <f>VLOOKUP($A78,'Pre-Assessment Estimator'!$A$10:$Z$227,W$2,FALSE)</f>
        <v>N/A</v>
      </c>
      <c r="X78" s="446" t="str">
        <f>IF(VLOOKUP($A78,'Pre-Assessment Estimator'!$A$10:$Z$227,X$2,FALSE)=0,"",VLOOKUP($A78,'Pre-Assessment Estimator'!$A$10:$Z$227,X$2,FALSE))</f>
        <v/>
      </c>
      <c r="Y78" s="446" t="str">
        <f>IF(VLOOKUP($A78,'Pre-Assessment Estimator'!$A$10:$Z$227,Y$2,FALSE)=0,"",VLOOKUP($A78,'Pre-Assessment Estimator'!$A$10:$Z$227,Y$2,FALSE))</f>
        <v/>
      </c>
      <c r="Z78" s="313" t="str">
        <f>IF(VLOOKUP($A78,'Pre-Assessment Estimator'!$A$10:$Z$227,Z$2,FALSE)=0,"",VLOOKUP($A78,'Pre-Assessment Estimator'!$A$10:$Z$227,Z$2,FALSE))</f>
        <v/>
      </c>
      <c r="AA78" s="544">
        <v>67</v>
      </c>
      <c r="AB78" s="446"/>
      <c r="AF78" s="13">
        <f t="shared" si="0"/>
        <v>1</v>
      </c>
    </row>
    <row r="79" spans="1:32">
      <c r="A79" s="652">
        <v>70</v>
      </c>
      <c r="B79" s="958" t="s">
        <v>332</v>
      </c>
      <c r="C79" s="958"/>
      <c r="D79" s="980" t="str">
        <f>VLOOKUP($A79,'Pre-Assessment Estimator'!$A$10:$Z$227,D$2,FALSE)</f>
        <v>Ene 03</v>
      </c>
      <c r="E79" s="981" t="str">
        <f>VLOOKUP($A79,'Pre-Assessment Estimator'!$A$10:$Z$227,E$2,FALSE)</f>
        <v>No external lighting within the construction zone</v>
      </c>
      <c r="F79" s="443">
        <f>VLOOKUP($A79,'Pre-Assessment Estimator'!$A$10:$Z$227,F$2,FALSE)</f>
        <v>1</v>
      </c>
      <c r="G79" s="449" t="str">
        <f>IF(VLOOKUP($A79,'Pre-Assessment Estimator'!$A$10:$Z$227,G$2,FALSE)=0,"",VLOOKUP($A79,'Pre-Assessment Estimator'!$A$10:$Z$227,G$2,FALSE))</f>
        <v/>
      </c>
      <c r="H79" s="948">
        <f>VLOOKUP($A79,'Pre-Assessment Estimator'!$A$10:$Z$227,H$2,FALSE)</f>
        <v>0</v>
      </c>
      <c r="I79" s="445" t="str">
        <f>VLOOKUP($A79,'Pre-Assessment Estimator'!$A$10:$Z$227,I$2,FALSE)</f>
        <v>N/A</v>
      </c>
      <c r="J79" s="446" t="str">
        <f>IF(VLOOKUP($A79,'Pre-Assessment Estimator'!$A$10:$Z$227,J$2,FALSE)=0,"",VLOOKUP($A79,'Pre-Assessment Estimator'!$A$10:$Z$227,J$2,FALSE))</f>
        <v/>
      </c>
      <c r="K79" s="446" t="str">
        <f>IF(VLOOKUP($A79,'Pre-Assessment Estimator'!$A$10:$Z$227,K$2,FALSE)=0,"",VLOOKUP($A79,'Pre-Assessment Estimator'!$A$10:$Z$227,K$2,FALSE))</f>
        <v/>
      </c>
      <c r="L79" s="447" t="str">
        <f>IF(VLOOKUP($A79,'Pre-Assessment Estimator'!$A$10:$Z$227,L$2,FALSE)=0,"",VLOOKUP($A79,'Pre-Assessment Estimator'!$A$10:$Z$227,L$2,FALSE))</f>
        <v/>
      </c>
      <c r="M79" s="448"/>
      <c r="N79" s="449" t="str">
        <f>IF(VLOOKUP($A79,'Pre-Assessment Estimator'!$A$10:$Z$227,N$2,FALSE)=0,"",VLOOKUP($A79,'Pre-Assessment Estimator'!$A$10:$Z$227,N$2,FALSE))</f>
        <v/>
      </c>
      <c r="O79" s="444">
        <f>VLOOKUP($A79,'Pre-Assessment Estimator'!$A$10:$Z$227,O$2,FALSE)</f>
        <v>0</v>
      </c>
      <c r="P79" s="443" t="str">
        <f>VLOOKUP($A79,'Pre-Assessment Estimator'!$A$10:$Z$227,P$2,FALSE)</f>
        <v>N/A</v>
      </c>
      <c r="Q79" s="446" t="str">
        <f>IF(VLOOKUP($A79,'Pre-Assessment Estimator'!$A$10:$Z$227,Q$2,FALSE)=0,"",VLOOKUP($A79,'Pre-Assessment Estimator'!$A$10:$Z$227,Q$2,FALSE))</f>
        <v/>
      </c>
      <c r="R79" s="446" t="str">
        <f>IF(VLOOKUP($A79,'Pre-Assessment Estimator'!$A$10:$Z$227,R$2,FALSE)=0,"",VLOOKUP($A79,'Pre-Assessment Estimator'!$A$10:$Z$227,R$2,FALSE))</f>
        <v/>
      </c>
      <c r="S79" s="447" t="str">
        <f>IF(VLOOKUP($A79,'Pre-Assessment Estimator'!$A$10:$Z$227,S$2,FALSE)=0,"",VLOOKUP($A79,'Pre-Assessment Estimator'!$A$10:$Z$227,S$2,FALSE))</f>
        <v/>
      </c>
      <c r="T79" s="450"/>
      <c r="U79" s="449" t="str">
        <f>IF(VLOOKUP($A79,'Pre-Assessment Estimator'!$A$10:$Z$227,U$2,FALSE)=0,"",VLOOKUP($A79,'Pre-Assessment Estimator'!$A$10:$Z$227,U$2,FALSE))</f>
        <v/>
      </c>
      <c r="V79" s="444">
        <f>VLOOKUP($A79,'Pre-Assessment Estimator'!$A$10:$Z$227,V$2,FALSE)</f>
        <v>0</v>
      </c>
      <c r="W79" s="443" t="str">
        <f>VLOOKUP($A79,'Pre-Assessment Estimator'!$A$10:$Z$227,W$2,FALSE)</f>
        <v>N/A</v>
      </c>
      <c r="X79" s="446" t="str">
        <f>IF(VLOOKUP($A79,'Pre-Assessment Estimator'!$A$10:$Z$227,X$2,FALSE)=0,"",VLOOKUP($A79,'Pre-Assessment Estimator'!$A$10:$Z$227,X$2,FALSE))</f>
        <v/>
      </c>
      <c r="Y79" s="446" t="str">
        <f>IF(VLOOKUP($A79,'Pre-Assessment Estimator'!$A$10:$Z$227,Y$2,FALSE)=0,"",VLOOKUP($A79,'Pre-Assessment Estimator'!$A$10:$Z$227,Y$2,FALSE))</f>
        <v/>
      </c>
      <c r="Z79" s="313" t="str">
        <f>IF(VLOOKUP($A79,'Pre-Assessment Estimator'!$A$10:$Z$227,Z$2,FALSE)=0,"",VLOOKUP($A79,'Pre-Assessment Estimator'!$A$10:$Z$227,Z$2,FALSE))</f>
        <v/>
      </c>
      <c r="AA79" s="544">
        <v>68</v>
      </c>
      <c r="AB79" s="446"/>
      <c r="AF79" s="13">
        <f t="shared" si="0"/>
        <v>1</v>
      </c>
    </row>
    <row r="80" spans="1:32">
      <c r="A80" s="652">
        <v>71</v>
      </c>
      <c r="B80" s="958" t="s">
        <v>332</v>
      </c>
      <c r="C80" s="958"/>
      <c r="D80" s="980" t="str">
        <f>VLOOKUP($A80,'Pre-Assessment Estimator'!$A$10:$Z$227,D$2,FALSE)</f>
        <v>Ene 03</v>
      </c>
      <c r="E80" s="981" t="str">
        <f>VLOOKUP($A80,'Pre-Assessment Estimator'!$A$10:$Z$227,E$2,FALSE)</f>
        <v>External lighting within the construction zone</v>
      </c>
      <c r="F80" s="443">
        <f>VLOOKUP($A80,'Pre-Assessment Estimator'!$A$10:$Z$227,F$2,FALSE)</f>
        <v>0</v>
      </c>
      <c r="G80" s="449" t="str">
        <f>IF(VLOOKUP($A80,'Pre-Assessment Estimator'!$A$10:$Z$227,G$2,FALSE)=0,"",VLOOKUP($A80,'Pre-Assessment Estimator'!$A$10:$Z$227,G$2,FALSE))</f>
        <v/>
      </c>
      <c r="H80" s="948">
        <f>VLOOKUP($A80,'Pre-Assessment Estimator'!$A$10:$Z$227,H$2,FALSE)</f>
        <v>0</v>
      </c>
      <c r="I80" s="445" t="str">
        <f>VLOOKUP($A80,'Pre-Assessment Estimator'!$A$10:$Z$227,I$2,FALSE)</f>
        <v>N/A</v>
      </c>
      <c r="J80" s="446" t="str">
        <f>IF(VLOOKUP($A80,'Pre-Assessment Estimator'!$A$10:$Z$227,J$2,FALSE)=0,"",VLOOKUP($A80,'Pre-Assessment Estimator'!$A$10:$Z$227,J$2,FALSE))</f>
        <v/>
      </c>
      <c r="K80" s="446" t="str">
        <f>IF(VLOOKUP($A80,'Pre-Assessment Estimator'!$A$10:$Z$227,K$2,FALSE)=0,"",VLOOKUP($A80,'Pre-Assessment Estimator'!$A$10:$Z$227,K$2,FALSE))</f>
        <v/>
      </c>
      <c r="L80" s="447" t="str">
        <f>IF(VLOOKUP($A80,'Pre-Assessment Estimator'!$A$10:$Z$227,L$2,FALSE)=0,"",VLOOKUP($A80,'Pre-Assessment Estimator'!$A$10:$Z$227,L$2,FALSE))</f>
        <v/>
      </c>
      <c r="M80" s="448"/>
      <c r="N80" s="449" t="str">
        <f>IF(VLOOKUP($A80,'Pre-Assessment Estimator'!$A$10:$Z$227,N$2,FALSE)=0,"",VLOOKUP($A80,'Pre-Assessment Estimator'!$A$10:$Z$227,N$2,FALSE))</f>
        <v/>
      </c>
      <c r="O80" s="444">
        <f>VLOOKUP($A80,'Pre-Assessment Estimator'!$A$10:$Z$227,O$2,FALSE)</f>
        <v>0</v>
      </c>
      <c r="P80" s="443" t="str">
        <f>VLOOKUP($A80,'Pre-Assessment Estimator'!$A$10:$Z$227,P$2,FALSE)</f>
        <v>N/A</v>
      </c>
      <c r="Q80" s="446" t="str">
        <f>IF(VLOOKUP($A80,'Pre-Assessment Estimator'!$A$10:$Z$227,Q$2,FALSE)=0,"",VLOOKUP($A80,'Pre-Assessment Estimator'!$A$10:$Z$227,Q$2,FALSE))</f>
        <v/>
      </c>
      <c r="R80" s="446" t="str">
        <f>IF(VLOOKUP($A80,'Pre-Assessment Estimator'!$A$10:$Z$227,R$2,FALSE)=0,"",VLOOKUP($A80,'Pre-Assessment Estimator'!$A$10:$Z$227,R$2,FALSE))</f>
        <v/>
      </c>
      <c r="S80" s="447" t="str">
        <f>IF(VLOOKUP($A80,'Pre-Assessment Estimator'!$A$10:$Z$227,S$2,FALSE)=0,"",VLOOKUP($A80,'Pre-Assessment Estimator'!$A$10:$Z$227,S$2,FALSE))</f>
        <v/>
      </c>
      <c r="T80" s="450"/>
      <c r="U80" s="449" t="str">
        <f>IF(VLOOKUP($A80,'Pre-Assessment Estimator'!$A$10:$Z$227,U$2,FALSE)=0,"",VLOOKUP($A80,'Pre-Assessment Estimator'!$A$10:$Z$227,U$2,FALSE))</f>
        <v/>
      </c>
      <c r="V80" s="444">
        <f>VLOOKUP($A80,'Pre-Assessment Estimator'!$A$10:$Z$227,V$2,FALSE)</f>
        <v>0</v>
      </c>
      <c r="W80" s="443" t="str">
        <f>VLOOKUP($A80,'Pre-Assessment Estimator'!$A$10:$Z$227,W$2,FALSE)</f>
        <v>N/A</v>
      </c>
      <c r="X80" s="446" t="str">
        <f>IF(VLOOKUP($A80,'Pre-Assessment Estimator'!$A$10:$Z$227,X$2,FALSE)=0,"",VLOOKUP($A80,'Pre-Assessment Estimator'!$A$10:$Z$227,X$2,FALSE))</f>
        <v/>
      </c>
      <c r="Y80" s="446" t="str">
        <f>IF(VLOOKUP($A80,'Pre-Assessment Estimator'!$A$10:$Z$227,Y$2,FALSE)=0,"",VLOOKUP($A80,'Pre-Assessment Estimator'!$A$10:$Z$227,Y$2,FALSE))</f>
        <v/>
      </c>
      <c r="Z80" s="313" t="str">
        <f>IF(VLOOKUP($A80,'Pre-Assessment Estimator'!$A$10:$Z$227,Z$2,FALSE)=0,"",VLOOKUP($A80,'Pre-Assessment Estimator'!$A$10:$Z$227,Z$2,FALSE))</f>
        <v/>
      </c>
      <c r="AA80" s="544">
        <v>69</v>
      </c>
      <c r="AB80" s="446"/>
      <c r="AF80" s="13">
        <f t="shared" si="0"/>
        <v>2</v>
      </c>
    </row>
    <row r="81" spans="1:32">
      <c r="A81" s="652">
        <v>72</v>
      </c>
      <c r="B81" s="958" t="s">
        <v>332</v>
      </c>
      <c r="C81" s="958"/>
      <c r="D81" s="979" t="str">
        <f>VLOOKUP($A81,'Pre-Assessment Estimator'!$A$10:$Z$227,D$2,FALSE)</f>
        <v>Ene 05</v>
      </c>
      <c r="E81" s="979" t="str">
        <f>VLOOKUP($A81,'Pre-Assessment Estimator'!$A$10:$Z$227,E$2,FALSE)</f>
        <v>Ene 05 Energy efficient cold storage</v>
      </c>
      <c r="F81" s="443">
        <f>VLOOKUP($A81,'Pre-Assessment Estimator'!$A$10:$Z$227,F$2,FALSE)</f>
        <v>2</v>
      </c>
      <c r="G81" s="449" t="str">
        <f>IF(VLOOKUP($A81,'Pre-Assessment Estimator'!$A$10:$Z$227,G$2,FALSE)=0,"",VLOOKUP($A81,'Pre-Assessment Estimator'!$A$10:$Z$227,G$2,FALSE))</f>
        <v/>
      </c>
      <c r="H81" s="948" t="str">
        <f>VLOOKUP($A81,'Pre-Assessment Estimator'!$A$10:$Z$227,H$2,FALSE)</f>
        <v>0 c. 0 %</v>
      </c>
      <c r="I81" s="445" t="str">
        <f>VLOOKUP($A81,'Pre-Assessment Estimator'!$A$10:$Z$227,I$2,FALSE)</f>
        <v>N/A</v>
      </c>
      <c r="J81" s="446" t="str">
        <f>IF(VLOOKUP($A81,'Pre-Assessment Estimator'!$A$10:$Z$227,J$2,FALSE)=0,"",VLOOKUP($A81,'Pre-Assessment Estimator'!$A$10:$Z$227,J$2,FALSE))</f>
        <v/>
      </c>
      <c r="K81" s="446" t="str">
        <f>IF(VLOOKUP($A81,'Pre-Assessment Estimator'!$A$10:$Z$227,K$2,FALSE)=0,"",VLOOKUP($A81,'Pre-Assessment Estimator'!$A$10:$Z$227,K$2,FALSE))</f>
        <v/>
      </c>
      <c r="L81" s="447" t="str">
        <f>IF(VLOOKUP($A81,'Pre-Assessment Estimator'!$A$10:$Z$227,L$2,FALSE)=0,"",VLOOKUP($A81,'Pre-Assessment Estimator'!$A$10:$Z$227,L$2,FALSE))</f>
        <v/>
      </c>
      <c r="M81" s="448"/>
      <c r="N81" s="449" t="str">
        <f>IF(VLOOKUP($A81,'Pre-Assessment Estimator'!$A$10:$Z$227,N$2,FALSE)=0,"",VLOOKUP($A81,'Pre-Assessment Estimator'!$A$10:$Z$227,N$2,FALSE))</f>
        <v/>
      </c>
      <c r="O81" s="444" t="str">
        <f>VLOOKUP($A81,'Pre-Assessment Estimator'!$A$10:$Z$227,O$2,FALSE)</f>
        <v>0 c. 0 %</v>
      </c>
      <c r="P81" s="443" t="str">
        <f>VLOOKUP($A81,'Pre-Assessment Estimator'!$A$10:$Z$227,P$2,FALSE)</f>
        <v>N/A</v>
      </c>
      <c r="Q81" s="446" t="str">
        <f>IF(VLOOKUP($A81,'Pre-Assessment Estimator'!$A$10:$Z$227,Q$2,FALSE)=0,"",VLOOKUP($A81,'Pre-Assessment Estimator'!$A$10:$Z$227,Q$2,FALSE))</f>
        <v/>
      </c>
      <c r="R81" s="446" t="str">
        <f>IF(VLOOKUP($A81,'Pre-Assessment Estimator'!$A$10:$Z$227,R$2,FALSE)=0,"",VLOOKUP($A81,'Pre-Assessment Estimator'!$A$10:$Z$227,R$2,FALSE))</f>
        <v/>
      </c>
      <c r="S81" s="447" t="str">
        <f>IF(VLOOKUP($A81,'Pre-Assessment Estimator'!$A$10:$Z$227,S$2,FALSE)=0,"",VLOOKUP($A81,'Pre-Assessment Estimator'!$A$10:$Z$227,S$2,FALSE))</f>
        <v/>
      </c>
      <c r="T81" s="450"/>
      <c r="U81" s="449" t="str">
        <f>IF(VLOOKUP($A81,'Pre-Assessment Estimator'!$A$10:$Z$227,U$2,FALSE)=0,"",VLOOKUP($A81,'Pre-Assessment Estimator'!$A$10:$Z$227,U$2,FALSE))</f>
        <v/>
      </c>
      <c r="V81" s="444" t="str">
        <f>VLOOKUP($A81,'Pre-Assessment Estimator'!$A$10:$Z$227,V$2,FALSE)</f>
        <v>0 c. 0 %</v>
      </c>
      <c r="W81" s="443" t="str">
        <f>VLOOKUP($A81,'Pre-Assessment Estimator'!$A$10:$Z$227,W$2,FALSE)</f>
        <v>N/A</v>
      </c>
      <c r="X81" s="446" t="str">
        <f>IF(VLOOKUP($A81,'Pre-Assessment Estimator'!$A$10:$Z$227,X$2,FALSE)=0,"",VLOOKUP($A81,'Pre-Assessment Estimator'!$A$10:$Z$227,X$2,FALSE))</f>
        <v/>
      </c>
      <c r="Y81" s="446" t="str">
        <f>IF(VLOOKUP($A81,'Pre-Assessment Estimator'!$A$10:$Z$227,Y$2,FALSE)=0,"",VLOOKUP($A81,'Pre-Assessment Estimator'!$A$10:$Z$227,Y$2,FALSE))</f>
        <v/>
      </c>
      <c r="Z81" s="313" t="str">
        <f>IF(VLOOKUP($A81,'Pre-Assessment Estimator'!$A$10:$Z$227,Z$2,FALSE)=0,"",VLOOKUP($A81,'Pre-Assessment Estimator'!$A$10:$Z$227,Z$2,FALSE))</f>
        <v/>
      </c>
      <c r="AA81" s="544">
        <v>70</v>
      </c>
      <c r="AB81" s="446"/>
      <c r="AF81" s="13">
        <f t="shared" si="0"/>
        <v>1</v>
      </c>
    </row>
    <row r="82" spans="1:32">
      <c r="A82" s="652">
        <v>73</v>
      </c>
      <c r="B82" s="958" t="s">
        <v>332</v>
      </c>
      <c r="C82" s="958"/>
      <c r="D82" s="980" t="str">
        <f>VLOOKUP($A82,'Pre-Assessment Estimator'!$A$10:$Z$227,D$2,FALSE)</f>
        <v>Ene 05</v>
      </c>
      <c r="E82" s="981" t="str">
        <f>VLOOKUP($A82,'Pre-Assessment Estimator'!$A$10:$Z$227,E$2,FALSE)</f>
        <v xml:space="preserve">Design of energy efficient refrigeration- and freezing room </v>
      </c>
      <c r="F82" s="443">
        <f>VLOOKUP($A82,'Pre-Assessment Estimator'!$A$10:$Z$227,F$2,FALSE)</f>
        <v>1</v>
      </c>
      <c r="G82" s="449" t="str">
        <f>IF(VLOOKUP($A82,'Pre-Assessment Estimator'!$A$10:$Z$227,G$2,FALSE)=0,"",VLOOKUP($A82,'Pre-Assessment Estimator'!$A$10:$Z$227,G$2,FALSE))</f>
        <v/>
      </c>
      <c r="H82" s="948">
        <f>VLOOKUP($A82,'Pre-Assessment Estimator'!$A$10:$Z$227,H$2,FALSE)</f>
        <v>0</v>
      </c>
      <c r="I82" s="445" t="str">
        <f>VLOOKUP($A82,'Pre-Assessment Estimator'!$A$10:$Z$227,I$2,FALSE)</f>
        <v>N/A</v>
      </c>
      <c r="J82" s="446" t="str">
        <f>IF(VLOOKUP($A82,'Pre-Assessment Estimator'!$A$10:$Z$227,J$2,FALSE)=0,"",VLOOKUP($A82,'Pre-Assessment Estimator'!$A$10:$Z$227,J$2,FALSE))</f>
        <v/>
      </c>
      <c r="K82" s="446" t="str">
        <f>IF(VLOOKUP($A82,'Pre-Assessment Estimator'!$A$10:$Z$227,K$2,FALSE)=0,"",VLOOKUP($A82,'Pre-Assessment Estimator'!$A$10:$Z$227,K$2,FALSE))</f>
        <v/>
      </c>
      <c r="L82" s="447" t="str">
        <f>IF(VLOOKUP($A82,'Pre-Assessment Estimator'!$A$10:$Z$227,L$2,FALSE)=0,"",VLOOKUP($A82,'Pre-Assessment Estimator'!$A$10:$Z$227,L$2,FALSE))</f>
        <v/>
      </c>
      <c r="M82" s="448"/>
      <c r="N82" s="449" t="str">
        <f>IF(VLOOKUP($A82,'Pre-Assessment Estimator'!$A$10:$Z$227,N$2,FALSE)=0,"",VLOOKUP($A82,'Pre-Assessment Estimator'!$A$10:$Z$227,N$2,FALSE))</f>
        <v/>
      </c>
      <c r="O82" s="444">
        <f>VLOOKUP($A82,'Pre-Assessment Estimator'!$A$10:$Z$227,O$2,FALSE)</f>
        <v>0</v>
      </c>
      <c r="P82" s="443" t="str">
        <f>VLOOKUP($A82,'Pre-Assessment Estimator'!$A$10:$Z$227,P$2,FALSE)</f>
        <v>N/A</v>
      </c>
      <c r="Q82" s="446" t="str">
        <f>IF(VLOOKUP($A82,'Pre-Assessment Estimator'!$A$10:$Z$227,Q$2,FALSE)=0,"",VLOOKUP($A82,'Pre-Assessment Estimator'!$A$10:$Z$227,Q$2,FALSE))</f>
        <v/>
      </c>
      <c r="R82" s="446" t="str">
        <f>IF(VLOOKUP($A82,'Pre-Assessment Estimator'!$A$10:$Z$227,R$2,FALSE)=0,"",VLOOKUP($A82,'Pre-Assessment Estimator'!$A$10:$Z$227,R$2,FALSE))</f>
        <v/>
      </c>
      <c r="S82" s="447" t="str">
        <f>IF(VLOOKUP($A82,'Pre-Assessment Estimator'!$A$10:$Z$227,S$2,FALSE)=0,"",VLOOKUP($A82,'Pre-Assessment Estimator'!$A$10:$Z$227,S$2,FALSE))</f>
        <v/>
      </c>
      <c r="T82" s="450"/>
      <c r="U82" s="449" t="str">
        <f>IF(VLOOKUP($A82,'Pre-Assessment Estimator'!$A$10:$Z$227,U$2,FALSE)=0,"",VLOOKUP($A82,'Pre-Assessment Estimator'!$A$10:$Z$227,U$2,FALSE))</f>
        <v/>
      </c>
      <c r="V82" s="444">
        <f>VLOOKUP($A82,'Pre-Assessment Estimator'!$A$10:$Z$227,V$2,FALSE)</f>
        <v>0</v>
      </c>
      <c r="W82" s="443" t="str">
        <f>VLOOKUP($A82,'Pre-Assessment Estimator'!$A$10:$Z$227,W$2,FALSE)</f>
        <v>N/A</v>
      </c>
      <c r="X82" s="446" t="str">
        <f>IF(VLOOKUP($A82,'Pre-Assessment Estimator'!$A$10:$Z$227,X$2,FALSE)=0,"",VLOOKUP($A82,'Pre-Assessment Estimator'!$A$10:$Z$227,X$2,FALSE))</f>
        <v/>
      </c>
      <c r="Y82" s="446" t="str">
        <f>IF(VLOOKUP($A82,'Pre-Assessment Estimator'!$A$10:$Z$227,Y$2,FALSE)=0,"",VLOOKUP($A82,'Pre-Assessment Estimator'!$A$10:$Z$227,Y$2,FALSE))</f>
        <v/>
      </c>
      <c r="Z82" s="313" t="str">
        <f>IF(VLOOKUP($A82,'Pre-Assessment Estimator'!$A$10:$Z$227,Z$2,FALSE)=0,"",VLOOKUP($A82,'Pre-Assessment Estimator'!$A$10:$Z$227,Z$2,FALSE))</f>
        <v/>
      </c>
      <c r="AA82" s="544">
        <v>71</v>
      </c>
      <c r="AB82" s="446"/>
      <c r="AF82" s="13">
        <f t="shared" si="0"/>
        <v>1</v>
      </c>
    </row>
    <row r="83" spans="1:32">
      <c r="A83" s="652">
        <v>74</v>
      </c>
      <c r="B83" s="958" t="s">
        <v>332</v>
      </c>
      <c r="C83" s="958"/>
      <c r="D83" s="980" t="str">
        <f>VLOOKUP($A83,'Pre-Assessment Estimator'!$A$10:$Z$227,D$2,FALSE)</f>
        <v>Ene 05</v>
      </c>
      <c r="E83" s="981" t="str">
        <f>VLOOKUP($A83,'Pre-Assessment Estimator'!$A$10:$Z$227,E$2,FALSE)</f>
        <v xml:space="preserve">Indirect greenhouse gas emissions </v>
      </c>
      <c r="F83" s="443">
        <f>VLOOKUP($A83,'Pre-Assessment Estimator'!$A$10:$Z$227,F$2,FALSE)</f>
        <v>1</v>
      </c>
      <c r="G83" s="449" t="str">
        <f>IF(VLOOKUP($A83,'Pre-Assessment Estimator'!$A$10:$Z$227,G$2,FALSE)=0,"",VLOOKUP($A83,'Pre-Assessment Estimator'!$A$10:$Z$227,G$2,FALSE))</f>
        <v/>
      </c>
      <c r="H83" s="948">
        <f>VLOOKUP($A83,'Pre-Assessment Estimator'!$A$10:$Z$227,H$2,FALSE)</f>
        <v>0</v>
      </c>
      <c r="I83" s="445" t="str">
        <f>VLOOKUP($A83,'Pre-Assessment Estimator'!$A$10:$Z$227,I$2,FALSE)</f>
        <v>N/A</v>
      </c>
      <c r="J83" s="446" t="str">
        <f>IF(VLOOKUP($A83,'Pre-Assessment Estimator'!$A$10:$Z$227,J$2,FALSE)=0,"",VLOOKUP($A83,'Pre-Assessment Estimator'!$A$10:$Z$227,J$2,FALSE))</f>
        <v/>
      </c>
      <c r="K83" s="446" t="str">
        <f>IF(VLOOKUP($A83,'Pre-Assessment Estimator'!$A$10:$Z$227,K$2,FALSE)=0,"",VLOOKUP($A83,'Pre-Assessment Estimator'!$A$10:$Z$227,K$2,FALSE))</f>
        <v/>
      </c>
      <c r="L83" s="447" t="str">
        <f>IF(VLOOKUP($A83,'Pre-Assessment Estimator'!$A$10:$Z$227,L$2,FALSE)=0,"",VLOOKUP($A83,'Pre-Assessment Estimator'!$A$10:$Z$227,L$2,FALSE))</f>
        <v/>
      </c>
      <c r="M83" s="448"/>
      <c r="N83" s="449" t="str">
        <f>IF(VLOOKUP($A83,'Pre-Assessment Estimator'!$A$10:$Z$227,N$2,FALSE)=0,"",VLOOKUP($A83,'Pre-Assessment Estimator'!$A$10:$Z$227,N$2,FALSE))</f>
        <v/>
      </c>
      <c r="O83" s="444">
        <f>VLOOKUP($A83,'Pre-Assessment Estimator'!$A$10:$Z$227,O$2,FALSE)</f>
        <v>0</v>
      </c>
      <c r="P83" s="443" t="str">
        <f>VLOOKUP($A83,'Pre-Assessment Estimator'!$A$10:$Z$227,P$2,FALSE)</f>
        <v>N/A</v>
      </c>
      <c r="Q83" s="446" t="str">
        <f>IF(VLOOKUP($A83,'Pre-Assessment Estimator'!$A$10:$Z$227,Q$2,FALSE)=0,"",VLOOKUP($A83,'Pre-Assessment Estimator'!$A$10:$Z$227,Q$2,FALSE))</f>
        <v/>
      </c>
      <c r="R83" s="446" t="str">
        <f>IF(VLOOKUP($A83,'Pre-Assessment Estimator'!$A$10:$Z$227,R$2,FALSE)=0,"",VLOOKUP($A83,'Pre-Assessment Estimator'!$A$10:$Z$227,R$2,FALSE))</f>
        <v/>
      </c>
      <c r="S83" s="447" t="str">
        <f>IF(VLOOKUP($A83,'Pre-Assessment Estimator'!$A$10:$Z$227,S$2,FALSE)=0,"",VLOOKUP($A83,'Pre-Assessment Estimator'!$A$10:$Z$227,S$2,FALSE))</f>
        <v/>
      </c>
      <c r="T83" s="450"/>
      <c r="U83" s="449" t="str">
        <f>IF(VLOOKUP($A83,'Pre-Assessment Estimator'!$A$10:$Z$227,U$2,FALSE)=0,"",VLOOKUP($A83,'Pre-Assessment Estimator'!$A$10:$Z$227,U$2,FALSE))</f>
        <v/>
      </c>
      <c r="V83" s="444">
        <f>VLOOKUP($A83,'Pre-Assessment Estimator'!$A$10:$Z$227,V$2,FALSE)</f>
        <v>0</v>
      </c>
      <c r="W83" s="443" t="str">
        <f>VLOOKUP($A83,'Pre-Assessment Estimator'!$A$10:$Z$227,W$2,FALSE)</f>
        <v>N/A</v>
      </c>
      <c r="X83" s="446" t="str">
        <f>IF(VLOOKUP($A83,'Pre-Assessment Estimator'!$A$10:$Z$227,X$2,FALSE)=0,"",VLOOKUP($A83,'Pre-Assessment Estimator'!$A$10:$Z$227,X$2,FALSE))</f>
        <v/>
      </c>
      <c r="Y83" s="446" t="str">
        <f>IF(VLOOKUP($A83,'Pre-Assessment Estimator'!$A$10:$Z$227,Y$2,FALSE)=0,"",VLOOKUP($A83,'Pre-Assessment Estimator'!$A$10:$Z$227,Y$2,FALSE))</f>
        <v/>
      </c>
      <c r="Z83" s="313" t="str">
        <f>IF(VLOOKUP($A83,'Pre-Assessment Estimator'!$A$10:$Z$227,Z$2,FALSE)=0,"",VLOOKUP($A83,'Pre-Assessment Estimator'!$A$10:$Z$227,Z$2,FALSE))</f>
        <v/>
      </c>
      <c r="AA83" s="544">
        <v>72</v>
      </c>
      <c r="AB83" s="446"/>
      <c r="AF83" s="13">
        <f t="shared" ref="AF83:AF146" si="2">IF(F83="",1,IF(F83=0,2,1))</f>
        <v>1</v>
      </c>
    </row>
    <row r="84" spans="1:32">
      <c r="A84" s="652">
        <v>75</v>
      </c>
      <c r="B84" s="958" t="s">
        <v>332</v>
      </c>
      <c r="C84" s="958"/>
      <c r="D84" s="979" t="str">
        <f>VLOOKUP($A84,'Pre-Assessment Estimator'!$A$10:$Z$227,D$2,FALSE)</f>
        <v>Ene 06</v>
      </c>
      <c r="E84" s="979" t="str">
        <f>VLOOKUP($A84,'Pre-Assessment Estimator'!$A$10:$Z$227,E$2,FALSE)</f>
        <v>Ene 06 Energy efficient transportation systems</v>
      </c>
      <c r="F84" s="443">
        <f>VLOOKUP($A84,'Pre-Assessment Estimator'!$A$10:$Z$227,F$2,FALSE)</f>
        <v>3</v>
      </c>
      <c r="G84" s="449" t="str">
        <f>IF(VLOOKUP($A84,'Pre-Assessment Estimator'!$A$10:$Z$227,G$2,FALSE)=0,"",VLOOKUP($A84,'Pre-Assessment Estimator'!$A$10:$Z$227,G$2,FALSE))</f>
        <v/>
      </c>
      <c r="H84" s="948" t="str">
        <f>VLOOKUP($A84,'Pre-Assessment Estimator'!$A$10:$Z$227,H$2,FALSE)</f>
        <v>0 c. 0 %</v>
      </c>
      <c r="I84" s="445" t="str">
        <f>VLOOKUP($A84,'Pre-Assessment Estimator'!$A$10:$Z$227,I$2,FALSE)</f>
        <v>N/A</v>
      </c>
      <c r="J84" s="446" t="str">
        <f>IF(VLOOKUP($A84,'Pre-Assessment Estimator'!$A$10:$Z$227,J$2,FALSE)=0,"",VLOOKUP($A84,'Pre-Assessment Estimator'!$A$10:$Z$227,J$2,FALSE))</f>
        <v/>
      </c>
      <c r="K84" s="446" t="str">
        <f>IF(VLOOKUP($A84,'Pre-Assessment Estimator'!$A$10:$Z$227,K$2,FALSE)=0,"",VLOOKUP($A84,'Pre-Assessment Estimator'!$A$10:$Z$227,K$2,FALSE))</f>
        <v/>
      </c>
      <c r="L84" s="447" t="str">
        <f>IF(VLOOKUP($A84,'Pre-Assessment Estimator'!$A$10:$Z$227,L$2,FALSE)=0,"",VLOOKUP($A84,'Pre-Assessment Estimator'!$A$10:$Z$227,L$2,FALSE))</f>
        <v/>
      </c>
      <c r="M84" s="448"/>
      <c r="N84" s="449" t="str">
        <f>IF(VLOOKUP($A84,'Pre-Assessment Estimator'!$A$10:$Z$227,N$2,FALSE)=0,"",VLOOKUP($A84,'Pre-Assessment Estimator'!$A$10:$Z$227,N$2,FALSE))</f>
        <v/>
      </c>
      <c r="O84" s="444" t="str">
        <f>VLOOKUP($A84,'Pre-Assessment Estimator'!$A$10:$Z$227,O$2,FALSE)</f>
        <v>0 c. 0 %</v>
      </c>
      <c r="P84" s="443" t="str">
        <f>VLOOKUP($A84,'Pre-Assessment Estimator'!$A$10:$Z$227,P$2,FALSE)</f>
        <v>N/A</v>
      </c>
      <c r="Q84" s="446" t="str">
        <f>IF(VLOOKUP($A84,'Pre-Assessment Estimator'!$A$10:$Z$227,Q$2,FALSE)=0,"",VLOOKUP($A84,'Pre-Assessment Estimator'!$A$10:$Z$227,Q$2,FALSE))</f>
        <v/>
      </c>
      <c r="R84" s="446" t="str">
        <f>IF(VLOOKUP($A84,'Pre-Assessment Estimator'!$A$10:$Z$227,R$2,FALSE)=0,"",VLOOKUP($A84,'Pre-Assessment Estimator'!$A$10:$Z$227,R$2,FALSE))</f>
        <v/>
      </c>
      <c r="S84" s="447" t="str">
        <f>IF(VLOOKUP($A84,'Pre-Assessment Estimator'!$A$10:$Z$227,S$2,FALSE)=0,"",VLOOKUP($A84,'Pre-Assessment Estimator'!$A$10:$Z$227,S$2,FALSE))</f>
        <v/>
      </c>
      <c r="T84" s="450"/>
      <c r="U84" s="449" t="str">
        <f>IF(VLOOKUP($A84,'Pre-Assessment Estimator'!$A$10:$Z$227,U$2,FALSE)=0,"",VLOOKUP($A84,'Pre-Assessment Estimator'!$A$10:$Z$227,U$2,FALSE))</f>
        <v/>
      </c>
      <c r="V84" s="444" t="str">
        <f>VLOOKUP($A84,'Pre-Assessment Estimator'!$A$10:$Z$227,V$2,FALSE)</f>
        <v>0 c. 0 %</v>
      </c>
      <c r="W84" s="443" t="str">
        <f>VLOOKUP($A84,'Pre-Assessment Estimator'!$A$10:$Z$227,W$2,FALSE)</f>
        <v>N/A</v>
      </c>
      <c r="X84" s="446" t="str">
        <f>IF(VLOOKUP($A84,'Pre-Assessment Estimator'!$A$10:$Z$227,X$2,FALSE)=0,"",VLOOKUP($A84,'Pre-Assessment Estimator'!$A$10:$Z$227,X$2,FALSE))</f>
        <v/>
      </c>
      <c r="Y84" s="446" t="str">
        <f>IF(VLOOKUP($A84,'Pre-Assessment Estimator'!$A$10:$Z$227,Y$2,FALSE)=0,"",VLOOKUP($A84,'Pre-Assessment Estimator'!$A$10:$Z$227,Y$2,FALSE))</f>
        <v/>
      </c>
      <c r="Z84" s="313" t="str">
        <f>IF(VLOOKUP($A84,'Pre-Assessment Estimator'!$A$10:$Z$227,Z$2,FALSE)=0,"",VLOOKUP($A84,'Pre-Assessment Estimator'!$A$10:$Z$227,Z$2,FALSE))</f>
        <v/>
      </c>
      <c r="AA84" s="544">
        <v>73</v>
      </c>
      <c r="AB84" s="446"/>
      <c r="AF84" s="13">
        <f t="shared" si="2"/>
        <v>1</v>
      </c>
    </row>
    <row r="85" spans="1:32">
      <c r="A85" s="652">
        <v>76</v>
      </c>
      <c r="B85" s="958" t="s">
        <v>332</v>
      </c>
      <c r="C85" s="958"/>
      <c r="D85" s="980" t="str">
        <f>VLOOKUP($A85,'Pre-Assessment Estimator'!$A$10:$Z$227,D$2,FALSE)</f>
        <v>Ene 06</v>
      </c>
      <c r="E85" s="981" t="str">
        <f>VLOOKUP($A85,'Pre-Assessment Estimator'!$A$10:$Z$227,E$2,FALSE)</f>
        <v>Transport needs and usage patterns</v>
      </c>
      <c r="F85" s="443">
        <f>VLOOKUP($A85,'Pre-Assessment Estimator'!$A$10:$Z$227,F$2,FALSE)</f>
        <v>1</v>
      </c>
      <c r="G85" s="449" t="str">
        <f>IF(VLOOKUP($A85,'Pre-Assessment Estimator'!$A$10:$Z$227,G$2,FALSE)=0,"",VLOOKUP($A85,'Pre-Assessment Estimator'!$A$10:$Z$227,G$2,FALSE))</f>
        <v/>
      </c>
      <c r="H85" s="948">
        <f>VLOOKUP($A85,'Pre-Assessment Estimator'!$A$10:$Z$227,H$2,FALSE)</f>
        <v>0</v>
      </c>
      <c r="I85" s="445" t="str">
        <f>VLOOKUP($A85,'Pre-Assessment Estimator'!$A$10:$Z$227,I$2,FALSE)</f>
        <v>N/A</v>
      </c>
      <c r="J85" s="446" t="str">
        <f>IF(VLOOKUP($A85,'Pre-Assessment Estimator'!$A$10:$Z$227,J$2,FALSE)=0,"",VLOOKUP($A85,'Pre-Assessment Estimator'!$A$10:$Z$227,J$2,FALSE))</f>
        <v/>
      </c>
      <c r="K85" s="446" t="str">
        <f>IF(VLOOKUP($A85,'Pre-Assessment Estimator'!$A$10:$Z$227,K$2,FALSE)=0,"",VLOOKUP($A85,'Pre-Assessment Estimator'!$A$10:$Z$227,K$2,FALSE))</f>
        <v/>
      </c>
      <c r="L85" s="447" t="str">
        <f>IF(VLOOKUP($A85,'Pre-Assessment Estimator'!$A$10:$Z$227,L$2,FALSE)=0,"",VLOOKUP($A85,'Pre-Assessment Estimator'!$A$10:$Z$227,L$2,FALSE))</f>
        <v/>
      </c>
      <c r="M85" s="448"/>
      <c r="N85" s="449" t="str">
        <f>IF(VLOOKUP($A85,'Pre-Assessment Estimator'!$A$10:$Z$227,N$2,FALSE)=0,"",VLOOKUP($A85,'Pre-Assessment Estimator'!$A$10:$Z$227,N$2,FALSE))</f>
        <v/>
      </c>
      <c r="O85" s="444">
        <f>VLOOKUP($A85,'Pre-Assessment Estimator'!$A$10:$Z$227,O$2,FALSE)</f>
        <v>0</v>
      </c>
      <c r="P85" s="443" t="str">
        <f>VLOOKUP($A85,'Pre-Assessment Estimator'!$A$10:$Z$227,P$2,FALSE)</f>
        <v>N/A</v>
      </c>
      <c r="Q85" s="446" t="str">
        <f>IF(VLOOKUP($A85,'Pre-Assessment Estimator'!$A$10:$Z$227,Q$2,FALSE)=0,"",VLOOKUP($A85,'Pre-Assessment Estimator'!$A$10:$Z$227,Q$2,FALSE))</f>
        <v/>
      </c>
      <c r="R85" s="446" t="str">
        <f>IF(VLOOKUP($A85,'Pre-Assessment Estimator'!$A$10:$Z$227,R$2,FALSE)=0,"",VLOOKUP($A85,'Pre-Assessment Estimator'!$A$10:$Z$227,R$2,FALSE))</f>
        <v/>
      </c>
      <c r="S85" s="447" t="str">
        <f>IF(VLOOKUP($A85,'Pre-Assessment Estimator'!$A$10:$Z$227,S$2,FALSE)=0,"",VLOOKUP($A85,'Pre-Assessment Estimator'!$A$10:$Z$227,S$2,FALSE))</f>
        <v/>
      </c>
      <c r="T85" s="450"/>
      <c r="U85" s="449" t="str">
        <f>IF(VLOOKUP($A85,'Pre-Assessment Estimator'!$A$10:$Z$227,U$2,FALSE)=0,"",VLOOKUP($A85,'Pre-Assessment Estimator'!$A$10:$Z$227,U$2,FALSE))</f>
        <v/>
      </c>
      <c r="V85" s="444">
        <f>VLOOKUP($A85,'Pre-Assessment Estimator'!$A$10:$Z$227,V$2,FALSE)</f>
        <v>0</v>
      </c>
      <c r="W85" s="443" t="str">
        <f>VLOOKUP($A85,'Pre-Assessment Estimator'!$A$10:$Z$227,W$2,FALSE)</f>
        <v>N/A</v>
      </c>
      <c r="X85" s="446" t="str">
        <f>IF(VLOOKUP($A85,'Pre-Assessment Estimator'!$A$10:$Z$227,X$2,FALSE)=0,"",VLOOKUP($A85,'Pre-Assessment Estimator'!$A$10:$Z$227,X$2,FALSE))</f>
        <v/>
      </c>
      <c r="Y85" s="446" t="str">
        <f>IF(VLOOKUP($A85,'Pre-Assessment Estimator'!$A$10:$Z$227,Y$2,FALSE)=0,"",VLOOKUP($A85,'Pre-Assessment Estimator'!$A$10:$Z$227,Y$2,FALSE))</f>
        <v/>
      </c>
      <c r="Z85" s="313" t="str">
        <f>IF(VLOOKUP($A85,'Pre-Assessment Estimator'!$A$10:$Z$227,Z$2,FALSE)=0,"",VLOOKUP($A85,'Pre-Assessment Estimator'!$A$10:$Z$227,Z$2,FALSE))</f>
        <v/>
      </c>
      <c r="AA85" s="544">
        <v>74</v>
      </c>
      <c r="AB85" s="446"/>
      <c r="AF85" s="13">
        <f t="shared" si="2"/>
        <v>1</v>
      </c>
    </row>
    <row r="86" spans="1:32">
      <c r="A86" s="652">
        <v>77</v>
      </c>
      <c r="B86" s="958" t="s">
        <v>332</v>
      </c>
      <c r="C86" s="958"/>
      <c r="D86" s="980" t="str">
        <f>VLOOKUP($A86,'Pre-Assessment Estimator'!$A$10:$Z$227,D$2,FALSE)</f>
        <v>Ene 06</v>
      </c>
      <c r="E86" s="981" t="str">
        <f>VLOOKUP($A86,'Pre-Assessment Estimator'!$A$10:$Z$227,E$2,FALSE)</f>
        <v>Energy efficient features: lifts</v>
      </c>
      <c r="F86" s="443">
        <f>VLOOKUP($A86,'Pre-Assessment Estimator'!$A$10:$Z$227,F$2,FALSE)</f>
        <v>1</v>
      </c>
      <c r="G86" s="449" t="str">
        <f>IF(VLOOKUP($A86,'Pre-Assessment Estimator'!$A$10:$Z$227,G$2,FALSE)=0,"",VLOOKUP($A86,'Pre-Assessment Estimator'!$A$10:$Z$227,G$2,FALSE))</f>
        <v/>
      </c>
      <c r="H86" s="948">
        <f>VLOOKUP($A86,'Pre-Assessment Estimator'!$A$10:$Z$227,H$2,FALSE)</f>
        <v>0</v>
      </c>
      <c r="I86" s="445" t="str">
        <f>VLOOKUP($A86,'Pre-Assessment Estimator'!$A$10:$Z$227,I$2,FALSE)</f>
        <v>N/A</v>
      </c>
      <c r="J86" s="446" t="str">
        <f>IF(VLOOKUP($A86,'Pre-Assessment Estimator'!$A$10:$Z$227,J$2,FALSE)=0,"",VLOOKUP($A86,'Pre-Assessment Estimator'!$A$10:$Z$227,J$2,FALSE))</f>
        <v/>
      </c>
      <c r="K86" s="446" t="str">
        <f>IF(VLOOKUP($A86,'Pre-Assessment Estimator'!$A$10:$Z$227,K$2,FALSE)=0,"",VLOOKUP($A86,'Pre-Assessment Estimator'!$A$10:$Z$227,K$2,FALSE))</f>
        <v/>
      </c>
      <c r="L86" s="447" t="str">
        <f>IF(VLOOKUP($A86,'Pre-Assessment Estimator'!$A$10:$Z$227,L$2,FALSE)=0,"",VLOOKUP($A86,'Pre-Assessment Estimator'!$A$10:$Z$227,L$2,FALSE))</f>
        <v/>
      </c>
      <c r="M86" s="448"/>
      <c r="N86" s="449" t="str">
        <f>IF(VLOOKUP($A86,'Pre-Assessment Estimator'!$A$10:$Z$227,N$2,FALSE)=0,"",VLOOKUP($A86,'Pre-Assessment Estimator'!$A$10:$Z$227,N$2,FALSE))</f>
        <v/>
      </c>
      <c r="O86" s="444">
        <f>VLOOKUP($A86,'Pre-Assessment Estimator'!$A$10:$Z$227,O$2,FALSE)</f>
        <v>0</v>
      </c>
      <c r="P86" s="443" t="str">
        <f>VLOOKUP($A86,'Pre-Assessment Estimator'!$A$10:$Z$227,P$2,FALSE)</f>
        <v>N/A</v>
      </c>
      <c r="Q86" s="446" t="str">
        <f>IF(VLOOKUP($A86,'Pre-Assessment Estimator'!$A$10:$Z$227,Q$2,FALSE)=0,"",VLOOKUP($A86,'Pre-Assessment Estimator'!$A$10:$Z$227,Q$2,FALSE))</f>
        <v/>
      </c>
      <c r="R86" s="446" t="str">
        <f>IF(VLOOKUP($A86,'Pre-Assessment Estimator'!$A$10:$Z$227,R$2,FALSE)=0,"",VLOOKUP($A86,'Pre-Assessment Estimator'!$A$10:$Z$227,R$2,FALSE))</f>
        <v/>
      </c>
      <c r="S86" s="447" t="str">
        <f>IF(VLOOKUP($A86,'Pre-Assessment Estimator'!$A$10:$Z$227,S$2,FALSE)=0,"",VLOOKUP($A86,'Pre-Assessment Estimator'!$A$10:$Z$227,S$2,FALSE))</f>
        <v/>
      </c>
      <c r="T86" s="450"/>
      <c r="U86" s="449" t="str">
        <f>IF(VLOOKUP($A86,'Pre-Assessment Estimator'!$A$10:$Z$227,U$2,FALSE)=0,"",VLOOKUP($A86,'Pre-Assessment Estimator'!$A$10:$Z$227,U$2,FALSE))</f>
        <v/>
      </c>
      <c r="V86" s="444">
        <f>VLOOKUP($A86,'Pre-Assessment Estimator'!$A$10:$Z$227,V$2,FALSE)</f>
        <v>0</v>
      </c>
      <c r="W86" s="443" t="str">
        <f>VLOOKUP($A86,'Pre-Assessment Estimator'!$A$10:$Z$227,W$2,FALSE)</f>
        <v>N/A</v>
      </c>
      <c r="X86" s="446" t="str">
        <f>IF(VLOOKUP($A86,'Pre-Assessment Estimator'!$A$10:$Z$227,X$2,FALSE)=0,"",VLOOKUP($A86,'Pre-Assessment Estimator'!$A$10:$Z$227,X$2,FALSE))</f>
        <v/>
      </c>
      <c r="Y86" s="446" t="str">
        <f>IF(VLOOKUP($A86,'Pre-Assessment Estimator'!$A$10:$Z$227,Y$2,FALSE)=0,"",VLOOKUP($A86,'Pre-Assessment Estimator'!$A$10:$Z$227,Y$2,FALSE))</f>
        <v/>
      </c>
      <c r="Z86" s="313" t="str">
        <f>IF(VLOOKUP($A86,'Pre-Assessment Estimator'!$A$10:$Z$227,Z$2,FALSE)=0,"",VLOOKUP($A86,'Pre-Assessment Estimator'!$A$10:$Z$227,Z$2,FALSE))</f>
        <v/>
      </c>
      <c r="AA86" s="544">
        <v>75</v>
      </c>
      <c r="AB86" s="446"/>
      <c r="AF86" s="13">
        <f t="shared" si="2"/>
        <v>1</v>
      </c>
    </row>
    <row r="87" spans="1:32">
      <c r="A87" s="652">
        <v>78</v>
      </c>
      <c r="B87" s="958" t="s">
        <v>332</v>
      </c>
      <c r="C87" s="958"/>
      <c r="D87" s="980" t="str">
        <f>VLOOKUP($A87,'Pre-Assessment Estimator'!$A$10:$Z$227,D$2,FALSE)</f>
        <v>Ene 06</v>
      </c>
      <c r="E87" s="981" t="str">
        <f>VLOOKUP($A87,'Pre-Assessment Estimator'!$A$10:$Z$227,E$2,FALSE)</f>
        <v>Energy efficient features: escalators or moving walks</v>
      </c>
      <c r="F87" s="443">
        <f>VLOOKUP($A87,'Pre-Assessment Estimator'!$A$10:$Z$227,F$2,FALSE)</f>
        <v>1</v>
      </c>
      <c r="G87" s="449" t="str">
        <f>IF(VLOOKUP($A87,'Pre-Assessment Estimator'!$A$10:$Z$227,G$2,FALSE)=0,"",VLOOKUP($A87,'Pre-Assessment Estimator'!$A$10:$Z$227,G$2,FALSE))</f>
        <v/>
      </c>
      <c r="H87" s="948">
        <f>VLOOKUP($A87,'Pre-Assessment Estimator'!$A$10:$Z$227,H$2,FALSE)</f>
        <v>0</v>
      </c>
      <c r="I87" s="445" t="str">
        <f>VLOOKUP($A87,'Pre-Assessment Estimator'!$A$10:$Z$227,I$2,FALSE)</f>
        <v>N/A</v>
      </c>
      <c r="J87" s="446" t="str">
        <f>IF(VLOOKUP($A87,'Pre-Assessment Estimator'!$A$10:$Z$227,J$2,FALSE)=0,"",VLOOKUP($A87,'Pre-Assessment Estimator'!$A$10:$Z$227,J$2,FALSE))</f>
        <v/>
      </c>
      <c r="K87" s="446" t="str">
        <f>IF(VLOOKUP($A87,'Pre-Assessment Estimator'!$A$10:$Z$227,K$2,FALSE)=0,"",VLOOKUP($A87,'Pre-Assessment Estimator'!$A$10:$Z$227,K$2,FALSE))</f>
        <v/>
      </c>
      <c r="L87" s="447" t="str">
        <f>IF(VLOOKUP($A87,'Pre-Assessment Estimator'!$A$10:$Z$227,L$2,FALSE)=0,"",VLOOKUP($A87,'Pre-Assessment Estimator'!$A$10:$Z$227,L$2,FALSE))</f>
        <v/>
      </c>
      <c r="M87" s="448"/>
      <c r="N87" s="449" t="str">
        <f>IF(VLOOKUP($A87,'Pre-Assessment Estimator'!$A$10:$Z$227,N$2,FALSE)=0,"",VLOOKUP($A87,'Pre-Assessment Estimator'!$A$10:$Z$227,N$2,FALSE))</f>
        <v/>
      </c>
      <c r="O87" s="444">
        <f>VLOOKUP($A87,'Pre-Assessment Estimator'!$A$10:$Z$227,O$2,FALSE)</f>
        <v>0</v>
      </c>
      <c r="P87" s="443" t="str">
        <f>VLOOKUP($A87,'Pre-Assessment Estimator'!$A$10:$Z$227,P$2,FALSE)</f>
        <v>N/A</v>
      </c>
      <c r="Q87" s="446" t="str">
        <f>IF(VLOOKUP($A87,'Pre-Assessment Estimator'!$A$10:$Z$227,Q$2,FALSE)=0,"",VLOOKUP($A87,'Pre-Assessment Estimator'!$A$10:$Z$227,Q$2,FALSE))</f>
        <v/>
      </c>
      <c r="R87" s="446" t="str">
        <f>IF(VLOOKUP($A87,'Pre-Assessment Estimator'!$A$10:$Z$227,R$2,FALSE)=0,"",VLOOKUP($A87,'Pre-Assessment Estimator'!$A$10:$Z$227,R$2,FALSE))</f>
        <v/>
      </c>
      <c r="S87" s="447" t="str">
        <f>IF(VLOOKUP($A87,'Pre-Assessment Estimator'!$A$10:$Z$227,S$2,FALSE)=0,"",VLOOKUP($A87,'Pre-Assessment Estimator'!$A$10:$Z$227,S$2,FALSE))</f>
        <v/>
      </c>
      <c r="T87" s="450"/>
      <c r="U87" s="449" t="str">
        <f>IF(VLOOKUP($A87,'Pre-Assessment Estimator'!$A$10:$Z$227,U$2,FALSE)=0,"",VLOOKUP($A87,'Pre-Assessment Estimator'!$A$10:$Z$227,U$2,FALSE))</f>
        <v/>
      </c>
      <c r="V87" s="444">
        <f>VLOOKUP($A87,'Pre-Assessment Estimator'!$A$10:$Z$227,V$2,FALSE)</f>
        <v>0</v>
      </c>
      <c r="W87" s="443" t="str">
        <f>VLOOKUP($A87,'Pre-Assessment Estimator'!$A$10:$Z$227,W$2,FALSE)</f>
        <v>N/A</v>
      </c>
      <c r="X87" s="446" t="str">
        <f>IF(VLOOKUP($A87,'Pre-Assessment Estimator'!$A$10:$Z$227,X$2,FALSE)=0,"",VLOOKUP($A87,'Pre-Assessment Estimator'!$A$10:$Z$227,X$2,FALSE))</f>
        <v/>
      </c>
      <c r="Y87" s="446" t="str">
        <f>IF(VLOOKUP($A87,'Pre-Assessment Estimator'!$A$10:$Z$227,Y$2,FALSE)=0,"",VLOOKUP($A87,'Pre-Assessment Estimator'!$A$10:$Z$227,Y$2,FALSE))</f>
        <v/>
      </c>
      <c r="Z87" s="313" t="str">
        <f>IF(VLOOKUP($A87,'Pre-Assessment Estimator'!$A$10:$Z$227,Z$2,FALSE)=0,"",VLOOKUP($A87,'Pre-Assessment Estimator'!$A$10:$Z$227,Z$2,FALSE))</f>
        <v/>
      </c>
      <c r="AA87" s="544">
        <v>76</v>
      </c>
      <c r="AB87" s="446"/>
      <c r="AF87" s="13">
        <f t="shared" si="2"/>
        <v>1</v>
      </c>
    </row>
    <row r="88" spans="1:32">
      <c r="A88" s="652">
        <v>79</v>
      </c>
      <c r="B88" s="958" t="s">
        <v>332</v>
      </c>
      <c r="C88" s="958"/>
      <c r="D88" s="979" t="str">
        <f>VLOOKUP($A88,'Pre-Assessment Estimator'!$A$10:$Z$227,D$2,FALSE)</f>
        <v>Ene 07</v>
      </c>
      <c r="E88" s="979" t="str">
        <f>VLOOKUP($A88,'Pre-Assessment Estimator'!$A$10:$Z$227,E$2,FALSE)</f>
        <v>Ene 07 Energy Efficient Laboratory Systems</v>
      </c>
      <c r="F88" s="443">
        <f>VLOOKUP($A88,'Pre-Assessment Estimator'!$A$10:$Z$227,F$2,FALSE)</f>
        <v>5</v>
      </c>
      <c r="G88" s="449" t="str">
        <f>IF(VLOOKUP($A88,'Pre-Assessment Estimator'!$A$10:$Z$227,G$2,FALSE)=0,"",VLOOKUP($A88,'Pre-Assessment Estimator'!$A$10:$Z$227,G$2,FALSE))</f>
        <v/>
      </c>
      <c r="H88" s="948" t="str">
        <f>VLOOKUP($A88,'Pre-Assessment Estimator'!$A$10:$Z$227,H$2,FALSE)</f>
        <v>0 c. 0 %</v>
      </c>
      <c r="I88" s="445" t="str">
        <f>VLOOKUP($A88,'Pre-Assessment Estimator'!$A$10:$Z$227,I$2,FALSE)</f>
        <v>N/A</v>
      </c>
      <c r="J88" s="446" t="str">
        <f>IF(VLOOKUP($A88,'Pre-Assessment Estimator'!$A$10:$Z$227,J$2,FALSE)=0,"",VLOOKUP($A88,'Pre-Assessment Estimator'!$A$10:$Z$227,J$2,FALSE))</f>
        <v/>
      </c>
      <c r="K88" s="446" t="str">
        <f>IF(VLOOKUP($A88,'Pre-Assessment Estimator'!$A$10:$Z$227,K$2,FALSE)=0,"",VLOOKUP($A88,'Pre-Assessment Estimator'!$A$10:$Z$227,K$2,FALSE))</f>
        <v/>
      </c>
      <c r="L88" s="447" t="str">
        <f>IF(VLOOKUP($A88,'Pre-Assessment Estimator'!$A$10:$Z$227,L$2,FALSE)=0,"",VLOOKUP($A88,'Pre-Assessment Estimator'!$A$10:$Z$227,L$2,FALSE))</f>
        <v/>
      </c>
      <c r="M88" s="448"/>
      <c r="N88" s="449" t="str">
        <f>IF(VLOOKUP($A88,'Pre-Assessment Estimator'!$A$10:$Z$227,N$2,FALSE)=0,"",VLOOKUP($A88,'Pre-Assessment Estimator'!$A$10:$Z$227,N$2,FALSE))</f>
        <v/>
      </c>
      <c r="O88" s="444" t="str">
        <f>VLOOKUP($A88,'Pre-Assessment Estimator'!$A$10:$Z$227,O$2,FALSE)</f>
        <v>0 c. 0 %</v>
      </c>
      <c r="P88" s="443" t="str">
        <f>VLOOKUP($A88,'Pre-Assessment Estimator'!$A$10:$Z$227,P$2,FALSE)</f>
        <v>N/A</v>
      </c>
      <c r="Q88" s="446" t="str">
        <f>IF(VLOOKUP($A88,'Pre-Assessment Estimator'!$A$10:$Z$227,Q$2,FALSE)=0,"",VLOOKUP($A88,'Pre-Assessment Estimator'!$A$10:$Z$227,Q$2,FALSE))</f>
        <v/>
      </c>
      <c r="R88" s="446" t="str">
        <f>IF(VLOOKUP($A88,'Pre-Assessment Estimator'!$A$10:$Z$227,R$2,FALSE)=0,"",VLOOKUP($A88,'Pre-Assessment Estimator'!$A$10:$Z$227,R$2,FALSE))</f>
        <v/>
      </c>
      <c r="S88" s="447" t="str">
        <f>IF(VLOOKUP($A88,'Pre-Assessment Estimator'!$A$10:$Z$227,S$2,FALSE)=0,"",VLOOKUP($A88,'Pre-Assessment Estimator'!$A$10:$Z$227,S$2,FALSE))</f>
        <v/>
      </c>
      <c r="T88" s="450"/>
      <c r="U88" s="449" t="str">
        <f>IF(VLOOKUP($A88,'Pre-Assessment Estimator'!$A$10:$Z$227,U$2,FALSE)=0,"",VLOOKUP($A88,'Pre-Assessment Estimator'!$A$10:$Z$227,U$2,FALSE))</f>
        <v/>
      </c>
      <c r="V88" s="444" t="str">
        <f>VLOOKUP($A88,'Pre-Assessment Estimator'!$A$10:$Z$227,V$2,FALSE)</f>
        <v>0 c. 0 %</v>
      </c>
      <c r="W88" s="443" t="str">
        <f>VLOOKUP($A88,'Pre-Assessment Estimator'!$A$10:$Z$227,W$2,FALSE)</f>
        <v>N/A</v>
      </c>
      <c r="X88" s="446" t="str">
        <f>IF(VLOOKUP($A88,'Pre-Assessment Estimator'!$A$10:$Z$227,X$2,FALSE)=0,"",VLOOKUP($A88,'Pre-Assessment Estimator'!$A$10:$Z$227,X$2,FALSE))</f>
        <v/>
      </c>
      <c r="Y88" s="446" t="str">
        <f>IF(VLOOKUP($A88,'Pre-Assessment Estimator'!$A$10:$Z$227,Y$2,FALSE)=0,"",VLOOKUP($A88,'Pre-Assessment Estimator'!$A$10:$Z$227,Y$2,FALSE))</f>
        <v/>
      </c>
      <c r="Z88" s="313" t="str">
        <f>IF(VLOOKUP($A88,'Pre-Assessment Estimator'!$A$10:$Z$227,Z$2,FALSE)=0,"",VLOOKUP($A88,'Pre-Assessment Estimator'!$A$10:$Z$227,Z$2,FALSE))</f>
        <v/>
      </c>
      <c r="AA88" s="544">
        <v>77</v>
      </c>
      <c r="AB88" s="446"/>
      <c r="AF88" s="13">
        <f t="shared" si="2"/>
        <v>1</v>
      </c>
    </row>
    <row r="89" spans="1:32">
      <c r="A89" s="652">
        <v>80</v>
      </c>
      <c r="B89" s="958" t="s">
        <v>332</v>
      </c>
      <c r="C89" s="958"/>
      <c r="D89" s="980" t="str">
        <f>VLOOKUP($A89,'Pre-Assessment Estimator'!$A$10:$Z$227,D$2,FALSE)</f>
        <v>Ene 07</v>
      </c>
      <c r="E89" s="981" t="str">
        <f>VLOOKUP($A89,'Pre-Assessment Estimator'!$A$10:$Z$227,E$2,FALSE)</f>
        <v xml:space="preserve">Design specification </v>
      </c>
      <c r="F89" s="443">
        <f>VLOOKUP($A89,'Pre-Assessment Estimator'!$A$10:$Z$227,F$2,FALSE)</f>
        <v>1</v>
      </c>
      <c r="G89" s="449" t="str">
        <f>IF(VLOOKUP($A89,'Pre-Assessment Estimator'!$A$10:$Z$227,G$2,FALSE)=0,"",VLOOKUP($A89,'Pre-Assessment Estimator'!$A$10:$Z$227,G$2,FALSE))</f>
        <v/>
      </c>
      <c r="H89" s="948">
        <f>VLOOKUP($A89,'Pre-Assessment Estimator'!$A$10:$Z$227,H$2,FALSE)</f>
        <v>0</v>
      </c>
      <c r="I89" s="445" t="str">
        <f>VLOOKUP($A89,'Pre-Assessment Estimator'!$A$10:$Z$227,I$2,FALSE)</f>
        <v>Unclassified</v>
      </c>
      <c r="J89" s="446" t="str">
        <f>IF(VLOOKUP($A89,'Pre-Assessment Estimator'!$A$10:$Z$227,J$2,FALSE)=0,"",VLOOKUP($A89,'Pre-Assessment Estimator'!$A$10:$Z$227,J$2,FALSE))</f>
        <v/>
      </c>
      <c r="K89" s="446" t="str">
        <f>IF(VLOOKUP($A89,'Pre-Assessment Estimator'!$A$10:$Z$227,K$2,FALSE)=0,"",VLOOKUP($A89,'Pre-Assessment Estimator'!$A$10:$Z$227,K$2,FALSE))</f>
        <v/>
      </c>
      <c r="L89" s="447" t="str">
        <f>IF(VLOOKUP($A89,'Pre-Assessment Estimator'!$A$10:$Z$227,L$2,FALSE)=0,"",VLOOKUP($A89,'Pre-Assessment Estimator'!$A$10:$Z$227,L$2,FALSE))</f>
        <v/>
      </c>
      <c r="M89" s="448"/>
      <c r="N89" s="449" t="str">
        <f>IF(VLOOKUP($A89,'Pre-Assessment Estimator'!$A$10:$Z$227,N$2,FALSE)=0,"",VLOOKUP($A89,'Pre-Assessment Estimator'!$A$10:$Z$227,N$2,FALSE))</f>
        <v/>
      </c>
      <c r="O89" s="444">
        <f>VLOOKUP($A89,'Pre-Assessment Estimator'!$A$10:$Z$227,O$2,FALSE)</f>
        <v>0</v>
      </c>
      <c r="P89" s="443" t="str">
        <f>VLOOKUP($A89,'Pre-Assessment Estimator'!$A$10:$Z$227,P$2,FALSE)</f>
        <v>Unclassified</v>
      </c>
      <c r="Q89" s="446" t="str">
        <f>IF(VLOOKUP($A89,'Pre-Assessment Estimator'!$A$10:$Z$227,Q$2,FALSE)=0,"",VLOOKUP($A89,'Pre-Assessment Estimator'!$A$10:$Z$227,Q$2,FALSE))</f>
        <v/>
      </c>
      <c r="R89" s="446" t="str">
        <f>IF(VLOOKUP($A89,'Pre-Assessment Estimator'!$A$10:$Z$227,R$2,FALSE)=0,"",VLOOKUP($A89,'Pre-Assessment Estimator'!$A$10:$Z$227,R$2,FALSE))</f>
        <v/>
      </c>
      <c r="S89" s="447" t="str">
        <f>IF(VLOOKUP($A89,'Pre-Assessment Estimator'!$A$10:$Z$227,S$2,FALSE)=0,"",VLOOKUP($A89,'Pre-Assessment Estimator'!$A$10:$Z$227,S$2,FALSE))</f>
        <v/>
      </c>
      <c r="T89" s="450"/>
      <c r="U89" s="449" t="str">
        <f>IF(VLOOKUP($A89,'Pre-Assessment Estimator'!$A$10:$Z$227,U$2,FALSE)=0,"",VLOOKUP($A89,'Pre-Assessment Estimator'!$A$10:$Z$227,U$2,FALSE))</f>
        <v/>
      </c>
      <c r="V89" s="444">
        <f>VLOOKUP($A89,'Pre-Assessment Estimator'!$A$10:$Z$227,V$2,FALSE)</f>
        <v>0</v>
      </c>
      <c r="W89" s="443" t="str">
        <f>VLOOKUP($A89,'Pre-Assessment Estimator'!$A$10:$Z$227,W$2,FALSE)</f>
        <v>Unclassified</v>
      </c>
      <c r="X89" s="446" t="str">
        <f>IF(VLOOKUP($A89,'Pre-Assessment Estimator'!$A$10:$Z$227,X$2,FALSE)=0,"",VLOOKUP($A89,'Pre-Assessment Estimator'!$A$10:$Z$227,X$2,FALSE))</f>
        <v/>
      </c>
      <c r="Y89" s="446" t="str">
        <f>IF(VLOOKUP($A89,'Pre-Assessment Estimator'!$A$10:$Z$227,Y$2,FALSE)=0,"",VLOOKUP($A89,'Pre-Assessment Estimator'!$A$10:$Z$227,Y$2,FALSE))</f>
        <v/>
      </c>
      <c r="Z89" s="313" t="str">
        <f>IF(VLOOKUP($A89,'Pre-Assessment Estimator'!$A$10:$Z$227,Z$2,FALSE)=0,"",VLOOKUP($A89,'Pre-Assessment Estimator'!$A$10:$Z$227,Z$2,FALSE))</f>
        <v/>
      </c>
      <c r="AA89" s="544">
        <v>78</v>
      </c>
      <c r="AB89" s="446"/>
      <c r="AF89" s="13">
        <f t="shared" si="2"/>
        <v>1</v>
      </c>
    </row>
    <row r="90" spans="1:32">
      <c r="A90" s="652">
        <v>81</v>
      </c>
      <c r="B90" s="958" t="s">
        <v>332</v>
      </c>
      <c r="C90" s="958"/>
      <c r="D90" s="980" t="str">
        <f>VLOOKUP($A90,'Pre-Assessment Estimator'!$A$10:$Z$227,D$2,FALSE)</f>
        <v>Ene 07</v>
      </c>
      <c r="E90" s="981" t="str">
        <f>VLOOKUP($A90,'Pre-Assessment Estimator'!$A$10:$Z$227,E$2,FALSE)</f>
        <v xml:space="preserve">Best practice energy efficient measures </v>
      </c>
      <c r="F90" s="443">
        <f>VLOOKUP($A90,'Pre-Assessment Estimator'!$A$10:$Z$227,F$2,FALSE)</f>
        <v>4</v>
      </c>
      <c r="G90" s="449" t="str">
        <f>IF(VLOOKUP($A90,'Pre-Assessment Estimator'!$A$10:$Z$227,G$2,FALSE)=0,"",VLOOKUP($A90,'Pre-Assessment Estimator'!$A$10:$Z$227,G$2,FALSE))</f>
        <v/>
      </c>
      <c r="H90" s="948">
        <f>VLOOKUP($A90,'Pre-Assessment Estimator'!$A$10:$Z$227,H$2,FALSE)</f>
        <v>0</v>
      </c>
      <c r="I90" s="445" t="str">
        <f>VLOOKUP($A90,'Pre-Assessment Estimator'!$A$10:$Z$227,I$2,FALSE)</f>
        <v>N/A</v>
      </c>
      <c r="J90" s="446" t="str">
        <f>IF(VLOOKUP($A90,'Pre-Assessment Estimator'!$A$10:$Z$227,J$2,FALSE)=0,"",VLOOKUP($A90,'Pre-Assessment Estimator'!$A$10:$Z$227,J$2,FALSE))</f>
        <v/>
      </c>
      <c r="K90" s="446" t="str">
        <f>IF(VLOOKUP($A90,'Pre-Assessment Estimator'!$A$10:$Z$227,K$2,FALSE)=0,"",VLOOKUP($A90,'Pre-Assessment Estimator'!$A$10:$Z$227,K$2,FALSE))</f>
        <v/>
      </c>
      <c r="L90" s="447" t="str">
        <f>IF(VLOOKUP($A90,'Pre-Assessment Estimator'!$A$10:$Z$227,L$2,FALSE)=0,"",VLOOKUP($A90,'Pre-Assessment Estimator'!$A$10:$Z$227,L$2,FALSE))</f>
        <v/>
      </c>
      <c r="M90" s="448"/>
      <c r="N90" s="449" t="str">
        <f>IF(VLOOKUP($A90,'Pre-Assessment Estimator'!$A$10:$Z$227,N$2,FALSE)=0,"",VLOOKUP($A90,'Pre-Assessment Estimator'!$A$10:$Z$227,N$2,FALSE))</f>
        <v/>
      </c>
      <c r="O90" s="444">
        <f>VLOOKUP($A90,'Pre-Assessment Estimator'!$A$10:$Z$227,O$2,FALSE)</f>
        <v>0</v>
      </c>
      <c r="P90" s="443" t="str">
        <f>VLOOKUP($A90,'Pre-Assessment Estimator'!$A$10:$Z$227,P$2,FALSE)</f>
        <v>N/A</v>
      </c>
      <c r="Q90" s="446" t="str">
        <f>IF(VLOOKUP($A90,'Pre-Assessment Estimator'!$A$10:$Z$227,Q$2,FALSE)=0,"",VLOOKUP($A90,'Pre-Assessment Estimator'!$A$10:$Z$227,Q$2,FALSE))</f>
        <v/>
      </c>
      <c r="R90" s="446" t="str">
        <f>IF(VLOOKUP($A90,'Pre-Assessment Estimator'!$A$10:$Z$227,R$2,FALSE)=0,"",VLOOKUP($A90,'Pre-Assessment Estimator'!$A$10:$Z$227,R$2,FALSE))</f>
        <v/>
      </c>
      <c r="S90" s="447" t="str">
        <f>IF(VLOOKUP($A90,'Pre-Assessment Estimator'!$A$10:$Z$227,S$2,FALSE)=0,"",VLOOKUP($A90,'Pre-Assessment Estimator'!$A$10:$Z$227,S$2,FALSE))</f>
        <v/>
      </c>
      <c r="T90" s="450"/>
      <c r="U90" s="449" t="str">
        <f>IF(VLOOKUP($A90,'Pre-Assessment Estimator'!$A$10:$Z$227,U$2,FALSE)=0,"",VLOOKUP($A90,'Pre-Assessment Estimator'!$A$10:$Z$227,U$2,FALSE))</f>
        <v/>
      </c>
      <c r="V90" s="444">
        <f>VLOOKUP($A90,'Pre-Assessment Estimator'!$A$10:$Z$227,V$2,FALSE)</f>
        <v>0</v>
      </c>
      <c r="W90" s="443" t="str">
        <f>VLOOKUP($A90,'Pre-Assessment Estimator'!$A$10:$Z$227,W$2,FALSE)</f>
        <v>N/A</v>
      </c>
      <c r="X90" s="446" t="str">
        <f>IF(VLOOKUP($A90,'Pre-Assessment Estimator'!$A$10:$Z$227,X$2,FALSE)=0,"",VLOOKUP($A90,'Pre-Assessment Estimator'!$A$10:$Z$227,X$2,FALSE))</f>
        <v/>
      </c>
      <c r="Y90" s="446" t="str">
        <f>IF(VLOOKUP($A90,'Pre-Assessment Estimator'!$A$10:$Z$227,Y$2,FALSE)=0,"",VLOOKUP($A90,'Pre-Assessment Estimator'!$A$10:$Z$227,Y$2,FALSE))</f>
        <v/>
      </c>
      <c r="Z90" s="313" t="str">
        <f>IF(VLOOKUP($A90,'Pre-Assessment Estimator'!$A$10:$Z$227,Z$2,FALSE)=0,"",VLOOKUP($A90,'Pre-Assessment Estimator'!$A$10:$Z$227,Z$2,FALSE))</f>
        <v/>
      </c>
      <c r="AA90" s="544">
        <v>79</v>
      </c>
      <c r="AB90" s="446"/>
      <c r="AF90" s="13">
        <f t="shared" si="2"/>
        <v>1</v>
      </c>
    </row>
    <row r="91" spans="1:32">
      <c r="A91" s="652">
        <v>82</v>
      </c>
      <c r="B91" s="958" t="s">
        <v>332</v>
      </c>
      <c r="C91" s="958"/>
      <c r="D91" s="979" t="str">
        <f>VLOOKUP($A91,'Pre-Assessment Estimator'!$A$10:$Z$227,D$2,FALSE)</f>
        <v>Ene 08</v>
      </c>
      <c r="E91" s="979" t="str">
        <f>VLOOKUP($A91,'Pre-Assessment Estimator'!$A$10:$Z$227,E$2,FALSE)</f>
        <v>Ene 08 Energy efficient equipment</v>
      </c>
      <c r="F91" s="443">
        <f>VLOOKUP($A91,'Pre-Assessment Estimator'!$A$10:$Z$227,F$2,FALSE)</f>
        <v>2</v>
      </c>
      <c r="G91" s="449" t="str">
        <f>IF(VLOOKUP($A91,'Pre-Assessment Estimator'!$A$10:$Z$227,G$2,FALSE)=0,"",VLOOKUP($A91,'Pre-Assessment Estimator'!$A$10:$Z$227,G$2,FALSE))</f>
        <v/>
      </c>
      <c r="H91" s="948" t="str">
        <f>VLOOKUP($A91,'Pre-Assessment Estimator'!$A$10:$Z$227,H$2,FALSE)</f>
        <v>0 c. 0 %</v>
      </c>
      <c r="I91" s="445" t="str">
        <f>VLOOKUP($A91,'Pre-Assessment Estimator'!$A$10:$Z$227,I$2,FALSE)</f>
        <v>N/A</v>
      </c>
      <c r="J91" s="446" t="str">
        <f>IF(VLOOKUP($A91,'Pre-Assessment Estimator'!$A$10:$Z$227,J$2,FALSE)=0,"",VLOOKUP($A91,'Pre-Assessment Estimator'!$A$10:$Z$227,J$2,FALSE))</f>
        <v/>
      </c>
      <c r="K91" s="446" t="str">
        <f>IF(VLOOKUP($A91,'Pre-Assessment Estimator'!$A$10:$Z$227,K$2,FALSE)=0,"",VLOOKUP($A91,'Pre-Assessment Estimator'!$A$10:$Z$227,K$2,FALSE))</f>
        <v/>
      </c>
      <c r="L91" s="447" t="str">
        <f>IF(VLOOKUP($A91,'Pre-Assessment Estimator'!$A$10:$Z$227,L$2,FALSE)=0,"",VLOOKUP($A91,'Pre-Assessment Estimator'!$A$10:$Z$227,L$2,FALSE))</f>
        <v/>
      </c>
      <c r="M91" s="448"/>
      <c r="N91" s="449" t="str">
        <f>IF(VLOOKUP($A91,'Pre-Assessment Estimator'!$A$10:$Z$227,N$2,FALSE)=0,"",VLOOKUP($A91,'Pre-Assessment Estimator'!$A$10:$Z$227,N$2,FALSE))</f>
        <v/>
      </c>
      <c r="O91" s="444" t="str">
        <f>VLOOKUP($A91,'Pre-Assessment Estimator'!$A$10:$Z$227,O$2,FALSE)</f>
        <v>0 c. 0 %</v>
      </c>
      <c r="P91" s="443" t="str">
        <f>VLOOKUP($A91,'Pre-Assessment Estimator'!$A$10:$Z$227,P$2,FALSE)</f>
        <v>N/A</v>
      </c>
      <c r="Q91" s="446" t="str">
        <f>IF(VLOOKUP($A91,'Pre-Assessment Estimator'!$A$10:$Z$227,Q$2,FALSE)=0,"",VLOOKUP($A91,'Pre-Assessment Estimator'!$A$10:$Z$227,Q$2,FALSE))</f>
        <v/>
      </c>
      <c r="R91" s="446" t="str">
        <f>IF(VLOOKUP($A91,'Pre-Assessment Estimator'!$A$10:$Z$227,R$2,FALSE)=0,"",VLOOKUP($A91,'Pre-Assessment Estimator'!$A$10:$Z$227,R$2,FALSE))</f>
        <v/>
      </c>
      <c r="S91" s="447" t="str">
        <f>IF(VLOOKUP($A91,'Pre-Assessment Estimator'!$A$10:$Z$227,S$2,FALSE)=0,"",VLOOKUP($A91,'Pre-Assessment Estimator'!$A$10:$Z$227,S$2,FALSE))</f>
        <v/>
      </c>
      <c r="T91" s="450"/>
      <c r="U91" s="449" t="str">
        <f>IF(VLOOKUP($A91,'Pre-Assessment Estimator'!$A$10:$Z$227,U$2,FALSE)=0,"",VLOOKUP($A91,'Pre-Assessment Estimator'!$A$10:$Z$227,U$2,FALSE))</f>
        <v/>
      </c>
      <c r="V91" s="444" t="str">
        <f>VLOOKUP($A91,'Pre-Assessment Estimator'!$A$10:$Z$227,V$2,FALSE)</f>
        <v>0 c. 0 %</v>
      </c>
      <c r="W91" s="443" t="str">
        <f>VLOOKUP($A91,'Pre-Assessment Estimator'!$A$10:$Z$227,W$2,FALSE)</f>
        <v>N/A</v>
      </c>
      <c r="X91" s="446" t="str">
        <f>IF(VLOOKUP($A91,'Pre-Assessment Estimator'!$A$10:$Z$227,X$2,FALSE)=0,"",VLOOKUP($A91,'Pre-Assessment Estimator'!$A$10:$Z$227,X$2,FALSE))</f>
        <v/>
      </c>
      <c r="Y91" s="446" t="str">
        <f>IF(VLOOKUP($A91,'Pre-Assessment Estimator'!$A$10:$Z$227,Y$2,FALSE)=0,"",VLOOKUP($A91,'Pre-Assessment Estimator'!$A$10:$Z$227,Y$2,FALSE))</f>
        <v/>
      </c>
      <c r="Z91" s="313" t="str">
        <f>IF(VLOOKUP($A91,'Pre-Assessment Estimator'!$A$10:$Z$227,Z$2,FALSE)=0,"",VLOOKUP($A91,'Pre-Assessment Estimator'!$A$10:$Z$227,Z$2,FALSE))</f>
        <v/>
      </c>
      <c r="AA91" s="544">
        <v>80</v>
      </c>
      <c r="AB91" s="446"/>
      <c r="AF91" s="13">
        <f t="shared" si="2"/>
        <v>1</v>
      </c>
    </row>
    <row r="92" spans="1:32" ht="30">
      <c r="A92" s="652">
        <v>83</v>
      </c>
      <c r="B92" s="958" t="s">
        <v>332</v>
      </c>
      <c r="C92" s="958"/>
      <c r="D92" s="980" t="str">
        <f>VLOOKUP($A92,'Pre-Assessment Estimator'!$A$10:$Z$227,D$2,FALSE)</f>
        <v>Ene 08</v>
      </c>
      <c r="E92" s="981" t="str">
        <f>VLOOKUP($A92,'Pre-Assessment Estimator'!$A$10:$Z$227,E$2,FALSE)</f>
        <v xml:space="preserve">Reduction of the building's significant unregulated energy consumption </v>
      </c>
      <c r="F92" s="443">
        <f>VLOOKUP($A92,'Pre-Assessment Estimator'!$A$10:$Z$227,F$2,FALSE)</f>
        <v>2</v>
      </c>
      <c r="G92" s="449" t="str">
        <f>IF(VLOOKUP($A92,'Pre-Assessment Estimator'!$A$10:$Z$227,G$2,FALSE)=0,"",VLOOKUP($A92,'Pre-Assessment Estimator'!$A$10:$Z$227,G$2,FALSE))</f>
        <v/>
      </c>
      <c r="H92" s="948">
        <f>VLOOKUP($A92,'Pre-Assessment Estimator'!$A$10:$Z$227,H$2,FALSE)</f>
        <v>0</v>
      </c>
      <c r="I92" s="445" t="str">
        <f>VLOOKUP($A92,'Pre-Assessment Estimator'!$A$10:$Z$227,I$2,FALSE)</f>
        <v>N/A</v>
      </c>
      <c r="J92" s="446" t="str">
        <f>IF(VLOOKUP($A92,'Pre-Assessment Estimator'!$A$10:$Z$227,J$2,FALSE)=0,"",VLOOKUP($A92,'Pre-Assessment Estimator'!$A$10:$Z$227,J$2,FALSE))</f>
        <v/>
      </c>
      <c r="K92" s="446" t="str">
        <f>IF(VLOOKUP($A92,'Pre-Assessment Estimator'!$A$10:$Z$227,K$2,FALSE)=0,"",VLOOKUP($A92,'Pre-Assessment Estimator'!$A$10:$Z$227,K$2,FALSE))</f>
        <v/>
      </c>
      <c r="L92" s="447" t="str">
        <f>IF(VLOOKUP($A92,'Pre-Assessment Estimator'!$A$10:$Z$227,L$2,FALSE)=0,"",VLOOKUP($A92,'Pre-Assessment Estimator'!$A$10:$Z$227,L$2,FALSE))</f>
        <v/>
      </c>
      <c r="M92" s="448"/>
      <c r="N92" s="449" t="str">
        <f>IF(VLOOKUP($A92,'Pre-Assessment Estimator'!$A$10:$Z$227,N$2,FALSE)=0,"",VLOOKUP($A92,'Pre-Assessment Estimator'!$A$10:$Z$227,N$2,FALSE))</f>
        <v/>
      </c>
      <c r="O92" s="444">
        <f>VLOOKUP($A92,'Pre-Assessment Estimator'!$A$10:$Z$227,O$2,FALSE)</f>
        <v>0</v>
      </c>
      <c r="P92" s="443" t="str">
        <f>VLOOKUP($A92,'Pre-Assessment Estimator'!$A$10:$Z$227,P$2,FALSE)</f>
        <v>N/A</v>
      </c>
      <c r="Q92" s="446" t="str">
        <f>IF(VLOOKUP($A92,'Pre-Assessment Estimator'!$A$10:$Z$227,Q$2,FALSE)=0,"",VLOOKUP($A92,'Pre-Assessment Estimator'!$A$10:$Z$227,Q$2,FALSE))</f>
        <v/>
      </c>
      <c r="R92" s="446" t="str">
        <f>IF(VLOOKUP($A92,'Pre-Assessment Estimator'!$A$10:$Z$227,R$2,FALSE)=0,"",VLOOKUP($A92,'Pre-Assessment Estimator'!$A$10:$Z$227,R$2,FALSE))</f>
        <v/>
      </c>
      <c r="S92" s="447" t="str">
        <f>IF(VLOOKUP($A92,'Pre-Assessment Estimator'!$A$10:$Z$227,S$2,FALSE)=0,"",VLOOKUP($A92,'Pre-Assessment Estimator'!$A$10:$Z$227,S$2,FALSE))</f>
        <v/>
      </c>
      <c r="T92" s="450"/>
      <c r="U92" s="449" t="str">
        <f>IF(VLOOKUP($A92,'Pre-Assessment Estimator'!$A$10:$Z$227,U$2,FALSE)=0,"",VLOOKUP($A92,'Pre-Assessment Estimator'!$A$10:$Z$227,U$2,FALSE))</f>
        <v/>
      </c>
      <c r="V92" s="444">
        <f>VLOOKUP($A92,'Pre-Assessment Estimator'!$A$10:$Z$227,V$2,FALSE)</f>
        <v>0</v>
      </c>
      <c r="W92" s="443" t="str">
        <f>VLOOKUP($A92,'Pre-Assessment Estimator'!$A$10:$Z$227,W$2,FALSE)</f>
        <v>N/A</v>
      </c>
      <c r="X92" s="446" t="str">
        <f>IF(VLOOKUP($A92,'Pre-Assessment Estimator'!$A$10:$Z$227,X$2,FALSE)=0,"",VLOOKUP($A92,'Pre-Assessment Estimator'!$A$10:$Z$227,X$2,FALSE))</f>
        <v/>
      </c>
      <c r="Y92" s="446" t="str">
        <f>IF(VLOOKUP($A92,'Pre-Assessment Estimator'!$A$10:$Z$227,Y$2,FALSE)=0,"",VLOOKUP($A92,'Pre-Assessment Estimator'!$A$10:$Z$227,Y$2,FALSE))</f>
        <v/>
      </c>
      <c r="Z92" s="313" t="str">
        <f>IF(VLOOKUP($A92,'Pre-Assessment Estimator'!$A$10:$Z$227,Z$2,FALSE)=0,"",VLOOKUP($A92,'Pre-Assessment Estimator'!$A$10:$Z$227,Z$2,FALSE))</f>
        <v/>
      </c>
      <c r="AA92" s="544">
        <v>81</v>
      </c>
      <c r="AB92" s="446"/>
      <c r="AF92" s="13">
        <f t="shared" si="2"/>
        <v>1</v>
      </c>
    </row>
    <row r="93" spans="1:32" ht="30" customHeight="1" thickBot="1">
      <c r="A93" s="652">
        <v>84</v>
      </c>
      <c r="B93" s="958" t="s">
        <v>332</v>
      </c>
      <c r="C93" s="958"/>
      <c r="D93" s="982"/>
      <c r="E93" s="982" t="str">
        <f>VLOOKUP($A93,'Pre-Assessment Estimator'!$A$10:$Z$227,E$2,FALSE)</f>
        <v>Total performance energy</v>
      </c>
      <c r="F93" s="451">
        <f>VLOOKUP($A93,'Pre-Assessment Estimator'!$A$10:$Z$227,F$2,FALSE)</f>
        <v>27</v>
      </c>
      <c r="G93" s="453" t="str">
        <f>IF(VLOOKUP($A93,'Pre-Assessment Estimator'!$A$10:$Z$227,G$2,FALSE)=0,"",VLOOKUP($A93,'Pre-Assessment Estimator'!$A$10:$Z$227,G$2,FALSE))</f>
        <v/>
      </c>
      <c r="H93" s="452">
        <f>VLOOKUP($A93,'Pre-Assessment Estimator'!$A$10:$Z$227,H$2,FALSE)</f>
        <v>0</v>
      </c>
      <c r="I93" s="451" t="str">
        <f>VLOOKUP($A93,'Pre-Assessment Estimator'!$A$10:$Z$227,I$2,FALSE)</f>
        <v>Credits achieved: 0</v>
      </c>
      <c r="J93" s="930" t="str">
        <f>IF(VLOOKUP($A93,'Pre-Assessment Estimator'!$A$10:$Z$227,J$2,FALSE)=0,"",VLOOKUP($A93,'Pre-Assessment Estimator'!$A$10:$Z$227,J$2,FALSE))</f>
        <v/>
      </c>
      <c r="K93" s="930" t="str">
        <f>IF(VLOOKUP($A93,'Pre-Assessment Estimator'!$A$10:$Z$227,K$2,FALSE)=0,"",VLOOKUP($A93,'Pre-Assessment Estimator'!$A$10:$Z$227,K$2,FALSE))</f>
        <v/>
      </c>
      <c r="L93" s="949" t="str">
        <f>IF(VLOOKUP($A93,'Pre-Assessment Estimator'!$A$10:$Z$227,L$2,FALSE)=0,"",VLOOKUP($A93,'Pre-Assessment Estimator'!$A$10:$Z$227,L$2,FALSE))</f>
        <v/>
      </c>
      <c r="M93" s="950"/>
      <c r="N93" s="453" t="str">
        <f>IF(VLOOKUP($A93,'Pre-Assessment Estimator'!$A$10:$Z$227,N$2,FALSE)=0,"",VLOOKUP($A93,'Pre-Assessment Estimator'!$A$10:$Z$227,N$2,FALSE))</f>
        <v/>
      </c>
      <c r="O93" s="452">
        <f>VLOOKUP($A93,'Pre-Assessment Estimator'!$A$10:$Z$227,O$2,FALSE)</f>
        <v>0</v>
      </c>
      <c r="P93" s="451" t="str">
        <f>VLOOKUP($A93,'Pre-Assessment Estimator'!$A$10:$Z$227,P$2,FALSE)</f>
        <v>Credits achieved: 0</v>
      </c>
      <c r="Q93" s="930" t="str">
        <f>IF(VLOOKUP($A93,'Pre-Assessment Estimator'!$A$10:$Z$227,Q$2,FALSE)=0,"",VLOOKUP($A93,'Pre-Assessment Estimator'!$A$10:$Z$227,Q$2,FALSE))</f>
        <v/>
      </c>
      <c r="R93" s="930" t="str">
        <f>IF(VLOOKUP($A93,'Pre-Assessment Estimator'!$A$10:$Z$227,R$2,FALSE)=0,"",VLOOKUP($A93,'Pre-Assessment Estimator'!$A$10:$Z$227,R$2,FALSE))</f>
        <v/>
      </c>
      <c r="S93" s="949" t="str">
        <f>IF(VLOOKUP($A93,'Pre-Assessment Estimator'!$A$10:$Z$227,S$2,FALSE)=0,"",VLOOKUP($A93,'Pre-Assessment Estimator'!$A$10:$Z$227,S$2,FALSE))</f>
        <v/>
      </c>
      <c r="T93" s="951"/>
      <c r="U93" s="453" t="str">
        <f>IF(VLOOKUP($A93,'Pre-Assessment Estimator'!$A$10:$Z$227,U$2,FALSE)=0,"",VLOOKUP($A93,'Pre-Assessment Estimator'!$A$10:$Z$227,U$2,FALSE))</f>
        <v/>
      </c>
      <c r="V93" s="452">
        <f>VLOOKUP($A93,'Pre-Assessment Estimator'!$A$10:$Z$227,V$2,FALSE)</f>
        <v>0</v>
      </c>
      <c r="W93" s="451" t="str">
        <f>VLOOKUP($A93,'Pre-Assessment Estimator'!$A$10:$Z$227,W$2,FALSE)</f>
        <v>Credits achieved: 0</v>
      </c>
      <c r="X93" s="930" t="str">
        <f>IF(VLOOKUP($A93,'Pre-Assessment Estimator'!$A$10:$Z$227,X$2,FALSE)=0,"",VLOOKUP($A93,'Pre-Assessment Estimator'!$A$10:$Z$227,X$2,FALSE))</f>
        <v/>
      </c>
      <c r="Y93" s="930" t="str">
        <f>IF(VLOOKUP($A93,'Pre-Assessment Estimator'!$A$10:$Z$227,Y$2,FALSE)=0,"",VLOOKUP($A93,'Pre-Assessment Estimator'!$A$10:$Z$227,Y$2,FALSE))</f>
        <v/>
      </c>
      <c r="Z93" s="952" t="str">
        <f>IF(VLOOKUP($A93,'Pre-Assessment Estimator'!$A$10:$Z$227,Z$2,FALSE)=0,"",VLOOKUP($A93,'Pre-Assessment Estimator'!$A$10:$Z$227,Z$2,FALSE))</f>
        <v/>
      </c>
      <c r="AA93" s="544">
        <v>82</v>
      </c>
      <c r="AB93" s="446" t="str">
        <f>IF(VLOOKUP($A93,'Pre-Assessment Estimator'!$A$10:$AB$227,AB$2,FALSE)=0,"",VLOOKUP($A93,'Pre-Assessment Estimator'!$A$10:$AB$227,AB$2,FALSE))</f>
        <v/>
      </c>
      <c r="AF93" s="13">
        <f t="shared" si="2"/>
        <v>1</v>
      </c>
    </row>
    <row r="94" spans="1:32">
      <c r="A94" s="652">
        <v>85</v>
      </c>
      <c r="B94" s="958" t="s">
        <v>332</v>
      </c>
      <c r="C94" s="958"/>
      <c r="D94" s="454"/>
      <c r="E94" s="454"/>
      <c r="F94" s="455"/>
      <c r="G94" s="455"/>
      <c r="H94" s="455"/>
      <c r="I94" s="455"/>
      <c r="J94" s="454"/>
      <c r="K94" s="455"/>
      <c r="L94" s="454"/>
      <c r="M94" s="448"/>
      <c r="N94" s="455"/>
      <c r="O94" s="455"/>
      <c r="P94" s="455"/>
      <c r="Q94" s="454"/>
      <c r="R94" s="455"/>
      <c r="S94" s="454"/>
      <c r="T94" s="450"/>
      <c r="U94" s="455"/>
      <c r="V94" s="455"/>
      <c r="W94" s="455"/>
      <c r="X94" s="454"/>
      <c r="Y94" s="455"/>
      <c r="Z94" s="291"/>
      <c r="AA94" s="544">
        <v>83</v>
      </c>
      <c r="AB94" s="454"/>
      <c r="AF94" s="13">
        <f t="shared" si="2"/>
        <v>1</v>
      </c>
    </row>
    <row r="95" spans="1:32" ht="18.75">
      <c r="A95" s="652">
        <v>86</v>
      </c>
      <c r="B95" s="958" t="s">
        <v>373</v>
      </c>
      <c r="C95" s="958"/>
      <c r="D95" s="456"/>
      <c r="E95" s="456" t="s">
        <v>373</v>
      </c>
      <c r="F95" s="439"/>
      <c r="G95" s="439"/>
      <c r="H95" s="439"/>
      <c r="I95" s="439"/>
      <c r="J95" s="440"/>
      <c r="K95" s="439"/>
      <c r="L95" s="440"/>
      <c r="M95" s="448"/>
      <c r="N95" s="439"/>
      <c r="O95" s="439"/>
      <c r="P95" s="439"/>
      <c r="Q95" s="440"/>
      <c r="R95" s="439"/>
      <c r="S95" s="440"/>
      <c r="T95" s="450"/>
      <c r="U95" s="439"/>
      <c r="V95" s="439"/>
      <c r="W95" s="439"/>
      <c r="X95" s="440"/>
      <c r="Y95" s="439"/>
      <c r="Z95" s="341"/>
      <c r="AA95" s="544">
        <v>84</v>
      </c>
      <c r="AB95" s="545"/>
      <c r="AF95" s="13">
        <f t="shared" si="2"/>
        <v>1</v>
      </c>
    </row>
    <row r="96" spans="1:32">
      <c r="A96" s="652">
        <v>87</v>
      </c>
      <c r="B96" s="958" t="s">
        <v>373</v>
      </c>
      <c r="C96" s="958"/>
      <c r="D96" s="979" t="str">
        <f>VLOOKUP($A96,'Pre-Assessment Estimator'!$A$10:$Z$227,D$2,FALSE)</f>
        <v>Tra 01</v>
      </c>
      <c r="E96" s="979" t="str">
        <f>VLOOKUP($A96,'Pre-Assessment Estimator'!$A$10:$Z$227,E$2,FALSE)</f>
        <v>Tra 01 Transport assessment and travel plan</v>
      </c>
      <c r="F96" s="443">
        <f>VLOOKUP($A96,'Pre-Assessment Estimator'!$A$10:$Z$227,F$2,FALSE)</f>
        <v>3</v>
      </c>
      <c r="G96" s="449" t="str">
        <f>IF(VLOOKUP($A96,'Pre-Assessment Estimator'!$A$10:$Z$227,G$2,FALSE)=0,"",VLOOKUP($A96,'Pre-Assessment Estimator'!$A$10:$Z$227,G$2,FALSE))</f>
        <v/>
      </c>
      <c r="H96" s="948" t="str">
        <f>VLOOKUP($A96,'Pre-Assessment Estimator'!$A$10:$Z$227,H$2,FALSE)</f>
        <v>0 c. 0 %</v>
      </c>
      <c r="I96" s="445" t="str">
        <f>VLOOKUP($A96,'Pre-Assessment Estimator'!$A$10:$Z$227,I$2,FALSE)</f>
        <v>N/A</v>
      </c>
      <c r="J96" s="446" t="str">
        <f>IF(VLOOKUP($A96,'Pre-Assessment Estimator'!$A$10:$Z$227,J$2,FALSE)=0,"",VLOOKUP($A96,'Pre-Assessment Estimator'!$A$10:$Z$227,J$2,FALSE))</f>
        <v/>
      </c>
      <c r="K96" s="446" t="str">
        <f>IF(VLOOKUP($A96,'Pre-Assessment Estimator'!$A$10:$Z$227,K$2,FALSE)=0,"",VLOOKUP($A96,'Pre-Assessment Estimator'!$A$10:$Z$227,K$2,FALSE))</f>
        <v/>
      </c>
      <c r="L96" s="447" t="str">
        <f>IF(VLOOKUP($A96,'Pre-Assessment Estimator'!$A$10:$Z$227,L$2,FALSE)=0,"",VLOOKUP($A96,'Pre-Assessment Estimator'!$A$10:$Z$227,L$2,FALSE))</f>
        <v/>
      </c>
      <c r="M96" s="448"/>
      <c r="N96" s="449" t="str">
        <f>IF(VLOOKUP($A96,'Pre-Assessment Estimator'!$A$10:$Z$227,N$2,FALSE)=0,"",VLOOKUP($A96,'Pre-Assessment Estimator'!$A$10:$Z$227,N$2,FALSE))</f>
        <v/>
      </c>
      <c r="O96" s="444" t="str">
        <f>VLOOKUP($A96,'Pre-Assessment Estimator'!$A$10:$Z$227,O$2,FALSE)</f>
        <v>0 c. 0 %</v>
      </c>
      <c r="P96" s="443" t="str">
        <f>VLOOKUP($A96,'Pre-Assessment Estimator'!$A$10:$Z$227,P$2,FALSE)</f>
        <v>N/A</v>
      </c>
      <c r="Q96" s="446" t="str">
        <f>IF(VLOOKUP($A96,'Pre-Assessment Estimator'!$A$10:$Z$227,Q$2,FALSE)=0,"",VLOOKUP($A96,'Pre-Assessment Estimator'!$A$10:$Z$227,Q$2,FALSE))</f>
        <v/>
      </c>
      <c r="R96" s="446" t="str">
        <f>IF(VLOOKUP($A96,'Pre-Assessment Estimator'!$A$10:$Z$227,R$2,FALSE)=0,"",VLOOKUP($A96,'Pre-Assessment Estimator'!$A$10:$Z$227,R$2,FALSE))</f>
        <v/>
      </c>
      <c r="S96" s="447" t="str">
        <f>IF(VLOOKUP($A96,'Pre-Assessment Estimator'!$A$10:$Z$227,S$2,FALSE)=0,"",VLOOKUP($A96,'Pre-Assessment Estimator'!$A$10:$Z$227,S$2,FALSE))</f>
        <v/>
      </c>
      <c r="T96" s="450"/>
      <c r="U96" s="449" t="str">
        <f>IF(VLOOKUP($A96,'Pre-Assessment Estimator'!$A$10:$Z$227,U$2,FALSE)=0,"",VLOOKUP($A96,'Pre-Assessment Estimator'!$A$10:$Z$227,U$2,FALSE))</f>
        <v/>
      </c>
      <c r="V96" s="444" t="str">
        <f>VLOOKUP($A96,'Pre-Assessment Estimator'!$A$10:$Z$227,V$2,FALSE)</f>
        <v>0 c. 0 %</v>
      </c>
      <c r="W96" s="443" t="str">
        <f>VLOOKUP($A96,'Pre-Assessment Estimator'!$A$10:$Z$227,W$2,FALSE)</f>
        <v>N/A</v>
      </c>
      <c r="X96" s="446" t="str">
        <f>IF(VLOOKUP($A96,'Pre-Assessment Estimator'!$A$10:$Z$227,X$2,FALSE)=0,"",VLOOKUP($A96,'Pre-Assessment Estimator'!$A$10:$Z$227,X$2,FALSE))</f>
        <v/>
      </c>
      <c r="Y96" s="446" t="str">
        <f>IF(VLOOKUP($A96,'Pre-Assessment Estimator'!$A$10:$Z$227,Y$2,FALSE)=0,"",VLOOKUP($A96,'Pre-Assessment Estimator'!$A$10:$Z$227,Y$2,FALSE))</f>
        <v/>
      </c>
      <c r="Z96" s="313" t="str">
        <f>IF(VLOOKUP($A96,'Pre-Assessment Estimator'!$A$10:$Z$227,Z$2,FALSE)=0,"",VLOOKUP($A96,'Pre-Assessment Estimator'!$A$10:$Z$227,Z$2,FALSE))</f>
        <v/>
      </c>
      <c r="AA96" s="544">
        <v>85</v>
      </c>
      <c r="AB96" s="446" t="str">
        <f>IF(VLOOKUP($A96,'Pre-Assessment Estimator'!$A$10:$AB$227,AB$2,FALSE)=0,"",VLOOKUP($A96,'Pre-Assessment Estimator'!$A$10:$AB$227,AB$2,FALSE))</f>
        <v/>
      </c>
      <c r="AF96" s="13">
        <f t="shared" si="2"/>
        <v>1</v>
      </c>
    </row>
    <row r="97" spans="1:32">
      <c r="A97" s="652">
        <v>88</v>
      </c>
      <c r="B97" s="958" t="s">
        <v>373</v>
      </c>
      <c r="C97" s="958"/>
      <c r="D97" s="980" t="str">
        <f>VLOOKUP($A97,'Pre-Assessment Estimator'!$A$10:$Z$227,D$2,FALSE)</f>
        <v>Tra 01</v>
      </c>
      <c r="E97" s="981" t="str">
        <f>VLOOKUP($A97,'Pre-Assessment Estimator'!$A$10:$Z$227,E$2,FALSE)</f>
        <v xml:space="preserve">Transport assessment and travel plan </v>
      </c>
      <c r="F97" s="443">
        <f>VLOOKUP($A97,'Pre-Assessment Estimator'!$A$10:$Z$227,F$2,FALSE)</f>
        <v>2</v>
      </c>
      <c r="G97" s="449" t="str">
        <f>IF(VLOOKUP($A97,'Pre-Assessment Estimator'!$A$10:$Z$227,G$2,FALSE)=0,"",VLOOKUP($A97,'Pre-Assessment Estimator'!$A$10:$Z$227,G$2,FALSE))</f>
        <v/>
      </c>
      <c r="H97" s="948">
        <f>VLOOKUP($A97,'Pre-Assessment Estimator'!$A$10:$Z$227,H$2,FALSE)</f>
        <v>0</v>
      </c>
      <c r="I97" s="445" t="str">
        <f>VLOOKUP($A97,'Pre-Assessment Estimator'!$A$10:$Z$227,I$2,FALSE)</f>
        <v>N/A</v>
      </c>
      <c r="J97" s="446" t="str">
        <f>IF(VLOOKUP($A97,'Pre-Assessment Estimator'!$A$10:$Z$227,J$2,FALSE)=0,"",VLOOKUP($A97,'Pre-Assessment Estimator'!$A$10:$Z$227,J$2,FALSE))</f>
        <v/>
      </c>
      <c r="K97" s="446" t="str">
        <f>IF(VLOOKUP($A97,'Pre-Assessment Estimator'!$A$10:$Z$227,K$2,FALSE)=0,"",VLOOKUP($A97,'Pre-Assessment Estimator'!$A$10:$Z$227,K$2,FALSE))</f>
        <v/>
      </c>
      <c r="L97" s="447" t="str">
        <f>IF(VLOOKUP($A97,'Pre-Assessment Estimator'!$A$10:$Z$227,L$2,FALSE)=0,"",VLOOKUP($A97,'Pre-Assessment Estimator'!$A$10:$Z$227,L$2,FALSE))</f>
        <v/>
      </c>
      <c r="M97" s="448"/>
      <c r="N97" s="449" t="str">
        <f>IF(VLOOKUP($A97,'Pre-Assessment Estimator'!$A$10:$Z$227,N$2,FALSE)=0,"",VLOOKUP($A97,'Pre-Assessment Estimator'!$A$10:$Z$227,N$2,FALSE))</f>
        <v/>
      </c>
      <c r="O97" s="444">
        <f>VLOOKUP($A97,'Pre-Assessment Estimator'!$A$10:$Z$227,O$2,FALSE)</f>
        <v>0</v>
      </c>
      <c r="P97" s="443" t="str">
        <f>VLOOKUP($A97,'Pre-Assessment Estimator'!$A$10:$Z$227,P$2,FALSE)</f>
        <v>N/A</v>
      </c>
      <c r="Q97" s="446" t="str">
        <f>IF(VLOOKUP($A97,'Pre-Assessment Estimator'!$A$10:$Z$227,Q$2,FALSE)=0,"",VLOOKUP($A97,'Pre-Assessment Estimator'!$A$10:$Z$227,Q$2,FALSE))</f>
        <v/>
      </c>
      <c r="R97" s="446" t="str">
        <f>IF(VLOOKUP($A97,'Pre-Assessment Estimator'!$A$10:$Z$227,R$2,FALSE)=0,"",VLOOKUP($A97,'Pre-Assessment Estimator'!$A$10:$Z$227,R$2,FALSE))</f>
        <v/>
      </c>
      <c r="S97" s="447" t="str">
        <f>IF(VLOOKUP($A97,'Pre-Assessment Estimator'!$A$10:$Z$227,S$2,FALSE)=0,"",VLOOKUP($A97,'Pre-Assessment Estimator'!$A$10:$Z$227,S$2,FALSE))</f>
        <v/>
      </c>
      <c r="T97" s="450"/>
      <c r="U97" s="449" t="str">
        <f>IF(VLOOKUP($A97,'Pre-Assessment Estimator'!$A$10:$Z$227,U$2,FALSE)=0,"",VLOOKUP($A97,'Pre-Assessment Estimator'!$A$10:$Z$227,U$2,FALSE))</f>
        <v/>
      </c>
      <c r="V97" s="444">
        <f>VLOOKUP($A97,'Pre-Assessment Estimator'!$A$10:$Z$227,V$2,FALSE)</f>
        <v>0</v>
      </c>
      <c r="W97" s="443" t="str">
        <f>VLOOKUP($A97,'Pre-Assessment Estimator'!$A$10:$Z$227,W$2,FALSE)</f>
        <v>N/A</v>
      </c>
      <c r="X97" s="446" t="str">
        <f>IF(VLOOKUP($A97,'Pre-Assessment Estimator'!$A$10:$Z$227,X$2,FALSE)=0,"",VLOOKUP($A97,'Pre-Assessment Estimator'!$A$10:$Z$227,X$2,FALSE))</f>
        <v/>
      </c>
      <c r="Y97" s="446" t="str">
        <f>IF(VLOOKUP($A97,'Pre-Assessment Estimator'!$A$10:$Z$227,Y$2,FALSE)=0,"",VLOOKUP($A97,'Pre-Assessment Estimator'!$A$10:$Z$227,Y$2,FALSE))</f>
        <v/>
      </c>
      <c r="Z97" s="313" t="str">
        <f>IF(VLOOKUP($A97,'Pre-Assessment Estimator'!$A$10:$Z$227,Z$2,FALSE)=0,"",VLOOKUP($A97,'Pre-Assessment Estimator'!$A$10:$Z$227,Z$2,FALSE))</f>
        <v/>
      </c>
      <c r="AA97" s="544">
        <v>86</v>
      </c>
      <c r="AB97" s="446" t="str">
        <f>IF(VLOOKUP($A97,'Pre-Assessment Estimator'!$A$10:$AB$227,AB$2,FALSE)=0,"",VLOOKUP($A97,'Pre-Assessment Estimator'!$A$10:$AB$227,AB$2,FALSE))</f>
        <v/>
      </c>
      <c r="AF97" s="13">
        <f t="shared" si="2"/>
        <v>1</v>
      </c>
    </row>
    <row r="98" spans="1:32">
      <c r="A98" s="652">
        <v>89</v>
      </c>
      <c r="B98" s="958" t="s">
        <v>373</v>
      </c>
      <c r="C98" s="958"/>
      <c r="D98" s="980" t="str">
        <f>VLOOKUP($A98,'Pre-Assessment Estimator'!$A$10:$Z$227,D$2,FALSE)</f>
        <v>Tra 01</v>
      </c>
      <c r="E98" s="981" t="str">
        <f>VLOOKUP($A98,'Pre-Assessment Estimator'!$A$10:$Z$227,E$2,FALSE)</f>
        <v xml:space="preserve">Travel plan emissions evaluation </v>
      </c>
      <c r="F98" s="443">
        <f>VLOOKUP($A98,'Pre-Assessment Estimator'!$A$10:$Z$227,F$2,FALSE)</f>
        <v>1</v>
      </c>
      <c r="G98" s="449" t="str">
        <f>IF(VLOOKUP($A98,'Pre-Assessment Estimator'!$A$10:$Z$227,G$2,FALSE)=0,"",VLOOKUP($A98,'Pre-Assessment Estimator'!$A$10:$Z$227,G$2,FALSE))</f>
        <v/>
      </c>
      <c r="H98" s="948">
        <f>VLOOKUP($A98,'Pre-Assessment Estimator'!$A$10:$Z$227,H$2,FALSE)</f>
        <v>0</v>
      </c>
      <c r="I98" s="445" t="str">
        <f>VLOOKUP($A98,'Pre-Assessment Estimator'!$A$10:$Z$227,I$2,FALSE)</f>
        <v>Very Good</v>
      </c>
      <c r="J98" s="446" t="str">
        <f>IF(VLOOKUP($A98,'Pre-Assessment Estimator'!$A$10:$Z$227,J$2,FALSE)=0,"",VLOOKUP($A98,'Pre-Assessment Estimator'!$A$10:$Z$227,J$2,FALSE))</f>
        <v/>
      </c>
      <c r="K98" s="446" t="str">
        <f>IF(VLOOKUP($A98,'Pre-Assessment Estimator'!$A$10:$Z$227,K$2,FALSE)=0,"",VLOOKUP($A98,'Pre-Assessment Estimator'!$A$10:$Z$227,K$2,FALSE))</f>
        <v/>
      </c>
      <c r="L98" s="447" t="str">
        <f>IF(VLOOKUP($A98,'Pre-Assessment Estimator'!$A$10:$Z$227,L$2,FALSE)=0,"",VLOOKUP($A98,'Pre-Assessment Estimator'!$A$10:$Z$227,L$2,FALSE))</f>
        <v/>
      </c>
      <c r="M98" s="448"/>
      <c r="N98" s="449" t="str">
        <f>IF(VLOOKUP($A98,'Pre-Assessment Estimator'!$A$10:$Z$227,N$2,FALSE)=0,"",VLOOKUP($A98,'Pre-Assessment Estimator'!$A$10:$Z$227,N$2,FALSE))</f>
        <v/>
      </c>
      <c r="O98" s="444">
        <f>VLOOKUP($A98,'Pre-Assessment Estimator'!$A$10:$Z$227,O$2,FALSE)</f>
        <v>0</v>
      </c>
      <c r="P98" s="443" t="str">
        <f>VLOOKUP($A98,'Pre-Assessment Estimator'!$A$10:$Z$227,P$2,FALSE)</f>
        <v>Very Good</v>
      </c>
      <c r="Q98" s="446" t="str">
        <f>IF(VLOOKUP($A98,'Pre-Assessment Estimator'!$A$10:$Z$227,Q$2,FALSE)=0,"",VLOOKUP($A98,'Pre-Assessment Estimator'!$A$10:$Z$227,Q$2,FALSE))</f>
        <v/>
      </c>
      <c r="R98" s="446" t="str">
        <f>IF(VLOOKUP($A98,'Pre-Assessment Estimator'!$A$10:$Z$227,R$2,FALSE)=0,"",VLOOKUP($A98,'Pre-Assessment Estimator'!$A$10:$Z$227,R$2,FALSE))</f>
        <v/>
      </c>
      <c r="S98" s="447" t="str">
        <f>IF(VLOOKUP($A98,'Pre-Assessment Estimator'!$A$10:$Z$227,S$2,FALSE)=0,"",VLOOKUP($A98,'Pre-Assessment Estimator'!$A$10:$Z$227,S$2,FALSE))</f>
        <v/>
      </c>
      <c r="T98" s="450"/>
      <c r="U98" s="449" t="str">
        <f>IF(VLOOKUP($A98,'Pre-Assessment Estimator'!$A$10:$Z$227,U$2,FALSE)=0,"",VLOOKUP($A98,'Pre-Assessment Estimator'!$A$10:$Z$227,U$2,FALSE))</f>
        <v/>
      </c>
      <c r="V98" s="444">
        <f>VLOOKUP($A98,'Pre-Assessment Estimator'!$A$10:$Z$227,V$2,FALSE)</f>
        <v>0</v>
      </c>
      <c r="W98" s="443" t="str">
        <f>VLOOKUP($A98,'Pre-Assessment Estimator'!$A$10:$Z$227,W$2,FALSE)</f>
        <v>Very Good</v>
      </c>
      <c r="X98" s="446" t="str">
        <f>IF(VLOOKUP($A98,'Pre-Assessment Estimator'!$A$10:$Z$227,X$2,FALSE)=0,"",VLOOKUP($A98,'Pre-Assessment Estimator'!$A$10:$Z$227,X$2,FALSE))</f>
        <v/>
      </c>
      <c r="Y98" s="446" t="str">
        <f>IF(VLOOKUP($A98,'Pre-Assessment Estimator'!$A$10:$Z$227,Y$2,FALSE)=0,"",VLOOKUP($A98,'Pre-Assessment Estimator'!$A$10:$Z$227,Y$2,FALSE))</f>
        <v/>
      </c>
      <c r="Z98" s="313" t="str">
        <f>IF(VLOOKUP($A98,'Pre-Assessment Estimator'!$A$10:$Z$227,Z$2,FALSE)=0,"",VLOOKUP($A98,'Pre-Assessment Estimator'!$A$10:$Z$227,Z$2,FALSE))</f>
        <v/>
      </c>
      <c r="AA98" s="544">
        <v>87</v>
      </c>
      <c r="AB98" s="446" t="str">
        <f>IF(VLOOKUP($A98,'Pre-Assessment Estimator'!$A$10:$AB$227,AB$2,FALSE)=0,"",VLOOKUP($A98,'Pre-Assessment Estimator'!$A$10:$AB$227,AB$2,FALSE))</f>
        <v/>
      </c>
      <c r="AF98" s="13">
        <f t="shared" si="2"/>
        <v>1</v>
      </c>
    </row>
    <row r="99" spans="1:32">
      <c r="A99" s="652">
        <v>90</v>
      </c>
      <c r="B99" s="958" t="s">
        <v>373</v>
      </c>
      <c r="C99" s="958"/>
      <c r="D99" s="979" t="str">
        <f>VLOOKUP($A99,'Pre-Assessment Estimator'!$A$10:$Z$227,D$2,FALSE)</f>
        <v>Tra 02</v>
      </c>
      <c r="E99" s="979" t="str">
        <f>VLOOKUP($A99,'Pre-Assessment Estimator'!$A$10:$Z$227,E$2,FALSE)</f>
        <v>Tra 02 Sustainable transport measures</v>
      </c>
      <c r="F99" s="443">
        <f>VLOOKUP($A99,'Pre-Assessment Estimator'!$A$10:$Z$227,F$2,FALSE)</f>
        <v>10</v>
      </c>
      <c r="G99" s="449" t="str">
        <f>IF(VLOOKUP($A99,'Pre-Assessment Estimator'!$A$10:$Z$227,G$2,FALSE)=0,"",VLOOKUP($A99,'Pre-Assessment Estimator'!$A$10:$Z$227,G$2,FALSE))</f>
        <v/>
      </c>
      <c r="H99" s="948" t="str">
        <f>VLOOKUP($A99,'Pre-Assessment Estimator'!$A$10:$Z$227,H$2,FALSE)</f>
        <v>0 c. 0 %</v>
      </c>
      <c r="I99" s="445" t="str">
        <f>VLOOKUP($A99,'Pre-Assessment Estimator'!$A$10:$Z$227,I$2,FALSE)</f>
        <v>N/A</v>
      </c>
      <c r="J99" s="446" t="str">
        <f>IF(VLOOKUP($A99,'Pre-Assessment Estimator'!$A$10:$Z$227,J$2,FALSE)=0,"",VLOOKUP($A99,'Pre-Assessment Estimator'!$A$10:$Z$227,J$2,FALSE))</f>
        <v/>
      </c>
      <c r="K99" s="446" t="str">
        <f>IF(VLOOKUP($A99,'Pre-Assessment Estimator'!$A$10:$Z$227,K$2,FALSE)=0,"",VLOOKUP($A99,'Pre-Assessment Estimator'!$A$10:$Z$227,K$2,FALSE))</f>
        <v/>
      </c>
      <c r="L99" s="447" t="str">
        <f>IF(VLOOKUP($A99,'Pre-Assessment Estimator'!$A$10:$Z$227,L$2,FALSE)=0,"",VLOOKUP($A99,'Pre-Assessment Estimator'!$A$10:$Z$227,L$2,FALSE))</f>
        <v/>
      </c>
      <c r="M99" s="448"/>
      <c r="N99" s="449" t="str">
        <f>IF(VLOOKUP($A99,'Pre-Assessment Estimator'!$A$10:$Z$227,N$2,FALSE)=0,"",VLOOKUP($A99,'Pre-Assessment Estimator'!$A$10:$Z$227,N$2,FALSE))</f>
        <v/>
      </c>
      <c r="O99" s="444" t="str">
        <f>VLOOKUP($A99,'Pre-Assessment Estimator'!$A$10:$Z$227,O$2,FALSE)</f>
        <v>0 c. 0 %</v>
      </c>
      <c r="P99" s="443" t="str">
        <f>VLOOKUP($A99,'Pre-Assessment Estimator'!$A$10:$Z$227,P$2,FALSE)</f>
        <v>N/A</v>
      </c>
      <c r="Q99" s="446" t="str">
        <f>IF(VLOOKUP($A99,'Pre-Assessment Estimator'!$A$10:$Z$227,Q$2,FALSE)=0,"",VLOOKUP($A99,'Pre-Assessment Estimator'!$A$10:$Z$227,Q$2,FALSE))</f>
        <v/>
      </c>
      <c r="R99" s="446" t="str">
        <f>IF(VLOOKUP($A99,'Pre-Assessment Estimator'!$A$10:$Z$227,R$2,FALSE)=0,"",VLOOKUP($A99,'Pre-Assessment Estimator'!$A$10:$Z$227,R$2,FALSE))</f>
        <v/>
      </c>
      <c r="S99" s="447" t="str">
        <f>IF(VLOOKUP($A99,'Pre-Assessment Estimator'!$A$10:$Z$227,S$2,FALSE)=0,"",VLOOKUP($A99,'Pre-Assessment Estimator'!$A$10:$Z$227,S$2,FALSE))</f>
        <v/>
      </c>
      <c r="T99" s="450"/>
      <c r="U99" s="449" t="str">
        <f>IF(VLOOKUP($A99,'Pre-Assessment Estimator'!$A$10:$Z$227,U$2,FALSE)=0,"",VLOOKUP($A99,'Pre-Assessment Estimator'!$A$10:$Z$227,U$2,FALSE))</f>
        <v/>
      </c>
      <c r="V99" s="444" t="str">
        <f>VLOOKUP($A99,'Pre-Assessment Estimator'!$A$10:$Z$227,V$2,FALSE)</f>
        <v>0 c. 0 %</v>
      </c>
      <c r="W99" s="443" t="str">
        <f>VLOOKUP($A99,'Pre-Assessment Estimator'!$A$10:$Z$227,W$2,FALSE)</f>
        <v>N/A</v>
      </c>
      <c r="X99" s="446" t="str">
        <f>IF(VLOOKUP($A99,'Pre-Assessment Estimator'!$A$10:$Z$227,X$2,FALSE)=0,"",VLOOKUP($A99,'Pre-Assessment Estimator'!$A$10:$Z$227,X$2,FALSE))</f>
        <v/>
      </c>
      <c r="Y99" s="446" t="str">
        <f>IF(VLOOKUP($A99,'Pre-Assessment Estimator'!$A$10:$Z$227,Y$2,FALSE)=0,"",VLOOKUP($A99,'Pre-Assessment Estimator'!$A$10:$Z$227,Y$2,FALSE))</f>
        <v/>
      </c>
      <c r="Z99" s="313" t="str">
        <f>IF(VLOOKUP($A99,'Pre-Assessment Estimator'!$A$10:$Z$227,Z$2,FALSE)=0,"",VLOOKUP($A99,'Pre-Assessment Estimator'!$A$10:$Z$227,Z$2,FALSE))</f>
        <v/>
      </c>
      <c r="AA99" s="544">
        <v>88</v>
      </c>
      <c r="AB99" s="446" t="str">
        <f>IF(VLOOKUP($A99,'Pre-Assessment Estimator'!$A$10:$AB$227,AB$2,FALSE)=0,"",VLOOKUP($A99,'Pre-Assessment Estimator'!$A$10:$AB$227,AB$2,FALSE))</f>
        <v/>
      </c>
      <c r="AF99" s="13">
        <f t="shared" si="2"/>
        <v>1</v>
      </c>
    </row>
    <row r="100" spans="1:32">
      <c r="A100" s="652">
        <v>91</v>
      </c>
      <c r="B100" s="958" t="s">
        <v>373</v>
      </c>
      <c r="C100" s="958"/>
      <c r="D100" s="980" t="str">
        <f>VLOOKUP($A100,'Pre-Assessment Estimator'!$A$10:$Z$227,D$2,FALSE)</f>
        <v>Tra 02</v>
      </c>
      <c r="E100" s="981" t="str">
        <f>VLOOKUP($A100,'Pre-Assessment Estimator'!$A$10:$Z$227,E$2,FALSE)</f>
        <v>Pre-requisite: transport assessment and travel plan</v>
      </c>
      <c r="F100" s="443" t="str">
        <f>VLOOKUP($A100,'Pre-Assessment Estimator'!$A$10:$Z$227,F$2,FALSE)</f>
        <v>Yes/No</v>
      </c>
      <c r="G100" s="449" t="str">
        <f>IF(VLOOKUP($A100,'Pre-Assessment Estimator'!$A$10:$Z$227,G$2,FALSE)=0,"",VLOOKUP($A100,'Pre-Assessment Estimator'!$A$10:$Z$227,G$2,FALSE))</f>
        <v/>
      </c>
      <c r="H100" s="948" t="str">
        <f>VLOOKUP($A100,'Pre-Assessment Estimator'!$A$10:$Z$227,H$2,FALSE)</f>
        <v>-</v>
      </c>
      <c r="I100" s="445" t="str">
        <f>VLOOKUP($A100,'Pre-Assessment Estimator'!$A$10:$Z$227,I$2,FALSE)</f>
        <v>N/A</v>
      </c>
      <c r="J100" s="446" t="str">
        <f>IF(VLOOKUP($A100,'Pre-Assessment Estimator'!$A$10:$Z$227,J$2,FALSE)=0,"",VLOOKUP($A100,'Pre-Assessment Estimator'!$A$10:$Z$227,J$2,FALSE))</f>
        <v/>
      </c>
      <c r="K100" s="446" t="str">
        <f>IF(VLOOKUP($A100,'Pre-Assessment Estimator'!$A$10:$Z$227,K$2,FALSE)=0,"",VLOOKUP($A100,'Pre-Assessment Estimator'!$A$10:$Z$227,K$2,FALSE))</f>
        <v/>
      </c>
      <c r="L100" s="447" t="str">
        <f>IF(VLOOKUP($A100,'Pre-Assessment Estimator'!$A$10:$Z$227,L$2,FALSE)=0,"",VLOOKUP($A100,'Pre-Assessment Estimator'!$A$10:$Z$227,L$2,FALSE))</f>
        <v/>
      </c>
      <c r="M100" s="448"/>
      <c r="N100" s="449" t="str">
        <f>IF(VLOOKUP($A100,'Pre-Assessment Estimator'!$A$10:$Z$227,N$2,FALSE)=0,"",VLOOKUP($A100,'Pre-Assessment Estimator'!$A$10:$Z$227,N$2,FALSE))</f>
        <v/>
      </c>
      <c r="O100" s="444" t="str">
        <f>VLOOKUP($A100,'Pre-Assessment Estimator'!$A$10:$Z$227,O$2,FALSE)</f>
        <v>-</v>
      </c>
      <c r="P100" s="443" t="str">
        <f>VLOOKUP($A100,'Pre-Assessment Estimator'!$A$10:$Z$227,P$2,FALSE)</f>
        <v>N/A</v>
      </c>
      <c r="Q100" s="446" t="str">
        <f>IF(VLOOKUP($A100,'Pre-Assessment Estimator'!$A$10:$Z$227,Q$2,FALSE)=0,"",VLOOKUP($A100,'Pre-Assessment Estimator'!$A$10:$Z$227,Q$2,FALSE))</f>
        <v/>
      </c>
      <c r="R100" s="446" t="str">
        <f>IF(VLOOKUP($A100,'Pre-Assessment Estimator'!$A$10:$Z$227,R$2,FALSE)=0,"",VLOOKUP($A100,'Pre-Assessment Estimator'!$A$10:$Z$227,R$2,FALSE))</f>
        <v/>
      </c>
      <c r="S100" s="447" t="str">
        <f>IF(VLOOKUP($A100,'Pre-Assessment Estimator'!$A$10:$Z$227,S$2,FALSE)=0,"",VLOOKUP($A100,'Pre-Assessment Estimator'!$A$10:$Z$227,S$2,FALSE))</f>
        <v/>
      </c>
      <c r="T100" s="450"/>
      <c r="U100" s="449" t="str">
        <f>IF(VLOOKUP($A100,'Pre-Assessment Estimator'!$A$10:$Z$227,U$2,FALSE)=0,"",VLOOKUP($A100,'Pre-Assessment Estimator'!$A$10:$Z$227,U$2,FALSE))</f>
        <v/>
      </c>
      <c r="V100" s="444" t="str">
        <f>VLOOKUP($A100,'Pre-Assessment Estimator'!$A$10:$Z$227,V$2,FALSE)</f>
        <v>-</v>
      </c>
      <c r="W100" s="443" t="str">
        <f>VLOOKUP($A100,'Pre-Assessment Estimator'!$A$10:$Z$227,W$2,FALSE)</f>
        <v>N/A</v>
      </c>
      <c r="X100" s="446" t="str">
        <f>IF(VLOOKUP($A100,'Pre-Assessment Estimator'!$A$10:$Z$227,X$2,FALSE)=0,"",VLOOKUP($A100,'Pre-Assessment Estimator'!$A$10:$Z$227,X$2,FALSE))</f>
        <v/>
      </c>
      <c r="Y100" s="446" t="str">
        <f>IF(VLOOKUP($A100,'Pre-Assessment Estimator'!$A$10:$Z$227,Y$2,FALSE)=0,"",VLOOKUP($A100,'Pre-Assessment Estimator'!$A$10:$Z$227,Y$2,FALSE))</f>
        <v/>
      </c>
      <c r="Z100" s="313" t="str">
        <f>IF(VLOOKUP($A100,'Pre-Assessment Estimator'!$A$10:$Z$227,Z$2,FALSE)=0,"",VLOOKUP($A100,'Pre-Assessment Estimator'!$A$10:$Z$227,Z$2,FALSE))</f>
        <v/>
      </c>
      <c r="AA100" s="544">
        <v>89</v>
      </c>
      <c r="AB100" s="446" t="str">
        <f>IF(VLOOKUP($A100,'Pre-Assessment Estimator'!$A$10:$AB$227,AB$2,FALSE)=0,"",VLOOKUP($A100,'Pre-Assessment Estimator'!$A$10:$AB$227,AB$2,FALSE))</f>
        <v/>
      </c>
      <c r="AF100" s="13">
        <f t="shared" si="2"/>
        <v>1</v>
      </c>
    </row>
    <row r="101" spans="1:32">
      <c r="A101" s="652">
        <v>92</v>
      </c>
      <c r="B101" s="958" t="s">
        <v>373</v>
      </c>
      <c r="C101" s="958"/>
      <c r="D101" s="980" t="str">
        <f>VLOOKUP($A101,'Pre-Assessment Estimator'!$A$10:$Z$227,D$2,FALSE)</f>
        <v>Tra 02</v>
      </c>
      <c r="E101" s="981" t="str">
        <f>VLOOKUP($A101,'Pre-Assessment Estimator'!$A$10:$Z$227,E$2,FALSE)</f>
        <v xml:space="preserve">Transport options implementation </v>
      </c>
      <c r="F101" s="443">
        <f>VLOOKUP($A101,'Pre-Assessment Estimator'!$A$10:$Z$227,F$2,FALSE)</f>
        <v>10</v>
      </c>
      <c r="G101" s="449" t="str">
        <f>IF(VLOOKUP($A101,'Pre-Assessment Estimator'!$A$10:$Z$227,G$2,FALSE)=0,"",VLOOKUP($A101,'Pre-Assessment Estimator'!$A$10:$Z$227,G$2,FALSE))</f>
        <v/>
      </c>
      <c r="H101" s="948">
        <f>VLOOKUP($A101,'Pre-Assessment Estimator'!$A$10:$Z$227,H$2,FALSE)</f>
        <v>0</v>
      </c>
      <c r="I101" s="445" t="str">
        <f>VLOOKUP($A101,'Pre-Assessment Estimator'!$A$10:$Z$227,I$2,FALSE)</f>
        <v>N/A</v>
      </c>
      <c r="J101" s="446" t="str">
        <f>IF(VLOOKUP($A101,'Pre-Assessment Estimator'!$A$10:$Z$227,J$2,FALSE)=0,"",VLOOKUP($A101,'Pre-Assessment Estimator'!$A$10:$Z$227,J$2,FALSE))</f>
        <v/>
      </c>
      <c r="K101" s="446" t="str">
        <f>IF(VLOOKUP($A101,'Pre-Assessment Estimator'!$A$10:$Z$227,K$2,FALSE)=0,"",VLOOKUP($A101,'Pre-Assessment Estimator'!$A$10:$Z$227,K$2,FALSE))</f>
        <v/>
      </c>
      <c r="L101" s="447" t="str">
        <f>IF(VLOOKUP($A101,'Pre-Assessment Estimator'!$A$10:$Z$227,L$2,FALSE)=0,"",VLOOKUP($A101,'Pre-Assessment Estimator'!$A$10:$Z$227,L$2,FALSE))</f>
        <v/>
      </c>
      <c r="M101" s="448"/>
      <c r="N101" s="449" t="str">
        <f>IF(VLOOKUP($A101,'Pre-Assessment Estimator'!$A$10:$Z$227,N$2,FALSE)=0,"",VLOOKUP($A101,'Pre-Assessment Estimator'!$A$10:$Z$227,N$2,FALSE))</f>
        <v/>
      </c>
      <c r="O101" s="444">
        <f>VLOOKUP($A101,'Pre-Assessment Estimator'!$A$10:$Z$227,O$2,FALSE)</f>
        <v>0</v>
      </c>
      <c r="P101" s="443" t="str">
        <f>VLOOKUP($A101,'Pre-Assessment Estimator'!$A$10:$Z$227,P$2,FALSE)</f>
        <v>N/A</v>
      </c>
      <c r="Q101" s="446" t="str">
        <f>IF(VLOOKUP($A101,'Pre-Assessment Estimator'!$A$10:$Z$227,Q$2,FALSE)=0,"",VLOOKUP($A101,'Pre-Assessment Estimator'!$A$10:$Z$227,Q$2,FALSE))</f>
        <v/>
      </c>
      <c r="R101" s="446" t="str">
        <f>IF(VLOOKUP($A101,'Pre-Assessment Estimator'!$A$10:$Z$227,R$2,FALSE)=0,"",VLOOKUP($A101,'Pre-Assessment Estimator'!$A$10:$Z$227,R$2,FALSE))</f>
        <v/>
      </c>
      <c r="S101" s="447" t="str">
        <f>IF(VLOOKUP($A101,'Pre-Assessment Estimator'!$A$10:$Z$227,S$2,FALSE)=0,"",VLOOKUP($A101,'Pre-Assessment Estimator'!$A$10:$Z$227,S$2,FALSE))</f>
        <v/>
      </c>
      <c r="T101" s="450"/>
      <c r="U101" s="449" t="str">
        <f>IF(VLOOKUP($A101,'Pre-Assessment Estimator'!$A$10:$Z$227,U$2,FALSE)=0,"",VLOOKUP($A101,'Pre-Assessment Estimator'!$A$10:$Z$227,U$2,FALSE))</f>
        <v/>
      </c>
      <c r="V101" s="444">
        <f>VLOOKUP($A101,'Pre-Assessment Estimator'!$A$10:$Z$227,V$2,FALSE)</f>
        <v>0</v>
      </c>
      <c r="W101" s="443" t="str">
        <f>VLOOKUP($A101,'Pre-Assessment Estimator'!$A$10:$Z$227,W$2,FALSE)</f>
        <v>N/A</v>
      </c>
      <c r="X101" s="446" t="str">
        <f>IF(VLOOKUP($A101,'Pre-Assessment Estimator'!$A$10:$Z$227,X$2,FALSE)=0,"",VLOOKUP($A101,'Pre-Assessment Estimator'!$A$10:$Z$227,X$2,FALSE))</f>
        <v/>
      </c>
      <c r="Y101" s="446" t="str">
        <f>IF(VLOOKUP($A101,'Pre-Assessment Estimator'!$A$10:$Z$227,Y$2,FALSE)=0,"",VLOOKUP($A101,'Pre-Assessment Estimator'!$A$10:$Z$227,Y$2,FALSE))</f>
        <v/>
      </c>
      <c r="Z101" s="313" t="str">
        <f>IF(VLOOKUP($A101,'Pre-Assessment Estimator'!$A$10:$Z$227,Z$2,FALSE)=0,"",VLOOKUP($A101,'Pre-Assessment Estimator'!$A$10:$Z$227,Z$2,FALSE))</f>
        <v/>
      </c>
      <c r="AA101" s="544">
        <v>90</v>
      </c>
      <c r="AB101" s="446" t="str">
        <f>IF(VLOOKUP($A101,'Pre-Assessment Estimator'!$A$10:$AB$227,AB$2,FALSE)=0,"",VLOOKUP($A101,'Pre-Assessment Estimator'!$A$10:$AB$227,AB$2,FALSE))</f>
        <v/>
      </c>
      <c r="AF101" s="13">
        <f t="shared" si="2"/>
        <v>1</v>
      </c>
    </row>
    <row r="102" spans="1:32" ht="30" customHeight="1" thickBot="1">
      <c r="A102" s="652">
        <v>93</v>
      </c>
      <c r="B102" s="958" t="s">
        <v>373</v>
      </c>
      <c r="C102" s="958"/>
      <c r="D102" s="982"/>
      <c r="E102" s="982" t="str">
        <f>VLOOKUP($A102,'Pre-Assessment Estimator'!$A$10:$Z$227,E$2,FALSE)</f>
        <v>Total performance transport</v>
      </c>
      <c r="F102" s="451">
        <f>VLOOKUP($A102,'Pre-Assessment Estimator'!$A$10:$Z$227,F$2,FALSE)</f>
        <v>13</v>
      </c>
      <c r="G102" s="453" t="str">
        <f>IF(VLOOKUP($A102,'Pre-Assessment Estimator'!$A$10:$Z$227,G$2,FALSE)=0,"",VLOOKUP($A102,'Pre-Assessment Estimator'!$A$10:$Z$227,G$2,FALSE))</f>
        <v/>
      </c>
      <c r="H102" s="452">
        <f>VLOOKUP($A102,'Pre-Assessment Estimator'!$A$10:$Z$227,H$2,FALSE)</f>
        <v>0</v>
      </c>
      <c r="I102" s="451" t="str">
        <f>VLOOKUP($A102,'Pre-Assessment Estimator'!$A$10:$Z$227,I$2,FALSE)</f>
        <v>Credits achieved: 0</v>
      </c>
      <c r="J102" s="930" t="str">
        <f>IF(VLOOKUP($A102,'Pre-Assessment Estimator'!$A$10:$Z$227,J$2,FALSE)=0,"",VLOOKUP($A102,'Pre-Assessment Estimator'!$A$10:$Z$227,J$2,FALSE))</f>
        <v/>
      </c>
      <c r="K102" s="930" t="str">
        <f>IF(VLOOKUP($A102,'Pre-Assessment Estimator'!$A$10:$Z$227,K$2,FALSE)=0,"",VLOOKUP($A102,'Pre-Assessment Estimator'!$A$10:$Z$227,K$2,FALSE))</f>
        <v/>
      </c>
      <c r="L102" s="949" t="str">
        <f>IF(VLOOKUP($A102,'Pre-Assessment Estimator'!$A$10:$Z$227,L$2,FALSE)=0,"",VLOOKUP($A102,'Pre-Assessment Estimator'!$A$10:$Z$227,L$2,FALSE))</f>
        <v/>
      </c>
      <c r="M102" s="950"/>
      <c r="N102" s="453" t="str">
        <f>IF(VLOOKUP($A102,'Pre-Assessment Estimator'!$A$10:$Z$227,N$2,FALSE)=0,"",VLOOKUP($A102,'Pre-Assessment Estimator'!$A$10:$Z$227,N$2,FALSE))</f>
        <v/>
      </c>
      <c r="O102" s="452">
        <f>VLOOKUP($A102,'Pre-Assessment Estimator'!$A$10:$Z$227,O$2,FALSE)</f>
        <v>0</v>
      </c>
      <c r="P102" s="451" t="str">
        <f>VLOOKUP($A102,'Pre-Assessment Estimator'!$A$10:$Z$227,P$2,FALSE)</f>
        <v>Credits achieved: 0</v>
      </c>
      <c r="Q102" s="930" t="str">
        <f>IF(VLOOKUP($A102,'Pre-Assessment Estimator'!$A$10:$Z$227,Q$2,FALSE)=0,"",VLOOKUP($A102,'Pre-Assessment Estimator'!$A$10:$Z$227,Q$2,FALSE))</f>
        <v/>
      </c>
      <c r="R102" s="930" t="str">
        <f>IF(VLOOKUP($A102,'Pre-Assessment Estimator'!$A$10:$Z$227,R$2,FALSE)=0,"",VLOOKUP($A102,'Pre-Assessment Estimator'!$A$10:$Z$227,R$2,FALSE))</f>
        <v/>
      </c>
      <c r="S102" s="949" t="str">
        <f>IF(VLOOKUP($A102,'Pre-Assessment Estimator'!$A$10:$Z$227,S$2,FALSE)=0,"",VLOOKUP($A102,'Pre-Assessment Estimator'!$A$10:$Z$227,S$2,FALSE))</f>
        <v/>
      </c>
      <c r="T102" s="951"/>
      <c r="U102" s="453" t="str">
        <f>IF(VLOOKUP($A102,'Pre-Assessment Estimator'!$A$10:$Z$227,U$2,FALSE)=0,"",VLOOKUP($A102,'Pre-Assessment Estimator'!$A$10:$Z$227,U$2,FALSE))</f>
        <v/>
      </c>
      <c r="V102" s="452">
        <f>VLOOKUP($A102,'Pre-Assessment Estimator'!$A$10:$Z$227,V$2,FALSE)</f>
        <v>0</v>
      </c>
      <c r="W102" s="451" t="str">
        <f>VLOOKUP($A102,'Pre-Assessment Estimator'!$A$10:$Z$227,W$2,FALSE)</f>
        <v>Credits achieved: 0</v>
      </c>
      <c r="X102" s="930" t="str">
        <f>IF(VLOOKUP($A102,'Pre-Assessment Estimator'!$A$10:$Z$227,X$2,FALSE)=0,"",VLOOKUP($A102,'Pre-Assessment Estimator'!$A$10:$Z$227,X$2,FALSE))</f>
        <v/>
      </c>
      <c r="Y102" s="930" t="str">
        <f>IF(VLOOKUP($A102,'Pre-Assessment Estimator'!$A$10:$Z$227,Y$2,FALSE)=0,"",VLOOKUP($A102,'Pre-Assessment Estimator'!$A$10:$Z$227,Y$2,FALSE))</f>
        <v/>
      </c>
      <c r="Z102" s="952" t="str">
        <f>IF(VLOOKUP($A102,'Pre-Assessment Estimator'!$A$10:$Z$227,Z$2,FALSE)=0,"",VLOOKUP($A102,'Pre-Assessment Estimator'!$A$10:$Z$227,Z$2,FALSE))</f>
        <v/>
      </c>
      <c r="AA102" s="544">
        <v>91</v>
      </c>
      <c r="AB102" s="446" t="str">
        <f>IF(VLOOKUP($A102,'Pre-Assessment Estimator'!$A$10:$AB$227,AB$2,FALSE)=0,"",VLOOKUP($A102,'Pre-Assessment Estimator'!$A$10:$AB$227,AB$2,FALSE))</f>
        <v/>
      </c>
      <c r="AF102" s="13">
        <f t="shared" si="2"/>
        <v>1</v>
      </c>
    </row>
    <row r="103" spans="1:32">
      <c r="A103" s="652">
        <v>94</v>
      </c>
      <c r="B103" s="958" t="s">
        <v>373</v>
      </c>
      <c r="C103" s="958"/>
      <c r="D103" s="454"/>
      <c r="E103" s="454"/>
      <c r="F103" s="455"/>
      <c r="G103" s="455"/>
      <c r="H103" s="455"/>
      <c r="I103" s="455"/>
      <c r="J103" s="454"/>
      <c r="K103" s="455"/>
      <c r="L103" s="454"/>
      <c r="M103" s="448"/>
      <c r="N103" s="455"/>
      <c r="O103" s="455"/>
      <c r="P103" s="455"/>
      <c r="Q103" s="454"/>
      <c r="R103" s="455"/>
      <c r="S103" s="454"/>
      <c r="T103" s="450"/>
      <c r="U103" s="455"/>
      <c r="V103" s="455"/>
      <c r="W103" s="455"/>
      <c r="X103" s="454"/>
      <c r="Y103" s="455"/>
      <c r="Z103" s="291"/>
      <c r="AA103" s="544">
        <v>92</v>
      </c>
      <c r="AB103" s="454"/>
      <c r="AF103" s="13">
        <f t="shared" si="2"/>
        <v>1</v>
      </c>
    </row>
    <row r="104" spans="1:32" ht="18.75">
      <c r="A104" s="652">
        <v>95</v>
      </c>
      <c r="B104" s="652" t="s">
        <v>385</v>
      </c>
      <c r="C104" s="652"/>
      <c r="D104" s="456"/>
      <c r="E104" s="456" t="s">
        <v>385</v>
      </c>
      <c r="F104" s="439"/>
      <c r="G104" s="439"/>
      <c r="H104" s="439"/>
      <c r="I104" s="439"/>
      <c r="J104" s="440"/>
      <c r="K104" s="439"/>
      <c r="L104" s="440"/>
      <c r="M104" s="448"/>
      <c r="N104" s="439"/>
      <c r="O104" s="439"/>
      <c r="P104" s="439"/>
      <c r="Q104" s="440"/>
      <c r="R104" s="439"/>
      <c r="S104" s="440"/>
      <c r="T104" s="450"/>
      <c r="U104" s="439"/>
      <c r="V104" s="439"/>
      <c r="W104" s="439"/>
      <c r="X104" s="440"/>
      <c r="Y104" s="439"/>
      <c r="Z104" s="341"/>
      <c r="AA104" s="544">
        <v>93</v>
      </c>
      <c r="AB104" s="545"/>
      <c r="AF104" s="13">
        <f t="shared" si="2"/>
        <v>1</v>
      </c>
    </row>
    <row r="105" spans="1:32">
      <c r="A105" s="652">
        <v>96</v>
      </c>
      <c r="B105" s="958" t="s">
        <v>385</v>
      </c>
      <c r="C105" s="958"/>
      <c r="D105" s="979" t="str">
        <f>VLOOKUP($A105,'Pre-Assessment Estimator'!$A$10:$Z$227,D$2,FALSE)</f>
        <v>Wat 01</v>
      </c>
      <c r="E105" s="979" t="str">
        <f>VLOOKUP($A105,'Pre-Assessment Estimator'!$A$10:$Z$227,E$2,FALSE)</f>
        <v>Wat 01 Water consumption</v>
      </c>
      <c r="F105" s="443">
        <f>VLOOKUP($A105,'Pre-Assessment Estimator'!$A$10:$Z$227,F$2,FALSE)</f>
        <v>5</v>
      </c>
      <c r="G105" s="449" t="str">
        <f>IF(VLOOKUP($A105,'Pre-Assessment Estimator'!$A$10:$Z$227,G$2,FALSE)=0,"",VLOOKUP($A105,'Pre-Assessment Estimator'!$A$10:$Z$227,G$2,FALSE))</f>
        <v/>
      </c>
      <c r="H105" s="948" t="str">
        <f>VLOOKUP($A105,'Pre-Assessment Estimator'!$A$10:$Z$227,H$2,FALSE)</f>
        <v>0 c. 0 %</v>
      </c>
      <c r="I105" s="445" t="str">
        <f>VLOOKUP($A105,'Pre-Assessment Estimator'!$A$10:$Z$227,I$2,FALSE)</f>
        <v>N/A</v>
      </c>
      <c r="J105" s="446" t="str">
        <f>IF(VLOOKUP($A105,'Pre-Assessment Estimator'!$A$10:$Z$227,J$2,FALSE)=0,"",VLOOKUP($A105,'Pre-Assessment Estimator'!$A$10:$Z$227,J$2,FALSE))</f>
        <v/>
      </c>
      <c r="K105" s="446" t="str">
        <f>IF(VLOOKUP($A105,'Pre-Assessment Estimator'!$A$10:$Z$227,K$2,FALSE)=0,"",VLOOKUP($A105,'Pre-Assessment Estimator'!$A$10:$Z$227,K$2,FALSE))</f>
        <v/>
      </c>
      <c r="L105" s="447" t="str">
        <f>IF(VLOOKUP($A105,'Pre-Assessment Estimator'!$A$10:$Z$227,L$2,FALSE)=0,"",VLOOKUP($A105,'Pre-Assessment Estimator'!$A$10:$Z$227,L$2,FALSE))</f>
        <v/>
      </c>
      <c r="M105" s="448"/>
      <c r="N105" s="449" t="str">
        <f>IF(VLOOKUP($A105,'Pre-Assessment Estimator'!$A$10:$Z$227,N$2,FALSE)=0,"",VLOOKUP($A105,'Pre-Assessment Estimator'!$A$10:$Z$227,N$2,FALSE))</f>
        <v/>
      </c>
      <c r="O105" s="444" t="str">
        <f>VLOOKUP($A105,'Pre-Assessment Estimator'!$A$10:$Z$227,O$2,FALSE)</f>
        <v>0 c. 0 %</v>
      </c>
      <c r="P105" s="443" t="str">
        <f>VLOOKUP($A105,'Pre-Assessment Estimator'!$A$10:$Z$227,P$2,FALSE)</f>
        <v>N/A</v>
      </c>
      <c r="Q105" s="446" t="str">
        <f>IF(VLOOKUP($A105,'Pre-Assessment Estimator'!$A$10:$Z$227,Q$2,FALSE)=0,"",VLOOKUP($A105,'Pre-Assessment Estimator'!$A$10:$Z$227,Q$2,FALSE))</f>
        <v/>
      </c>
      <c r="R105" s="446" t="str">
        <f>IF(VLOOKUP($A105,'Pre-Assessment Estimator'!$A$10:$Z$227,R$2,FALSE)=0,"",VLOOKUP($A105,'Pre-Assessment Estimator'!$A$10:$Z$227,R$2,FALSE))</f>
        <v/>
      </c>
      <c r="S105" s="447" t="str">
        <f>IF(VLOOKUP($A105,'Pre-Assessment Estimator'!$A$10:$Z$227,S$2,FALSE)=0,"",VLOOKUP($A105,'Pre-Assessment Estimator'!$A$10:$Z$227,S$2,FALSE))</f>
        <v/>
      </c>
      <c r="T105" s="450"/>
      <c r="U105" s="449" t="str">
        <f>IF(VLOOKUP($A105,'Pre-Assessment Estimator'!$A$10:$Z$227,U$2,FALSE)=0,"",VLOOKUP($A105,'Pre-Assessment Estimator'!$A$10:$Z$227,U$2,FALSE))</f>
        <v/>
      </c>
      <c r="V105" s="444" t="str">
        <f>VLOOKUP($A105,'Pre-Assessment Estimator'!$A$10:$Z$227,V$2,FALSE)</f>
        <v>0 c. 0 %</v>
      </c>
      <c r="W105" s="443" t="str">
        <f>VLOOKUP($A105,'Pre-Assessment Estimator'!$A$10:$Z$227,W$2,FALSE)</f>
        <v>N/A</v>
      </c>
      <c r="X105" s="446" t="str">
        <f>IF(VLOOKUP($A105,'Pre-Assessment Estimator'!$A$10:$Z$227,X$2,FALSE)=0,"",VLOOKUP($A105,'Pre-Assessment Estimator'!$A$10:$Z$227,X$2,FALSE))</f>
        <v/>
      </c>
      <c r="Y105" s="446" t="str">
        <f>IF(VLOOKUP($A105,'Pre-Assessment Estimator'!$A$10:$Z$227,Y$2,FALSE)=0,"",VLOOKUP($A105,'Pre-Assessment Estimator'!$A$10:$Z$227,Y$2,FALSE))</f>
        <v/>
      </c>
      <c r="Z105" s="313" t="str">
        <f>IF(VLOOKUP($A105,'Pre-Assessment Estimator'!$A$10:$Z$227,Z$2,FALSE)=0,"",VLOOKUP($A105,'Pre-Assessment Estimator'!$A$10:$Z$227,Z$2,FALSE))</f>
        <v/>
      </c>
      <c r="AA105" s="544">
        <v>94</v>
      </c>
      <c r="AB105" s="446" t="str">
        <f>IF(VLOOKUP($A105,'Pre-Assessment Estimator'!$A$10:$AB$227,AB$2,FALSE)=0,"",VLOOKUP($A105,'Pre-Assessment Estimator'!$A$10:$AB$227,AB$2,FALSE))</f>
        <v/>
      </c>
      <c r="AF105" s="13">
        <f t="shared" si="2"/>
        <v>1</v>
      </c>
    </row>
    <row r="106" spans="1:32">
      <c r="A106" s="652">
        <v>97</v>
      </c>
      <c r="B106" s="958" t="s">
        <v>385</v>
      </c>
      <c r="C106" s="958"/>
      <c r="D106" s="980" t="str">
        <f>VLOOKUP($A106,'Pre-Assessment Estimator'!$A$10:$Z$227,D$2,FALSE)</f>
        <v>Wat 01</v>
      </c>
      <c r="E106" s="981" t="str">
        <f>VLOOKUP($A106,'Pre-Assessment Estimator'!$A$10:$Z$227,E$2,FALSE)</f>
        <v>Water efficient components</v>
      </c>
      <c r="F106" s="443">
        <f>VLOOKUP($A106,'Pre-Assessment Estimator'!$A$10:$Z$227,F$2,FALSE)</f>
        <v>5</v>
      </c>
      <c r="G106" s="449" t="str">
        <f>IF(VLOOKUP($A106,'Pre-Assessment Estimator'!$A$10:$Z$227,G$2,FALSE)=0,"",VLOOKUP($A106,'Pre-Assessment Estimator'!$A$10:$Z$227,G$2,FALSE))</f>
        <v/>
      </c>
      <c r="H106" s="948">
        <f>VLOOKUP($A106,'Pre-Assessment Estimator'!$A$10:$Z$227,H$2,FALSE)</f>
        <v>0</v>
      </c>
      <c r="I106" s="445" t="str">
        <f>VLOOKUP($A106,'Pre-Assessment Estimator'!$A$10:$Z$227,I$2,FALSE)</f>
        <v>Very Good</v>
      </c>
      <c r="J106" s="446" t="str">
        <f>IF(VLOOKUP($A106,'Pre-Assessment Estimator'!$A$10:$Z$227,J$2,FALSE)=0,"",VLOOKUP($A106,'Pre-Assessment Estimator'!$A$10:$Z$227,J$2,FALSE))</f>
        <v/>
      </c>
      <c r="K106" s="446" t="str">
        <f>IF(VLOOKUP($A106,'Pre-Assessment Estimator'!$A$10:$Z$227,K$2,FALSE)=0,"",VLOOKUP($A106,'Pre-Assessment Estimator'!$A$10:$Z$227,K$2,FALSE))</f>
        <v/>
      </c>
      <c r="L106" s="447" t="str">
        <f>IF(VLOOKUP($A106,'Pre-Assessment Estimator'!$A$10:$Z$227,L$2,FALSE)=0,"",VLOOKUP($A106,'Pre-Assessment Estimator'!$A$10:$Z$227,L$2,FALSE))</f>
        <v/>
      </c>
      <c r="M106" s="448"/>
      <c r="N106" s="449" t="str">
        <f>IF(VLOOKUP($A106,'Pre-Assessment Estimator'!$A$10:$Z$227,N$2,FALSE)=0,"",VLOOKUP($A106,'Pre-Assessment Estimator'!$A$10:$Z$227,N$2,FALSE))</f>
        <v/>
      </c>
      <c r="O106" s="444">
        <f>VLOOKUP($A106,'Pre-Assessment Estimator'!$A$10:$Z$227,O$2,FALSE)</f>
        <v>0</v>
      </c>
      <c r="P106" s="443" t="str">
        <f>VLOOKUP($A106,'Pre-Assessment Estimator'!$A$10:$Z$227,P$2,FALSE)</f>
        <v>Very Good</v>
      </c>
      <c r="Q106" s="446" t="str">
        <f>IF(VLOOKUP($A106,'Pre-Assessment Estimator'!$A$10:$Z$227,Q$2,FALSE)=0,"",VLOOKUP($A106,'Pre-Assessment Estimator'!$A$10:$Z$227,Q$2,FALSE))</f>
        <v/>
      </c>
      <c r="R106" s="446" t="str">
        <f>IF(VLOOKUP($A106,'Pre-Assessment Estimator'!$A$10:$Z$227,R$2,FALSE)=0,"",VLOOKUP($A106,'Pre-Assessment Estimator'!$A$10:$Z$227,R$2,FALSE))</f>
        <v/>
      </c>
      <c r="S106" s="447" t="str">
        <f>IF(VLOOKUP($A106,'Pre-Assessment Estimator'!$A$10:$Z$227,S$2,FALSE)=0,"",VLOOKUP($A106,'Pre-Assessment Estimator'!$A$10:$Z$227,S$2,FALSE))</f>
        <v/>
      </c>
      <c r="T106" s="450"/>
      <c r="U106" s="449" t="str">
        <f>IF(VLOOKUP($A106,'Pre-Assessment Estimator'!$A$10:$Z$227,U$2,FALSE)=0,"",VLOOKUP($A106,'Pre-Assessment Estimator'!$A$10:$Z$227,U$2,FALSE))</f>
        <v/>
      </c>
      <c r="V106" s="444">
        <f>VLOOKUP($A106,'Pre-Assessment Estimator'!$A$10:$Z$227,V$2,FALSE)</f>
        <v>0</v>
      </c>
      <c r="W106" s="443" t="str">
        <f>VLOOKUP($A106,'Pre-Assessment Estimator'!$A$10:$Z$227,W$2,FALSE)</f>
        <v>Very Good</v>
      </c>
      <c r="X106" s="446" t="str">
        <f>IF(VLOOKUP($A106,'Pre-Assessment Estimator'!$A$10:$Z$227,X$2,FALSE)=0,"",VLOOKUP($A106,'Pre-Assessment Estimator'!$A$10:$Z$227,X$2,FALSE))</f>
        <v/>
      </c>
      <c r="Y106" s="446" t="str">
        <f>IF(VLOOKUP($A106,'Pre-Assessment Estimator'!$A$10:$Z$227,Y$2,FALSE)=0,"",VLOOKUP($A106,'Pre-Assessment Estimator'!$A$10:$Z$227,Y$2,FALSE))</f>
        <v/>
      </c>
      <c r="Z106" s="313" t="str">
        <f>IF(VLOOKUP($A106,'Pre-Assessment Estimator'!$A$10:$Z$227,Z$2,FALSE)=0,"",VLOOKUP($A106,'Pre-Assessment Estimator'!$A$10:$Z$227,Z$2,FALSE))</f>
        <v/>
      </c>
      <c r="AA106" s="544">
        <v>95</v>
      </c>
      <c r="AB106" s="446" t="str">
        <f>IF(VLOOKUP($A106,'Pre-Assessment Estimator'!$A$10:$AB$227,AB$2,FALSE)=0,"",VLOOKUP($A106,'Pre-Assessment Estimator'!$A$10:$AB$227,AB$2,FALSE))</f>
        <v/>
      </c>
      <c r="AF106" s="13">
        <f t="shared" si="2"/>
        <v>1</v>
      </c>
    </row>
    <row r="107" spans="1:32">
      <c r="A107" s="652">
        <v>98</v>
      </c>
      <c r="B107" s="958" t="s">
        <v>385</v>
      </c>
      <c r="C107" s="958"/>
      <c r="D107" s="980" t="str">
        <f>VLOOKUP($A107,'Pre-Assessment Estimator'!$A$10:$Z$227,D$2,FALSE)</f>
        <v>Wat 01</v>
      </c>
      <c r="E107" s="983" t="str">
        <f>VLOOKUP($A107,'Pre-Assessment Estimator'!$A$10:$Z$227,E$2,FALSE)</f>
        <v>EU taxonomy requirements: criterion 1-3</v>
      </c>
      <c r="F107" s="443" t="str">
        <f>VLOOKUP($A107,'Pre-Assessment Estimator'!$A$10:$Z$227,F$2,FALSE)</f>
        <v>Yes/No</v>
      </c>
      <c r="G107" s="449" t="str">
        <f>IF(VLOOKUP($A107,'Pre-Assessment Estimator'!$A$10:$Z$227,G$2,FALSE)=0,"",VLOOKUP($A107,'Pre-Assessment Estimator'!$A$10:$Z$227,G$2,FALSE))</f>
        <v/>
      </c>
      <c r="H107" s="948" t="str">
        <f>VLOOKUP($A107,'Pre-Assessment Estimator'!$A$10:$Z$227,H$2,FALSE)</f>
        <v>-</v>
      </c>
      <c r="I107" s="445" t="str">
        <f>VLOOKUP($A107,'Pre-Assessment Estimator'!$A$10:$Z$227,I$2,FALSE)</f>
        <v>N/A</v>
      </c>
      <c r="J107" s="446" t="str">
        <f>IF(VLOOKUP($A107,'Pre-Assessment Estimator'!$A$10:$Z$227,J$2,FALSE)=0,"",VLOOKUP($A107,'Pre-Assessment Estimator'!$A$10:$Z$227,J$2,FALSE))</f>
        <v/>
      </c>
      <c r="K107" s="446" t="str">
        <f>IF(VLOOKUP($A107,'Pre-Assessment Estimator'!$A$10:$Z$227,K$2,FALSE)=0,"",VLOOKUP($A107,'Pre-Assessment Estimator'!$A$10:$Z$227,K$2,FALSE))</f>
        <v/>
      </c>
      <c r="L107" s="447" t="str">
        <f>IF(VLOOKUP($A107,'Pre-Assessment Estimator'!$A$10:$Z$227,L$2,FALSE)=0,"",VLOOKUP($A107,'Pre-Assessment Estimator'!$A$10:$Z$227,L$2,FALSE))</f>
        <v/>
      </c>
      <c r="M107" s="448"/>
      <c r="N107" s="449" t="str">
        <f>IF(VLOOKUP($A107,'Pre-Assessment Estimator'!$A$10:$Z$227,N$2,FALSE)=0,"",VLOOKUP($A107,'Pre-Assessment Estimator'!$A$10:$Z$227,N$2,FALSE))</f>
        <v/>
      </c>
      <c r="O107" s="444" t="str">
        <f>VLOOKUP($A107,'Pre-Assessment Estimator'!$A$10:$Z$227,O$2,FALSE)</f>
        <v>-</v>
      </c>
      <c r="P107" s="443" t="str">
        <f>VLOOKUP($A107,'Pre-Assessment Estimator'!$A$10:$Z$227,P$2,FALSE)</f>
        <v>N/A</v>
      </c>
      <c r="Q107" s="446" t="str">
        <f>IF(VLOOKUP($A107,'Pre-Assessment Estimator'!$A$10:$Z$227,Q$2,FALSE)=0,"",VLOOKUP($A107,'Pre-Assessment Estimator'!$A$10:$Z$227,Q$2,FALSE))</f>
        <v/>
      </c>
      <c r="R107" s="446" t="str">
        <f>IF(VLOOKUP($A107,'Pre-Assessment Estimator'!$A$10:$Z$227,R$2,FALSE)=0,"",VLOOKUP($A107,'Pre-Assessment Estimator'!$A$10:$Z$227,R$2,FALSE))</f>
        <v/>
      </c>
      <c r="S107" s="447" t="str">
        <f>IF(VLOOKUP($A107,'Pre-Assessment Estimator'!$A$10:$Z$227,S$2,FALSE)=0,"",VLOOKUP($A107,'Pre-Assessment Estimator'!$A$10:$Z$227,S$2,FALSE))</f>
        <v/>
      </c>
      <c r="T107" s="450"/>
      <c r="U107" s="449" t="str">
        <f>IF(VLOOKUP($A107,'Pre-Assessment Estimator'!$A$10:$Z$227,U$2,FALSE)=0,"",VLOOKUP($A107,'Pre-Assessment Estimator'!$A$10:$Z$227,U$2,FALSE))</f>
        <v/>
      </c>
      <c r="V107" s="444" t="str">
        <f>VLOOKUP($A107,'Pre-Assessment Estimator'!$A$10:$Z$227,V$2,FALSE)</f>
        <v>-</v>
      </c>
      <c r="W107" s="443" t="str">
        <f>VLOOKUP($A107,'Pre-Assessment Estimator'!$A$10:$Z$227,W$2,FALSE)</f>
        <v>N/A</v>
      </c>
      <c r="X107" s="446" t="str">
        <f>IF(VLOOKUP($A107,'Pre-Assessment Estimator'!$A$10:$Z$227,X$2,FALSE)=0,"",VLOOKUP($A107,'Pre-Assessment Estimator'!$A$10:$Z$227,X$2,FALSE))</f>
        <v/>
      </c>
      <c r="Y107" s="446" t="str">
        <f>IF(VLOOKUP($A107,'Pre-Assessment Estimator'!$A$10:$Z$227,Y$2,FALSE)=0,"",VLOOKUP($A107,'Pre-Assessment Estimator'!$A$10:$Z$227,Y$2,FALSE))</f>
        <v/>
      </c>
      <c r="Z107" s="313" t="str">
        <f>IF(VLOOKUP($A107,'Pre-Assessment Estimator'!$A$10:$Z$227,Z$2,FALSE)=0,"",VLOOKUP($A107,'Pre-Assessment Estimator'!$A$10:$Z$227,Z$2,FALSE))</f>
        <v/>
      </c>
      <c r="AA107" s="544">
        <v>96</v>
      </c>
      <c r="AB107" s="446" t="str">
        <f>IF(VLOOKUP($A107,'Pre-Assessment Estimator'!$A$10:$AB$227,AB$2,FALSE)=0,"",VLOOKUP($A107,'Pre-Assessment Estimator'!$A$10:$AB$227,AB$2,FALSE))</f>
        <v/>
      </c>
      <c r="AF107" s="13">
        <f t="shared" si="2"/>
        <v>1</v>
      </c>
    </row>
    <row r="108" spans="1:32">
      <c r="A108" s="652">
        <v>99</v>
      </c>
      <c r="B108" s="958" t="s">
        <v>385</v>
      </c>
      <c r="C108" s="958"/>
      <c r="D108" s="980" t="str">
        <f>VLOOKUP($A108,'Pre-Assessment Estimator'!$A$10:$Z$227,D$2,FALSE)</f>
        <v>Wat 02</v>
      </c>
      <c r="E108" s="981" t="str">
        <f>VLOOKUP($A108,'Pre-Assessment Estimator'!$A$10:$Z$227,E$2,FALSE)</f>
        <v>Wat 02 Water monitoring</v>
      </c>
      <c r="F108" s="443">
        <f>VLOOKUP($A108,'Pre-Assessment Estimator'!$A$10:$Z$227,F$2,FALSE)</f>
        <v>1</v>
      </c>
      <c r="G108" s="449" t="str">
        <f>IF(VLOOKUP($A108,'Pre-Assessment Estimator'!$A$10:$Z$227,G$2,FALSE)=0,"",VLOOKUP($A108,'Pre-Assessment Estimator'!$A$10:$Z$227,G$2,FALSE))</f>
        <v/>
      </c>
      <c r="H108" s="948" t="str">
        <f>VLOOKUP($A108,'Pre-Assessment Estimator'!$A$10:$Z$227,H$2,FALSE)</f>
        <v>0 c. 0 %</v>
      </c>
      <c r="I108" s="445" t="str">
        <f>VLOOKUP($A108,'Pre-Assessment Estimator'!$A$10:$Z$227,I$2,FALSE)</f>
        <v>N/A</v>
      </c>
      <c r="J108" s="446" t="str">
        <f>IF(VLOOKUP($A108,'Pre-Assessment Estimator'!$A$10:$Z$227,J$2,FALSE)=0,"",VLOOKUP($A108,'Pre-Assessment Estimator'!$A$10:$Z$227,J$2,FALSE))</f>
        <v/>
      </c>
      <c r="K108" s="446" t="str">
        <f>IF(VLOOKUP($A108,'Pre-Assessment Estimator'!$A$10:$Z$227,K$2,FALSE)=0,"",VLOOKUP($A108,'Pre-Assessment Estimator'!$A$10:$Z$227,K$2,FALSE))</f>
        <v/>
      </c>
      <c r="L108" s="447" t="str">
        <f>IF(VLOOKUP($A108,'Pre-Assessment Estimator'!$A$10:$Z$227,L$2,FALSE)=0,"",VLOOKUP($A108,'Pre-Assessment Estimator'!$A$10:$Z$227,L$2,FALSE))</f>
        <v/>
      </c>
      <c r="M108" s="448"/>
      <c r="N108" s="449" t="str">
        <f>IF(VLOOKUP($A108,'Pre-Assessment Estimator'!$A$10:$Z$227,N$2,FALSE)=0,"",VLOOKUP($A108,'Pre-Assessment Estimator'!$A$10:$Z$227,N$2,FALSE))</f>
        <v/>
      </c>
      <c r="O108" s="444" t="str">
        <f>VLOOKUP($A108,'Pre-Assessment Estimator'!$A$10:$Z$227,O$2,FALSE)</f>
        <v>0 c. 0 %</v>
      </c>
      <c r="P108" s="443" t="str">
        <f>VLOOKUP($A108,'Pre-Assessment Estimator'!$A$10:$Z$227,P$2,FALSE)</f>
        <v>N/A</v>
      </c>
      <c r="Q108" s="446" t="str">
        <f>IF(VLOOKUP($A108,'Pre-Assessment Estimator'!$A$10:$Z$227,Q$2,FALSE)=0,"",VLOOKUP($A108,'Pre-Assessment Estimator'!$A$10:$Z$227,Q$2,FALSE))</f>
        <v/>
      </c>
      <c r="R108" s="446" t="str">
        <f>IF(VLOOKUP($A108,'Pre-Assessment Estimator'!$A$10:$Z$227,R$2,FALSE)=0,"",VLOOKUP($A108,'Pre-Assessment Estimator'!$A$10:$Z$227,R$2,FALSE))</f>
        <v/>
      </c>
      <c r="S108" s="447" t="str">
        <f>IF(VLOOKUP($A108,'Pre-Assessment Estimator'!$A$10:$Z$227,S$2,FALSE)=0,"",VLOOKUP($A108,'Pre-Assessment Estimator'!$A$10:$Z$227,S$2,FALSE))</f>
        <v/>
      </c>
      <c r="T108" s="450"/>
      <c r="U108" s="449" t="str">
        <f>IF(VLOOKUP($A108,'Pre-Assessment Estimator'!$A$10:$Z$227,U$2,FALSE)=0,"",VLOOKUP($A108,'Pre-Assessment Estimator'!$A$10:$Z$227,U$2,FALSE))</f>
        <v/>
      </c>
      <c r="V108" s="444" t="str">
        <f>VLOOKUP($A108,'Pre-Assessment Estimator'!$A$10:$Z$227,V$2,FALSE)</f>
        <v>0 c. 0 %</v>
      </c>
      <c r="W108" s="443" t="str">
        <f>VLOOKUP($A108,'Pre-Assessment Estimator'!$A$10:$Z$227,W$2,FALSE)</f>
        <v>N/A</v>
      </c>
      <c r="X108" s="446" t="str">
        <f>IF(VLOOKUP($A108,'Pre-Assessment Estimator'!$A$10:$Z$227,X$2,FALSE)=0,"",VLOOKUP($A108,'Pre-Assessment Estimator'!$A$10:$Z$227,X$2,FALSE))</f>
        <v/>
      </c>
      <c r="Y108" s="446" t="str">
        <f>IF(VLOOKUP($A108,'Pre-Assessment Estimator'!$A$10:$Z$227,Y$2,FALSE)=0,"",VLOOKUP($A108,'Pre-Assessment Estimator'!$A$10:$Z$227,Y$2,FALSE))</f>
        <v/>
      </c>
      <c r="Z108" s="313" t="str">
        <f>IF(VLOOKUP($A108,'Pre-Assessment Estimator'!$A$10:$Z$227,Z$2,FALSE)=0,"",VLOOKUP($A108,'Pre-Assessment Estimator'!$A$10:$Z$227,Z$2,FALSE))</f>
        <v/>
      </c>
      <c r="AA108" s="544">
        <v>97</v>
      </c>
      <c r="AB108" s="446"/>
      <c r="AF108" s="13">
        <f t="shared" si="2"/>
        <v>1</v>
      </c>
    </row>
    <row r="109" spans="1:32">
      <c r="A109" s="652">
        <v>100</v>
      </c>
      <c r="B109" s="958" t="s">
        <v>385</v>
      </c>
      <c r="C109" s="958"/>
      <c r="D109" s="980" t="str">
        <f>VLOOKUP($A109,'Pre-Assessment Estimator'!$A$10:$Z$227,D$2,FALSE)</f>
        <v>Wat 02</v>
      </c>
      <c r="E109" s="981" t="str">
        <f>VLOOKUP($A109,'Pre-Assessment Estimator'!$A$10:$Z$227,E$2,FALSE)</f>
        <v>Water meter</v>
      </c>
      <c r="F109" s="443">
        <f>VLOOKUP($A109,'Pre-Assessment Estimator'!$A$10:$Z$227,F$2,FALSE)</f>
        <v>1</v>
      </c>
      <c r="G109" s="449" t="str">
        <f>IF(VLOOKUP($A109,'Pre-Assessment Estimator'!$A$10:$Z$227,G$2,FALSE)=0,"",VLOOKUP($A109,'Pre-Assessment Estimator'!$A$10:$Z$227,G$2,FALSE))</f>
        <v/>
      </c>
      <c r="H109" s="948">
        <f>VLOOKUP($A109,'Pre-Assessment Estimator'!$A$10:$Z$227,H$2,FALSE)</f>
        <v>0</v>
      </c>
      <c r="I109" s="445" t="str">
        <f>VLOOKUP($A109,'Pre-Assessment Estimator'!$A$10:$Z$227,I$2,FALSE)</f>
        <v>N/A</v>
      </c>
      <c r="J109" s="446" t="str">
        <f>IF(VLOOKUP($A109,'Pre-Assessment Estimator'!$A$10:$Z$227,J$2,FALSE)=0,"",VLOOKUP($A109,'Pre-Assessment Estimator'!$A$10:$Z$227,J$2,FALSE))</f>
        <v/>
      </c>
      <c r="K109" s="446" t="str">
        <f>IF(VLOOKUP($A109,'Pre-Assessment Estimator'!$A$10:$Z$227,K$2,FALSE)=0,"",VLOOKUP($A109,'Pre-Assessment Estimator'!$A$10:$Z$227,K$2,FALSE))</f>
        <v/>
      </c>
      <c r="L109" s="447" t="str">
        <f>IF(VLOOKUP($A109,'Pre-Assessment Estimator'!$A$10:$Z$227,L$2,FALSE)=0,"",VLOOKUP($A109,'Pre-Assessment Estimator'!$A$10:$Z$227,L$2,FALSE))</f>
        <v/>
      </c>
      <c r="M109" s="448"/>
      <c r="N109" s="449" t="str">
        <f>IF(VLOOKUP($A109,'Pre-Assessment Estimator'!$A$10:$Z$227,N$2,FALSE)=0,"",VLOOKUP($A109,'Pre-Assessment Estimator'!$A$10:$Z$227,N$2,FALSE))</f>
        <v/>
      </c>
      <c r="O109" s="444">
        <f>VLOOKUP($A109,'Pre-Assessment Estimator'!$A$10:$Z$227,O$2,FALSE)</f>
        <v>0</v>
      </c>
      <c r="P109" s="443" t="str">
        <f>VLOOKUP($A109,'Pre-Assessment Estimator'!$A$10:$Z$227,P$2,FALSE)</f>
        <v>N/A</v>
      </c>
      <c r="Q109" s="446" t="str">
        <f>IF(VLOOKUP($A109,'Pre-Assessment Estimator'!$A$10:$Z$227,Q$2,FALSE)=0,"",VLOOKUP($A109,'Pre-Assessment Estimator'!$A$10:$Z$227,Q$2,FALSE))</f>
        <v/>
      </c>
      <c r="R109" s="446" t="str">
        <f>IF(VLOOKUP($A109,'Pre-Assessment Estimator'!$A$10:$Z$227,R$2,FALSE)=0,"",VLOOKUP($A109,'Pre-Assessment Estimator'!$A$10:$Z$227,R$2,FALSE))</f>
        <v/>
      </c>
      <c r="S109" s="447" t="str">
        <f>IF(VLOOKUP($A109,'Pre-Assessment Estimator'!$A$10:$Z$227,S$2,FALSE)=0,"",VLOOKUP($A109,'Pre-Assessment Estimator'!$A$10:$Z$227,S$2,FALSE))</f>
        <v/>
      </c>
      <c r="T109" s="450"/>
      <c r="U109" s="449" t="str">
        <f>IF(VLOOKUP($A109,'Pre-Assessment Estimator'!$A$10:$Z$227,U$2,FALSE)=0,"",VLOOKUP($A109,'Pre-Assessment Estimator'!$A$10:$Z$227,U$2,FALSE))</f>
        <v/>
      </c>
      <c r="V109" s="444">
        <f>VLOOKUP($A109,'Pre-Assessment Estimator'!$A$10:$Z$227,V$2,FALSE)</f>
        <v>0</v>
      </c>
      <c r="W109" s="443" t="str">
        <f>VLOOKUP($A109,'Pre-Assessment Estimator'!$A$10:$Z$227,W$2,FALSE)</f>
        <v>N/A</v>
      </c>
      <c r="X109" s="446" t="str">
        <f>IF(VLOOKUP($A109,'Pre-Assessment Estimator'!$A$10:$Z$227,X$2,FALSE)=0,"",VLOOKUP($A109,'Pre-Assessment Estimator'!$A$10:$Z$227,X$2,FALSE))</f>
        <v/>
      </c>
      <c r="Y109" s="446" t="str">
        <f>IF(VLOOKUP($A109,'Pre-Assessment Estimator'!$A$10:$Z$227,Y$2,FALSE)=0,"",VLOOKUP($A109,'Pre-Assessment Estimator'!$A$10:$Z$227,Y$2,FALSE))</f>
        <v/>
      </c>
      <c r="Z109" s="313" t="str">
        <f>IF(VLOOKUP($A109,'Pre-Assessment Estimator'!$A$10:$Z$227,Z$2,FALSE)=0,"",VLOOKUP($A109,'Pre-Assessment Estimator'!$A$10:$Z$227,Z$2,FALSE))</f>
        <v/>
      </c>
      <c r="AA109" s="544">
        <v>98</v>
      </c>
      <c r="AB109" s="446"/>
      <c r="AF109" s="13">
        <f t="shared" si="2"/>
        <v>1</v>
      </c>
    </row>
    <row r="110" spans="1:32">
      <c r="A110" s="652">
        <v>101</v>
      </c>
      <c r="B110" s="958" t="s">
        <v>385</v>
      </c>
      <c r="C110" s="958"/>
      <c r="D110" s="979" t="str">
        <f>VLOOKUP($A110,'Pre-Assessment Estimator'!$A$10:$Z$227,D$2,FALSE)</f>
        <v>Wat 03</v>
      </c>
      <c r="E110" s="979" t="str">
        <f>VLOOKUP($A110,'Pre-Assessment Estimator'!$A$10:$Z$227,E$2,FALSE)</f>
        <v>Wat 03 Water leak detection and prevention</v>
      </c>
      <c r="F110" s="443">
        <f>VLOOKUP($A110,'Pre-Assessment Estimator'!$A$10:$Z$227,F$2,FALSE)</f>
        <v>2</v>
      </c>
      <c r="G110" s="449" t="str">
        <f>IF(VLOOKUP($A110,'Pre-Assessment Estimator'!$A$10:$Z$227,G$2,FALSE)=0,"",VLOOKUP($A110,'Pre-Assessment Estimator'!$A$10:$Z$227,G$2,FALSE))</f>
        <v/>
      </c>
      <c r="H110" s="948" t="str">
        <f>VLOOKUP($A110,'Pre-Assessment Estimator'!$A$10:$Z$227,H$2,FALSE)</f>
        <v>0 c. 0 %</v>
      </c>
      <c r="I110" s="445" t="str">
        <f>VLOOKUP($A110,'Pre-Assessment Estimator'!$A$10:$Z$227,I$2,FALSE)</f>
        <v>N/A</v>
      </c>
      <c r="J110" s="446" t="str">
        <f>IF(VLOOKUP($A110,'Pre-Assessment Estimator'!$A$10:$Z$227,J$2,FALSE)=0,"",VLOOKUP($A110,'Pre-Assessment Estimator'!$A$10:$Z$227,J$2,FALSE))</f>
        <v/>
      </c>
      <c r="K110" s="446" t="str">
        <f>IF(VLOOKUP($A110,'Pre-Assessment Estimator'!$A$10:$Z$227,K$2,FALSE)=0,"",VLOOKUP($A110,'Pre-Assessment Estimator'!$A$10:$Z$227,K$2,FALSE))</f>
        <v/>
      </c>
      <c r="L110" s="447" t="str">
        <f>IF(VLOOKUP($A110,'Pre-Assessment Estimator'!$A$10:$Z$227,L$2,FALSE)=0,"",VLOOKUP($A110,'Pre-Assessment Estimator'!$A$10:$Z$227,L$2,FALSE))</f>
        <v/>
      </c>
      <c r="M110" s="448"/>
      <c r="N110" s="449" t="str">
        <f>IF(VLOOKUP($A110,'Pre-Assessment Estimator'!$A$10:$Z$227,N$2,FALSE)=0,"",VLOOKUP($A110,'Pre-Assessment Estimator'!$A$10:$Z$227,N$2,FALSE))</f>
        <v/>
      </c>
      <c r="O110" s="444" t="str">
        <f>VLOOKUP($A110,'Pre-Assessment Estimator'!$A$10:$Z$227,O$2,FALSE)</f>
        <v>0 c. 0 %</v>
      </c>
      <c r="P110" s="443" t="str">
        <f>VLOOKUP($A110,'Pre-Assessment Estimator'!$A$10:$Z$227,P$2,FALSE)</f>
        <v>N/A</v>
      </c>
      <c r="Q110" s="446" t="str">
        <f>IF(VLOOKUP($A110,'Pre-Assessment Estimator'!$A$10:$Z$227,Q$2,FALSE)=0,"",VLOOKUP($A110,'Pre-Assessment Estimator'!$A$10:$Z$227,Q$2,FALSE))</f>
        <v/>
      </c>
      <c r="R110" s="446" t="str">
        <f>IF(VLOOKUP($A110,'Pre-Assessment Estimator'!$A$10:$Z$227,R$2,FALSE)=0,"",VLOOKUP($A110,'Pre-Assessment Estimator'!$A$10:$Z$227,R$2,FALSE))</f>
        <v/>
      </c>
      <c r="S110" s="447" t="str">
        <f>IF(VLOOKUP($A110,'Pre-Assessment Estimator'!$A$10:$Z$227,S$2,FALSE)=0,"",VLOOKUP($A110,'Pre-Assessment Estimator'!$A$10:$Z$227,S$2,FALSE))</f>
        <v/>
      </c>
      <c r="T110" s="450"/>
      <c r="U110" s="449" t="str">
        <f>IF(VLOOKUP($A110,'Pre-Assessment Estimator'!$A$10:$Z$227,U$2,FALSE)=0,"",VLOOKUP($A110,'Pre-Assessment Estimator'!$A$10:$Z$227,U$2,FALSE))</f>
        <v/>
      </c>
      <c r="V110" s="444" t="str">
        <f>VLOOKUP($A110,'Pre-Assessment Estimator'!$A$10:$Z$227,V$2,FALSE)</f>
        <v>0 c. 0 %</v>
      </c>
      <c r="W110" s="443" t="str">
        <f>VLOOKUP($A110,'Pre-Assessment Estimator'!$A$10:$Z$227,W$2,FALSE)</f>
        <v>N/A</v>
      </c>
      <c r="X110" s="446" t="str">
        <f>IF(VLOOKUP($A110,'Pre-Assessment Estimator'!$A$10:$Z$227,X$2,FALSE)=0,"",VLOOKUP($A110,'Pre-Assessment Estimator'!$A$10:$Z$227,X$2,FALSE))</f>
        <v/>
      </c>
      <c r="Y110" s="446" t="str">
        <f>IF(VLOOKUP($A110,'Pre-Assessment Estimator'!$A$10:$Z$227,Y$2,FALSE)=0,"",VLOOKUP($A110,'Pre-Assessment Estimator'!$A$10:$Z$227,Y$2,FALSE))</f>
        <v/>
      </c>
      <c r="Z110" s="313" t="str">
        <f>IF(VLOOKUP($A110,'Pre-Assessment Estimator'!$A$10:$Z$227,Z$2,FALSE)=0,"",VLOOKUP($A110,'Pre-Assessment Estimator'!$A$10:$Z$227,Z$2,FALSE))</f>
        <v/>
      </c>
      <c r="AA110" s="544">
        <v>99</v>
      </c>
      <c r="AB110" s="446"/>
      <c r="AF110" s="13">
        <f t="shared" si="2"/>
        <v>1</v>
      </c>
    </row>
    <row r="111" spans="1:32">
      <c r="A111" s="652">
        <v>102</v>
      </c>
      <c r="B111" s="958" t="s">
        <v>385</v>
      </c>
      <c r="C111" s="958"/>
      <c r="D111" s="980" t="str">
        <f>VLOOKUP($A111,'Pre-Assessment Estimator'!$A$10:$Z$227,D$2,FALSE)</f>
        <v>Wat 03</v>
      </c>
      <c r="E111" s="981" t="str">
        <f>VLOOKUP($A111,'Pre-Assessment Estimator'!$A$10:$Z$227,E$2,FALSE)</f>
        <v>Leak detection system</v>
      </c>
      <c r="F111" s="443">
        <f>VLOOKUP($A111,'Pre-Assessment Estimator'!$A$10:$Z$227,F$2,FALSE)</f>
        <v>1</v>
      </c>
      <c r="G111" s="449" t="str">
        <f>IF(VLOOKUP($A111,'Pre-Assessment Estimator'!$A$10:$Z$227,G$2,FALSE)=0,"",VLOOKUP($A111,'Pre-Assessment Estimator'!$A$10:$Z$227,G$2,FALSE))</f>
        <v/>
      </c>
      <c r="H111" s="948">
        <f>VLOOKUP($A111,'Pre-Assessment Estimator'!$A$10:$Z$227,H$2,FALSE)</f>
        <v>0</v>
      </c>
      <c r="I111" s="445" t="str">
        <f>VLOOKUP($A111,'Pre-Assessment Estimator'!$A$10:$Z$227,I$2,FALSE)</f>
        <v>N/A</v>
      </c>
      <c r="J111" s="446" t="str">
        <f>IF(VLOOKUP($A111,'Pre-Assessment Estimator'!$A$10:$Z$227,J$2,FALSE)=0,"",VLOOKUP($A111,'Pre-Assessment Estimator'!$A$10:$Z$227,J$2,FALSE))</f>
        <v/>
      </c>
      <c r="K111" s="446" t="str">
        <f>IF(VLOOKUP($A111,'Pre-Assessment Estimator'!$A$10:$Z$227,K$2,FALSE)=0,"",VLOOKUP($A111,'Pre-Assessment Estimator'!$A$10:$Z$227,K$2,FALSE))</f>
        <v/>
      </c>
      <c r="L111" s="447" t="str">
        <f>IF(VLOOKUP($A111,'Pre-Assessment Estimator'!$A$10:$Z$227,L$2,FALSE)=0,"",VLOOKUP($A111,'Pre-Assessment Estimator'!$A$10:$Z$227,L$2,FALSE))</f>
        <v/>
      </c>
      <c r="M111" s="448"/>
      <c r="N111" s="449" t="str">
        <f>IF(VLOOKUP($A111,'Pre-Assessment Estimator'!$A$10:$Z$227,N$2,FALSE)=0,"",VLOOKUP($A111,'Pre-Assessment Estimator'!$A$10:$Z$227,N$2,FALSE))</f>
        <v/>
      </c>
      <c r="O111" s="444">
        <f>VLOOKUP($A111,'Pre-Assessment Estimator'!$A$10:$Z$227,O$2,FALSE)</f>
        <v>0</v>
      </c>
      <c r="P111" s="443" t="str">
        <f>VLOOKUP($A111,'Pre-Assessment Estimator'!$A$10:$Z$227,P$2,FALSE)</f>
        <v>N/A</v>
      </c>
      <c r="Q111" s="446" t="str">
        <f>IF(VLOOKUP($A111,'Pre-Assessment Estimator'!$A$10:$Z$227,Q$2,FALSE)=0,"",VLOOKUP($A111,'Pre-Assessment Estimator'!$A$10:$Z$227,Q$2,FALSE))</f>
        <v/>
      </c>
      <c r="R111" s="446" t="str">
        <f>IF(VLOOKUP($A111,'Pre-Assessment Estimator'!$A$10:$Z$227,R$2,FALSE)=0,"",VLOOKUP($A111,'Pre-Assessment Estimator'!$A$10:$Z$227,R$2,FALSE))</f>
        <v/>
      </c>
      <c r="S111" s="447" t="str">
        <f>IF(VLOOKUP($A111,'Pre-Assessment Estimator'!$A$10:$Z$227,S$2,FALSE)=0,"",VLOOKUP($A111,'Pre-Assessment Estimator'!$A$10:$Z$227,S$2,FALSE))</f>
        <v/>
      </c>
      <c r="T111" s="450"/>
      <c r="U111" s="449" t="str">
        <f>IF(VLOOKUP($A111,'Pre-Assessment Estimator'!$A$10:$Z$227,U$2,FALSE)=0,"",VLOOKUP($A111,'Pre-Assessment Estimator'!$A$10:$Z$227,U$2,FALSE))</f>
        <v/>
      </c>
      <c r="V111" s="444">
        <f>VLOOKUP($A111,'Pre-Assessment Estimator'!$A$10:$Z$227,V$2,FALSE)</f>
        <v>0</v>
      </c>
      <c r="W111" s="443" t="str">
        <f>VLOOKUP($A111,'Pre-Assessment Estimator'!$A$10:$Z$227,W$2,FALSE)</f>
        <v>N/A</v>
      </c>
      <c r="X111" s="446" t="str">
        <f>IF(VLOOKUP($A111,'Pre-Assessment Estimator'!$A$10:$Z$227,X$2,FALSE)=0,"",VLOOKUP($A111,'Pre-Assessment Estimator'!$A$10:$Z$227,X$2,FALSE))</f>
        <v/>
      </c>
      <c r="Y111" s="446" t="str">
        <f>IF(VLOOKUP($A111,'Pre-Assessment Estimator'!$A$10:$Z$227,Y$2,FALSE)=0,"",VLOOKUP($A111,'Pre-Assessment Estimator'!$A$10:$Z$227,Y$2,FALSE))</f>
        <v/>
      </c>
      <c r="Z111" s="313" t="str">
        <f>IF(VLOOKUP($A111,'Pre-Assessment Estimator'!$A$10:$Z$227,Z$2,FALSE)=0,"",VLOOKUP($A111,'Pre-Assessment Estimator'!$A$10:$Z$227,Z$2,FALSE))</f>
        <v/>
      </c>
      <c r="AA111" s="544">
        <v>100</v>
      </c>
      <c r="AB111" s="446"/>
      <c r="AF111" s="13">
        <f t="shared" si="2"/>
        <v>1</v>
      </c>
    </row>
    <row r="112" spans="1:32">
      <c r="A112" s="652">
        <v>103</v>
      </c>
      <c r="B112" s="958" t="s">
        <v>385</v>
      </c>
      <c r="C112" s="958"/>
      <c r="D112" s="980" t="str">
        <f>VLOOKUP($A112,'Pre-Assessment Estimator'!$A$10:$Z$227,D$2,FALSE)</f>
        <v>Wat 03</v>
      </c>
      <c r="E112" s="981" t="str">
        <f>VLOOKUP($A112,'Pre-Assessment Estimator'!$A$10:$Z$227,E$2,FALSE)</f>
        <v>Flow control devices</v>
      </c>
      <c r="F112" s="443">
        <f>VLOOKUP($A112,'Pre-Assessment Estimator'!$A$10:$Z$227,F$2,FALSE)</f>
        <v>1</v>
      </c>
      <c r="G112" s="449" t="str">
        <f>IF(VLOOKUP($A112,'Pre-Assessment Estimator'!$A$10:$Z$227,G$2,FALSE)=0,"",VLOOKUP($A112,'Pre-Assessment Estimator'!$A$10:$Z$227,G$2,FALSE))</f>
        <v/>
      </c>
      <c r="H112" s="948">
        <f>VLOOKUP($A112,'Pre-Assessment Estimator'!$A$10:$Z$227,H$2,FALSE)</f>
        <v>0</v>
      </c>
      <c r="I112" s="445" t="str">
        <f>VLOOKUP($A112,'Pre-Assessment Estimator'!$A$10:$Z$227,I$2,FALSE)</f>
        <v>N/A</v>
      </c>
      <c r="J112" s="446" t="str">
        <f>IF(VLOOKUP($A112,'Pre-Assessment Estimator'!$A$10:$Z$227,J$2,FALSE)=0,"",VLOOKUP($A112,'Pre-Assessment Estimator'!$A$10:$Z$227,J$2,FALSE))</f>
        <v/>
      </c>
      <c r="K112" s="446" t="str">
        <f>IF(VLOOKUP($A112,'Pre-Assessment Estimator'!$A$10:$Z$227,K$2,FALSE)=0,"",VLOOKUP($A112,'Pre-Assessment Estimator'!$A$10:$Z$227,K$2,FALSE))</f>
        <v/>
      </c>
      <c r="L112" s="447" t="str">
        <f>IF(VLOOKUP($A112,'Pre-Assessment Estimator'!$A$10:$Z$227,L$2,FALSE)=0,"",VLOOKUP($A112,'Pre-Assessment Estimator'!$A$10:$Z$227,L$2,FALSE))</f>
        <v/>
      </c>
      <c r="M112" s="448"/>
      <c r="N112" s="449" t="str">
        <f>IF(VLOOKUP($A112,'Pre-Assessment Estimator'!$A$10:$Z$227,N$2,FALSE)=0,"",VLOOKUP($A112,'Pre-Assessment Estimator'!$A$10:$Z$227,N$2,FALSE))</f>
        <v/>
      </c>
      <c r="O112" s="444">
        <f>VLOOKUP($A112,'Pre-Assessment Estimator'!$A$10:$Z$227,O$2,FALSE)</f>
        <v>0</v>
      </c>
      <c r="P112" s="443" t="str">
        <f>VLOOKUP($A112,'Pre-Assessment Estimator'!$A$10:$Z$227,P$2,FALSE)</f>
        <v>N/A</v>
      </c>
      <c r="Q112" s="446" t="str">
        <f>IF(VLOOKUP($A112,'Pre-Assessment Estimator'!$A$10:$Z$227,Q$2,FALSE)=0,"",VLOOKUP($A112,'Pre-Assessment Estimator'!$A$10:$Z$227,Q$2,FALSE))</f>
        <v/>
      </c>
      <c r="R112" s="446" t="str">
        <f>IF(VLOOKUP($A112,'Pre-Assessment Estimator'!$A$10:$Z$227,R$2,FALSE)=0,"",VLOOKUP($A112,'Pre-Assessment Estimator'!$A$10:$Z$227,R$2,FALSE))</f>
        <v/>
      </c>
      <c r="S112" s="447" t="str">
        <f>IF(VLOOKUP($A112,'Pre-Assessment Estimator'!$A$10:$Z$227,S$2,FALSE)=0,"",VLOOKUP($A112,'Pre-Assessment Estimator'!$A$10:$Z$227,S$2,FALSE))</f>
        <v/>
      </c>
      <c r="T112" s="450"/>
      <c r="U112" s="449" t="str">
        <f>IF(VLOOKUP($A112,'Pre-Assessment Estimator'!$A$10:$Z$227,U$2,FALSE)=0,"",VLOOKUP($A112,'Pre-Assessment Estimator'!$A$10:$Z$227,U$2,FALSE))</f>
        <v/>
      </c>
      <c r="V112" s="444">
        <f>VLOOKUP($A112,'Pre-Assessment Estimator'!$A$10:$Z$227,V$2,FALSE)</f>
        <v>0</v>
      </c>
      <c r="W112" s="443" t="str">
        <f>VLOOKUP($A112,'Pre-Assessment Estimator'!$A$10:$Z$227,W$2,FALSE)</f>
        <v>N/A</v>
      </c>
      <c r="X112" s="446" t="str">
        <f>IF(VLOOKUP($A112,'Pre-Assessment Estimator'!$A$10:$Z$227,X$2,FALSE)=0,"",VLOOKUP($A112,'Pre-Assessment Estimator'!$A$10:$Z$227,X$2,FALSE))</f>
        <v/>
      </c>
      <c r="Y112" s="446" t="str">
        <f>IF(VLOOKUP($A112,'Pre-Assessment Estimator'!$A$10:$Z$227,Y$2,FALSE)=0,"",VLOOKUP($A112,'Pre-Assessment Estimator'!$A$10:$Z$227,Y$2,FALSE))</f>
        <v/>
      </c>
      <c r="Z112" s="313" t="str">
        <f>IF(VLOOKUP($A112,'Pre-Assessment Estimator'!$A$10:$Z$227,Z$2,FALSE)=0,"",VLOOKUP($A112,'Pre-Assessment Estimator'!$A$10:$Z$227,Z$2,FALSE))</f>
        <v/>
      </c>
      <c r="AA112" s="544">
        <v>101</v>
      </c>
      <c r="AB112" s="446"/>
      <c r="AF112" s="13">
        <f t="shared" si="2"/>
        <v>1</v>
      </c>
    </row>
    <row r="113" spans="1:32">
      <c r="A113" s="652">
        <v>104</v>
      </c>
      <c r="B113" s="958" t="s">
        <v>385</v>
      </c>
      <c r="C113" s="958"/>
      <c r="D113" s="980" t="str">
        <f>VLOOKUP($A113,'Pre-Assessment Estimator'!$A$10:$Z$227,D$2,FALSE)</f>
        <v>Wat 03</v>
      </c>
      <c r="E113" s="981" t="str">
        <f>VLOOKUP($A113,'Pre-Assessment Estimator'!$A$10:$Z$227,E$2,FALSE)</f>
        <v>Leak isolation</v>
      </c>
      <c r="F113" s="443">
        <f>VLOOKUP($A113,'Pre-Assessment Estimator'!$A$10:$Z$227,F$2,FALSE)</f>
        <v>0</v>
      </c>
      <c r="G113" s="449" t="str">
        <f>IF(VLOOKUP($A113,'Pre-Assessment Estimator'!$A$10:$Z$227,G$2,FALSE)=0,"",VLOOKUP($A113,'Pre-Assessment Estimator'!$A$10:$Z$227,G$2,FALSE))</f>
        <v/>
      </c>
      <c r="H113" s="948">
        <f>VLOOKUP($A113,'Pre-Assessment Estimator'!$A$10:$Z$227,H$2,FALSE)</f>
        <v>0</v>
      </c>
      <c r="I113" s="445" t="str">
        <f>VLOOKUP($A113,'Pre-Assessment Estimator'!$A$10:$Z$227,I$2,FALSE)</f>
        <v>N/A</v>
      </c>
      <c r="J113" s="446" t="str">
        <f>IF(VLOOKUP($A113,'Pre-Assessment Estimator'!$A$10:$Z$227,J$2,FALSE)=0,"",VLOOKUP($A113,'Pre-Assessment Estimator'!$A$10:$Z$227,J$2,FALSE))</f>
        <v/>
      </c>
      <c r="K113" s="446" t="str">
        <f>IF(VLOOKUP($A113,'Pre-Assessment Estimator'!$A$10:$Z$227,K$2,FALSE)=0,"",VLOOKUP($A113,'Pre-Assessment Estimator'!$A$10:$Z$227,K$2,FALSE))</f>
        <v/>
      </c>
      <c r="L113" s="447" t="str">
        <f>IF(VLOOKUP($A113,'Pre-Assessment Estimator'!$A$10:$Z$227,L$2,FALSE)=0,"",VLOOKUP($A113,'Pre-Assessment Estimator'!$A$10:$Z$227,L$2,FALSE))</f>
        <v/>
      </c>
      <c r="M113" s="448"/>
      <c r="N113" s="449" t="str">
        <f>IF(VLOOKUP($A113,'Pre-Assessment Estimator'!$A$10:$Z$227,N$2,FALSE)=0,"",VLOOKUP($A113,'Pre-Assessment Estimator'!$A$10:$Z$227,N$2,FALSE))</f>
        <v/>
      </c>
      <c r="O113" s="444">
        <f>VLOOKUP($A113,'Pre-Assessment Estimator'!$A$10:$Z$227,O$2,FALSE)</f>
        <v>0</v>
      </c>
      <c r="P113" s="443" t="str">
        <f>VLOOKUP($A113,'Pre-Assessment Estimator'!$A$10:$Z$227,P$2,FALSE)</f>
        <v>N/A</v>
      </c>
      <c r="Q113" s="446" t="str">
        <f>IF(VLOOKUP($A113,'Pre-Assessment Estimator'!$A$10:$Z$227,Q$2,FALSE)=0,"",VLOOKUP($A113,'Pre-Assessment Estimator'!$A$10:$Z$227,Q$2,FALSE))</f>
        <v/>
      </c>
      <c r="R113" s="446" t="str">
        <f>IF(VLOOKUP($A113,'Pre-Assessment Estimator'!$A$10:$Z$227,R$2,FALSE)=0,"",VLOOKUP($A113,'Pre-Assessment Estimator'!$A$10:$Z$227,R$2,FALSE))</f>
        <v/>
      </c>
      <c r="S113" s="447" t="str">
        <f>IF(VLOOKUP($A113,'Pre-Assessment Estimator'!$A$10:$Z$227,S$2,FALSE)=0,"",VLOOKUP($A113,'Pre-Assessment Estimator'!$A$10:$Z$227,S$2,FALSE))</f>
        <v/>
      </c>
      <c r="T113" s="450"/>
      <c r="U113" s="449" t="str">
        <f>IF(VLOOKUP($A113,'Pre-Assessment Estimator'!$A$10:$Z$227,U$2,FALSE)=0,"",VLOOKUP($A113,'Pre-Assessment Estimator'!$A$10:$Z$227,U$2,FALSE))</f>
        <v/>
      </c>
      <c r="V113" s="444">
        <f>VLOOKUP($A113,'Pre-Assessment Estimator'!$A$10:$Z$227,V$2,FALSE)</f>
        <v>0</v>
      </c>
      <c r="W113" s="443" t="str">
        <f>VLOOKUP($A113,'Pre-Assessment Estimator'!$A$10:$Z$227,W$2,FALSE)</f>
        <v>N/A</v>
      </c>
      <c r="X113" s="446" t="str">
        <f>IF(VLOOKUP($A113,'Pre-Assessment Estimator'!$A$10:$Z$227,X$2,FALSE)=0,"",VLOOKUP($A113,'Pre-Assessment Estimator'!$A$10:$Z$227,X$2,FALSE))</f>
        <v/>
      </c>
      <c r="Y113" s="446" t="str">
        <f>IF(VLOOKUP($A113,'Pre-Assessment Estimator'!$A$10:$Z$227,Y$2,FALSE)=0,"",VLOOKUP($A113,'Pre-Assessment Estimator'!$A$10:$Z$227,Y$2,FALSE))</f>
        <v/>
      </c>
      <c r="Z113" s="313" t="str">
        <f>IF(VLOOKUP($A113,'Pre-Assessment Estimator'!$A$10:$Z$227,Z$2,FALSE)=0,"",VLOOKUP($A113,'Pre-Assessment Estimator'!$A$10:$Z$227,Z$2,FALSE))</f>
        <v/>
      </c>
      <c r="AA113" s="544">
        <v>102</v>
      </c>
      <c r="AB113" s="446"/>
      <c r="AF113" s="13">
        <f t="shared" si="2"/>
        <v>2</v>
      </c>
    </row>
    <row r="114" spans="1:32">
      <c r="A114" s="652">
        <v>105</v>
      </c>
      <c r="B114" s="958" t="s">
        <v>385</v>
      </c>
      <c r="C114" s="958"/>
      <c r="D114" s="979" t="str">
        <f>VLOOKUP($A114,'Pre-Assessment Estimator'!$A$10:$Z$227,D$2,FALSE)</f>
        <v>Wat 04</v>
      </c>
      <c r="E114" s="979" t="str">
        <f>VLOOKUP($A114,'Pre-Assessment Estimator'!$A$10:$Z$227,E$2,FALSE)</f>
        <v>Wat 04 Water efficient equipment</v>
      </c>
      <c r="F114" s="443">
        <f>VLOOKUP($A114,'Pre-Assessment Estimator'!$A$10:$Z$227,F$2,FALSE)</f>
        <v>1</v>
      </c>
      <c r="G114" s="449" t="str">
        <f>IF(VLOOKUP($A114,'Pre-Assessment Estimator'!$A$10:$Z$227,G$2,FALSE)=0,"",VLOOKUP($A114,'Pre-Assessment Estimator'!$A$10:$Z$227,G$2,FALSE))</f>
        <v/>
      </c>
      <c r="H114" s="948" t="str">
        <f>VLOOKUP($A114,'Pre-Assessment Estimator'!$A$10:$Z$227,H$2,FALSE)</f>
        <v>0 c. 0 %</v>
      </c>
      <c r="I114" s="445" t="str">
        <f>VLOOKUP($A114,'Pre-Assessment Estimator'!$A$10:$Z$227,I$2,FALSE)</f>
        <v>N/A</v>
      </c>
      <c r="J114" s="446" t="str">
        <f>IF(VLOOKUP($A114,'Pre-Assessment Estimator'!$A$10:$Z$227,J$2,FALSE)=0,"",VLOOKUP($A114,'Pre-Assessment Estimator'!$A$10:$Z$227,J$2,FALSE))</f>
        <v/>
      </c>
      <c r="K114" s="446" t="str">
        <f>IF(VLOOKUP($A114,'Pre-Assessment Estimator'!$A$10:$Z$227,K$2,FALSE)=0,"",VLOOKUP($A114,'Pre-Assessment Estimator'!$A$10:$Z$227,K$2,FALSE))</f>
        <v/>
      </c>
      <c r="L114" s="447" t="str">
        <f>IF(VLOOKUP($A114,'Pre-Assessment Estimator'!$A$10:$Z$227,L$2,FALSE)=0,"",VLOOKUP($A114,'Pre-Assessment Estimator'!$A$10:$Z$227,L$2,FALSE))</f>
        <v/>
      </c>
      <c r="M114" s="448"/>
      <c r="N114" s="449" t="str">
        <f>IF(VLOOKUP($A114,'Pre-Assessment Estimator'!$A$10:$Z$227,N$2,FALSE)=0,"",VLOOKUP($A114,'Pre-Assessment Estimator'!$A$10:$Z$227,N$2,FALSE))</f>
        <v/>
      </c>
      <c r="O114" s="444" t="str">
        <f>VLOOKUP($A114,'Pre-Assessment Estimator'!$A$10:$Z$227,O$2,FALSE)</f>
        <v>0 c. 0 %</v>
      </c>
      <c r="P114" s="443" t="str">
        <f>VLOOKUP($A114,'Pre-Assessment Estimator'!$A$10:$Z$227,P$2,FALSE)</f>
        <v>N/A</v>
      </c>
      <c r="Q114" s="446" t="str">
        <f>IF(VLOOKUP($A114,'Pre-Assessment Estimator'!$A$10:$Z$227,Q$2,FALSE)=0,"",VLOOKUP($A114,'Pre-Assessment Estimator'!$A$10:$Z$227,Q$2,FALSE))</f>
        <v/>
      </c>
      <c r="R114" s="446" t="str">
        <f>IF(VLOOKUP($A114,'Pre-Assessment Estimator'!$A$10:$Z$227,R$2,FALSE)=0,"",VLOOKUP($A114,'Pre-Assessment Estimator'!$A$10:$Z$227,R$2,FALSE))</f>
        <v/>
      </c>
      <c r="S114" s="447" t="str">
        <f>IF(VLOOKUP($A114,'Pre-Assessment Estimator'!$A$10:$Z$227,S$2,FALSE)=0,"",VLOOKUP($A114,'Pre-Assessment Estimator'!$A$10:$Z$227,S$2,FALSE))</f>
        <v/>
      </c>
      <c r="T114" s="450"/>
      <c r="U114" s="449" t="str">
        <f>IF(VLOOKUP($A114,'Pre-Assessment Estimator'!$A$10:$Z$227,U$2,FALSE)=0,"",VLOOKUP($A114,'Pre-Assessment Estimator'!$A$10:$Z$227,U$2,FALSE))</f>
        <v/>
      </c>
      <c r="V114" s="444" t="str">
        <f>VLOOKUP($A114,'Pre-Assessment Estimator'!$A$10:$Z$227,V$2,FALSE)</f>
        <v>0 c. 0 %</v>
      </c>
      <c r="W114" s="443" t="str">
        <f>VLOOKUP($A114,'Pre-Assessment Estimator'!$A$10:$Z$227,W$2,FALSE)</f>
        <v>N/A</v>
      </c>
      <c r="X114" s="446" t="str">
        <f>IF(VLOOKUP($A114,'Pre-Assessment Estimator'!$A$10:$Z$227,X$2,FALSE)=0,"",VLOOKUP($A114,'Pre-Assessment Estimator'!$A$10:$Z$227,X$2,FALSE))</f>
        <v/>
      </c>
      <c r="Y114" s="446" t="str">
        <f>IF(VLOOKUP($A114,'Pre-Assessment Estimator'!$A$10:$Z$227,Y$2,FALSE)=0,"",VLOOKUP($A114,'Pre-Assessment Estimator'!$A$10:$Z$227,Y$2,FALSE))</f>
        <v/>
      </c>
      <c r="Z114" s="313" t="str">
        <f>IF(VLOOKUP($A114,'Pre-Assessment Estimator'!$A$10:$Z$227,Z$2,FALSE)=0,"",VLOOKUP($A114,'Pre-Assessment Estimator'!$A$10:$Z$227,Z$2,FALSE))</f>
        <v/>
      </c>
      <c r="AA114" s="544">
        <v>103</v>
      </c>
      <c r="AB114" s="446"/>
      <c r="AF114" s="13">
        <f t="shared" si="2"/>
        <v>1</v>
      </c>
    </row>
    <row r="115" spans="1:32">
      <c r="A115" s="652">
        <v>106</v>
      </c>
      <c r="B115" s="958" t="s">
        <v>385</v>
      </c>
      <c r="C115" s="958"/>
      <c r="D115" s="980" t="str">
        <f>VLOOKUP($A115,'Pre-Assessment Estimator'!$A$10:$Z$227,D$2,FALSE)</f>
        <v>Wat 04</v>
      </c>
      <c r="E115" s="981" t="str">
        <f>VLOOKUP($A115,'Pre-Assessment Estimator'!$A$10:$Z$227,E$2,FALSE)</f>
        <v>Water efficient equipment</v>
      </c>
      <c r="F115" s="443">
        <f>VLOOKUP($A115,'Pre-Assessment Estimator'!$A$10:$Z$227,F$2,FALSE)</f>
        <v>1</v>
      </c>
      <c r="G115" s="449" t="str">
        <f>IF(VLOOKUP($A115,'Pre-Assessment Estimator'!$A$10:$Z$227,G$2,FALSE)=0,"",VLOOKUP($A115,'Pre-Assessment Estimator'!$A$10:$Z$227,G$2,FALSE))</f>
        <v/>
      </c>
      <c r="H115" s="948">
        <f>VLOOKUP($A115,'Pre-Assessment Estimator'!$A$10:$Z$227,H$2,FALSE)</f>
        <v>0</v>
      </c>
      <c r="I115" s="445" t="str">
        <f>VLOOKUP($A115,'Pre-Assessment Estimator'!$A$10:$Z$227,I$2,FALSE)</f>
        <v>N/A</v>
      </c>
      <c r="J115" s="446" t="str">
        <f>IF(VLOOKUP($A115,'Pre-Assessment Estimator'!$A$10:$Z$227,J$2,FALSE)=0,"",VLOOKUP($A115,'Pre-Assessment Estimator'!$A$10:$Z$227,J$2,FALSE))</f>
        <v/>
      </c>
      <c r="K115" s="446" t="str">
        <f>IF(VLOOKUP($A115,'Pre-Assessment Estimator'!$A$10:$Z$227,K$2,FALSE)=0,"",VLOOKUP($A115,'Pre-Assessment Estimator'!$A$10:$Z$227,K$2,FALSE))</f>
        <v/>
      </c>
      <c r="L115" s="447" t="str">
        <f>IF(VLOOKUP($A115,'Pre-Assessment Estimator'!$A$10:$Z$227,L$2,FALSE)=0,"",VLOOKUP($A115,'Pre-Assessment Estimator'!$A$10:$Z$227,L$2,FALSE))</f>
        <v/>
      </c>
      <c r="M115" s="448"/>
      <c r="N115" s="449" t="str">
        <f>IF(VLOOKUP($A115,'Pre-Assessment Estimator'!$A$10:$Z$227,N$2,FALSE)=0,"",VLOOKUP($A115,'Pre-Assessment Estimator'!$A$10:$Z$227,N$2,FALSE))</f>
        <v/>
      </c>
      <c r="O115" s="444">
        <f>VLOOKUP($A115,'Pre-Assessment Estimator'!$A$10:$Z$227,O$2,FALSE)</f>
        <v>0</v>
      </c>
      <c r="P115" s="443" t="str">
        <f>VLOOKUP($A115,'Pre-Assessment Estimator'!$A$10:$Z$227,P$2,FALSE)</f>
        <v>N/A</v>
      </c>
      <c r="Q115" s="446" t="str">
        <f>IF(VLOOKUP($A115,'Pre-Assessment Estimator'!$A$10:$Z$227,Q$2,FALSE)=0,"",VLOOKUP($A115,'Pre-Assessment Estimator'!$A$10:$Z$227,Q$2,FALSE))</f>
        <v/>
      </c>
      <c r="R115" s="446" t="str">
        <f>IF(VLOOKUP($A115,'Pre-Assessment Estimator'!$A$10:$Z$227,R$2,FALSE)=0,"",VLOOKUP($A115,'Pre-Assessment Estimator'!$A$10:$Z$227,R$2,FALSE))</f>
        <v/>
      </c>
      <c r="S115" s="447" t="str">
        <f>IF(VLOOKUP($A115,'Pre-Assessment Estimator'!$A$10:$Z$227,S$2,FALSE)=0,"",VLOOKUP($A115,'Pre-Assessment Estimator'!$A$10:$Z$227,S$2,FALSE))</f>
        <v/>
      </c>
      <c r="T115" s="450"/>
      <c r="U115" s="449" t="str">
        <f>IF(VLOOKUP($A115,'Pre-Assessment Estimator'!$A$10:$Z$227,U$2,FALSE)=0,"",VLOOKUP($A115,'Pre-Assessment Estimator'!$A$10:$Z$227,U$2,FALSE))</f>
        <v/>
      </c>
      <c r="V115" s="444">
        <f>VLOOKUP($A115,'Pre-Assessment Estimator'!$A$10:$Z$227,V$2,FALSE)</f>
        <v>0</v>
      </c>
      <c r="W115" s="443" t="str">
        <f>VLOOKUP($A115,'Pre-Assessment Estimator'!$A$10:$Z$227,W$2,FALSE)</f>
        <v>N/A</v>
      </c>
      <c r="X115" s="446" t="str">
        <f>IF(VLOOKUP($A115,'Pre-Assessment Estimator'!$A$10:$Z$227,X$2,FALSE)=0,"",VLOOKUP($A115,'Pre-Assessment Estimator'!$A$10:$Z$227,X$2,FALSE))</f>
        <v/>
      </c>
      <c r="Y115" s="446" t="str">
        <f>IF(VLOOKUP($A115,'Pre-Assessment Estimator'!$A$10:$Z$227,Y$2,FALSE)=0,"",VLOOKUP($A115,'Pre-Assessment Estimator'!$A$10:$Z$227,Y$2,FALSE))</f>
        <v/>
      </c>
      <c r="Z115" s="313" t="str">
        <f>IF(VLOOKUP($A115,'Pre-Assessment Estimator'!$A$10:$Z$227,Z$2,FALSE)=0,"",VLOOKUP($A115,'Pre-Assessment Estimator'!$A$10:$Z$227,Z$2,FALSE))</f>
        <v/>
      </c>
      <c r="AA115" s="544">
        <v>104</v>
      </c>
      <c r="AB115" s="446" t="str">
        <f>IF(VLOOKUP($A115,'Pre-Assessment Estimator'!$A$10:$AB$227,AB$2,FALSE)=0,"",VLOOKUP($A115,'Pre-Assessment Estimator'!$A$10:$AB$227,AB$2,FALSE))</f>
        <v/>
      </c>
      <c r="AF115" s="13">
        <f t="shared" si="2"/>
        <v>1</v>
      </c>
    </row>
    <row r="116" spans="1:32" ht="30" customHeight="1" thickBot="1">
      <c r="A116" s="652">
        <v>107</v>
      </c>
      <c r="B116" s="958" t="s">
        <v>385</v>
      </c>
      <c r="C116" s="958"/>
      <c r="D116" s="982"/>
      <c r="E116" s="982" t="str">
        <f>VLOOKUP($A116,'Pre-Assessment Estimator'!$A$10:$Z$227,E$2,FALSE)</f>
        <v>Total performance water</v>
      </c>
      <c r="F116" s="451">
        <f>VLOOKUP($A116,'Pre-Assessment Estimator'!$A$10:$Z$227,F$2,FALSE)</f>
        <v>9</v>
      </c>
      <c r="G116" s="453" t="str">
        <f>IF(VLOOKUP($A116,'Pre-Assessment Estimator'!$A$10:$Z$227,G$2,FALSE)=0,"",VLOOKUP($A116,'Pre-Assessment Estimator'!$A$10:$Z$227,G$2,FALSE))</f>
        <v/>
      </c>
      <c r="H116" s="452">
        <f>VLOOKUP($A116,'Pre-Assessment Estimator'!$A$10:$Z$227,H$2,FALSE)</f>
        <v>0</v>
      </c>
      <c r="I116" s="451" t="str">
        <f>VLOOKUP($A116,'Pre-Assessment Estimator'!$A$10:$Z$227,I$2,FALSE)</f>
        <v>Credits achieved: 0</v>
      </c>
      <c r="J116" s="930" t="str">
        <f>IF(VLOOKUP($A116,'Pre-Assessment Estimator'!$A$10:$Z$227,J$2,FALSE)=0,"",VLOOKUP($A116,'Pre-Assessment Estimator'!$A$10:$Z$227,J$2,FALSE))</f>
        <v/>
      </c>
      <c r="K116" s="930" t="str">
        <f>IF(VLOOKUP($A116,'Pre-Assessment Estimator'!$A$10:$Z$227,K$2,FALSE)=0,"",VLOOKUP($A116,'Pre-Assessment Estimator'!$A$10:$Z$227,K$2,FALSE))</f>
        <v/>
      </c>
      <c r="L116" s="949" t="str">
        <f>IF(VLOOKUP($A116,'Pre-Assessment Estimator'!$A$10:$Z$227,L$2,FALSE)=0,"",VLOOKUP($A116,'Pre-Assessment Estimator'!$A$10:$Z$227,L$2,FALSE))</f>
        <v/>
      </c>
      <c r="M116" s="950"/>
      <c r="N116" s="453" t="str">
        <f>IF(VLOOKUP($A116,'Pre-Assessment Estimator'!$A$10:$Z$227,N$2,FALSE)=0,"",VLOOKUP($A116,'Pre-Assessment Estimator'!$A$10:$Z$227,N$2,FALSE))</f>
        <v/>
      </c>
      <c r="O116" s="452">
        <f>VLOOKUP($A116,'Pre-Assessment Estimator'!$A$10:$Z$227,O$2,FALSE)</f>
        <v>0</v>
      </c>
      <c r="P116" s="451" t="str">
        <f>VLOOKUP($A116,'Pre-Assessment Estimator'!$A$10:$Z$227,P$2,FALSE)</f>
        <v>Credits achieved: 0</v>
      </c>
      <c r="Q116" s="930" t="str">
        <f>IF(VLOOKUP($A116,'Pre-Assessment Estimator'!$A$10:$Z$227,Q$2,FALSE)=0,"",VLOOKUP($A116,'Pre-Assessment Estimator'!$A$10:$Z$227,Q$2,FALSE))</f>
        <v/>
      </c>
      <c r="R116" s="930" t="str">
        <f>IF(VLOOKUP($A116,'Pre-Assessment Estimator'!$A$10:$Z$227,R$2,FALSE)=0,"",VLOOKUP($A116,'Pre-Assessment Estimator'!$A$10:$Z$227,R$2,FALSE))</f>
        <v/>
      </c>
      <c r="S116" s="949" t="str">
        <f>IF(VLOOKUP($A116,'Pre-Assessment Estimator'!$A$10:$Z$227,S$2,FALSE)=0,"",VLOOKUP($A116,'Pre-Assessment Estimator'!$A$10:$Z$227,S$2,FALSE))</f>
        <v/>
      </c>
      <c r="T116" s="951"/>
      <c r="U116" s="453" t="str">
        <f>IF(VLOOKUP($A116,'Pre-Assessment Estimator'!$A$10:$Z$227,U$2,FALSE)=0,"",VLOOKUP($A116,'Pre-Assessment Estimator'!$A$10:$Z$227,U$2,FALSE))</f>
        <v/>
      </c>
      <c r="V116" s="452">
        <f>VLOOKUP($A116,'Pre-Assessment Estimator'!$A$10:$Z$227,V$2,FALSE)</f>
        <v>0</v>
      </c>
      <c r="W116" s="451" t="str">
        <f>VLOOKUP($A116,'Pre-Assessment Estimator'!$A$10:$Z$227,W$2,FALSE)</f>
        <v>Credits achieved: 0</v>
      </c>
      <c r="X116" s="930" t="str">
        <f>IF(VLOOKUP($A116,'Pre-Assessment Estimator'!$A$10:$Z$227,X$2,FALSE)=0,"",VLOOKUP($A116,'Pre-Assessment Estimator'!$A$10:$Z$227,X$2,FALSE))</f>
        <v/>
      </c>
      <c r="Y116" s="930" t="str">
        <f>IF(VLOOKUP($A116,'Pre-Assessment Estimator'!$A$10:$Z$227,Y$2,FALSE)=0,"",VLOOKUP($A116,'Pre-Assessment Estimator'!$A$10:$Z$227,Y$2,FALSE))</f>
        <v/>
      </c>
      <c r="Z116" s="952" t="str">
        <f>IF(VLOOKUP($A116,'Pre-Assessment Estimator'!$A$10:$Z$227,Z$2,FALSE)=0,"",VLOOKUP($A116,'Pre-Assessment Estimator'!$A$10:$Z$227,Z$2,FALSE))</f>
        <v/>
      </c>
      <c r="AA116" s="544">
        <v>105</v>
      </c>
      <c r="AB116" s="454"/>
      <c r="AF116" s="13">
        <f t="shared" si="2"/>
        <v>1</v>
      </c>
    </row>
    <row r="117" spans="1:32">
      <c r="A117" s="652">
        <v>108</v>
      </c>
      <c r="B117" s="958" t="s">
        <v>408</v>
      </c>
      <c r="C117" s="958"/>
      <c r="D117" s="454"/>
      <c r="E117" s="454"/>
      <c r="F117" s="455"/>
      <c r="G117" s="455"/>
      <c r="H117" s="455"/>
      <c r="I117" s="455"/>
      <c r="J117" s="454"/>
      <c r="K117" s="455"/>
      <c r="L117" s="454"/>
      <c r="M117" s="448"/>
      <c r="N117" s="455"/>
      <c r="O117" s="455"/>
      <c r="P117" s="455"/>
      <c r="Q117" s="454"/>
      <c r="R117" s="455"/>
      <c r="S117" s="454"/>
      <c r="T117" s="450"/>
      <c r="U117" s="455"/>
      <c r="V117" s="455"/>
      <c r="W117" s="455"/>
      <c r="X117" s="454"/>
      <c r="Y117" s="455"/>
      <c r="Z117" s="291"/>
      <c r="AA117" s="544">
        <v>106</v>
      </c>
      <c r="AB117" s="545"/>
      <c r="AF117" s="13">
        <f t="shared" si="2"/>
        <v>1</v>
      </c>
    </row>
    <row r="118" spans="1:32" ht="18.75">
      <c r="A118" s="652">
        <v>109</v>
      </c>
      <c r="B118" s="958" t="s">
        <v>408</v>
      </c>
      <c r="C118" s="958"/>
      <c r="D118" s="456"/>
      <c r="E118" s="456" t="s">
        <v>408</v>
      </c>
      <c r="F118" s="439"/>
      <c r="G118" s="439"/>
      <c r="H118" s="439"/>
      <c r="I118" s="439"/>
      <c r="J118" s="440"/>
      <c r="K118" s="439"/>
      <c r="L118" s="440"/>
      <c r="M118" s="448"/>
      <c r="N118" s="439"/>
      <c r="O118" s="439"/>
      <c r="P118" s="439"/>
      <c r="Q118" s="440"/>
      <c r="R118" s="439"/>
      <c r="S118" s="440"/>
      <c r="T118" s="450"/>
      <c r="U118" s="439"/>
      <c r="V118" s="439"/>
      <c r="W118" s="439"/>
      <c r="X118" s="440"/>
      <c r="Y118" s="439"/>
      <c r="Z118" s="341"/>
      <c r="AA118" s="544">
        <v>107</v>
      </c>
      <c r="AB118" s="446" t="str">
        <f>IF(VLOOKUP($A118,'Pre-Assessment Estimator'!$A$10:$AB$227,AB$2,FALSE)=0,"",VLOOKUP($A118,'Pre-Assessment Estimator'!$A$10:$AB$227,AB$2,FALSE))</f>
        <v/>
      </c>
      <c r="AF118" s="13">
        <f t="shared" si="2"/>
        <v>1</v>
      </c>
    </row>
    <row r="119" spans="1:32" ht="30">
      <c r="A119" s="652">
        <v>110</v>
      </c>
      <c r="B119" s="958" t="s">
        <v>408</v>
      </c>
      <c r="C119" s="958"/>
      <c r="D119" s="979" t="str">
        <f>VLOOKUP($A119,'Pre-Assessment Estimator'!$A$10:$Z$227,D$2,FALSE)</f>
        <v>Mat 01</v>
      </c>
      <c r="E119" s="979" t="str">
        <f>VLOOKUP($A119,'Pre-Assessment Estimator'!$A$10:$Z$227,E$2,FALSE)</f>
        <v>Mat 01 Environmental impacts from construction products - Building life cycle assessment (LCA)</v>
      </c>
      <c r="F119" s="443">
        <f>VLOOKUP($A119,'Pre-Assessment Estimator'!$A$10:$Z$227,F$2,FALSE)</f>
        <v>5</v>
      </c>
      <c r="G119" s="449" t="str">
        <f>IF(VLOOKUP($A119,'Pre-Assessment Estimator'!$A$10:$Z$227,G$2,FALSE)=0,"",VLOOKUP($A119,'Pre-Assessment Estimator'!$A$10:$Z$227,G$2,FALSE))</f>
        <v/>
      </c>
      <c r="H119" s="948" t="str">
        <f>VLOOKUP($A119,'Pre-Assessment Estimator'!$A$10:$Z$227,H$2,FALSE)</f>
        <v>0 c. 0 %</v>
      </c>
      <c r="I119" s="445" t="str">
        <f>VLOOKUP($A119,'Pre-Assessment Estimator'!$A$10:$Z$227,I$2,FALSE)</f>
        <v>N/A</v>
      </c>
      <c r="J119" s="446" t="str">
        <f>IF(VLOOKUP($A119,'Pre-Assessment Estimator'!$A$10:$Z$227,J$2,FALSE)=0,"",VLOOKUP($A119,'Pre-Assessment Estimator'!$A$10:$Z$227,J$2,FALSE))</f>
        <v/>
      </c>
      <c r="K119" s="446" t="str">
        <f>IF(VLOOKUP($A119,'Pre-Assessment Estimator'!$A$10:$Z$227,K$2,FALSE)=0,"",VLOOKUP($A119,'Pre-Assessment Estimator'!$A$10:$Z$227,K$2,FALSE))</f>
        <v/>
      </c>
      <c r="L119" s="447" t="str">
        <f>IF(VLOOKUP($A119,'Pre-Assessment Estimator'!$A$10:$Z$227,L$2,FALSE)=0,"",VLOOKUP($A119,'Pre-Assessment Estimator'!$A$10:$Z$227,L$2,FALSE))</f>
        <v/>
      </c>
      <c r="M119" s="448"/>
      <c r="N119" s="449" t="str">
        <f>IF(VLOOKUP($A119,'Pre-Assessment Estimator'!$A$10:$Z$227,N$2,FALSE)=0,"",VLOOKUP($A119,'Pre-Assessment Estimator'!$A$10:$Z$227,N$2,FALSE))</f>
        <v/>
      </c>
      <c r="O119" s="444" t="str">
        <f>VLOOKUP($A119,'Pre-Assessment Estimator'!$A$10:$Z$227,O$2,FALSE)</f>
        <v>0 c. 0 %</v>
      </c>
      <c r="P119" s="443" t="str">
        <f>VLOOKUP($A119,'Pre-Assessment Estimator'!$A$10:$Z$227,P$2,FALSE)</f>
        <v>N/A</v>
      </c>
      <c r="Q119" s="446" t="str">
        <f>IF(VLOOKUP($A119,'Pre-Assessment Estimator'!$A$10:$Z$227,Q$2,FALSE)=0,"",VLOOKUP($A119,'Pre-Assessment Estimator'!$A$10:$Z$227,Q$2,FALSE))</f>
        <v/>
      </c>
      <c r="R119" s="446" t="str">
        <f>IF(VLOOKUP($A119,'Pre-Assessment Estimator'!$A$10:$Z$227,R$2,FALSE)=0,"",VLOOKUP($A119,'Pre-Assessment Estimator'!$A$10:$Z$227,R$2,FALSE))</f>
        <v/>
      </c>
      <c r="S119" s="447" t="str">
        <f>IF(VLOOKUP($A119,'Pre-Assessment Estimator'!$A$10:$Z$227,S$2,FALSE)=0,"",VLOOKUP($A119,'Pre-Assessment Estimator'!$A$10:$Z$227,S$2,FALSE))</f>
        <v/>
      </c>
      <c r="T119" s="450"/>
      <c r="U119" s="449" t="str">
        <f>IF(VLOOKUP($A119,'Pre-Assessment Estimator'!$A$10:$Z$227,U$2,FALSE)=0,"",VLOOKUP($A119,'Pre-Assessment Estimator'!$A$10:$Z$227,U$2,FALSE))</f>
        <v/>
      </c>
      <c r="V119" s="444" t="str">
        <f>VLOOKUP($A119,'Pre-Assessment Estimator'!$A$10:$Z$227,V$2,FALSE)</f>
        <v>0 c. 0 %</v>
      </c>
      <c r="W119" s="443" t="str">
        <f>VLOOKUP($A119,'Pre-Assessment Estimator'!$A$10:$Z$227,W$2,FALSE)</f>
        <v>N/A</v>
      </c>
      <c r="X119" s="446" t="str">
        <f>IF(VLOOKUP($A119,'Pre-Assessment Estimator'!$A$10:$Z$227,X$2,FALSE)=0,"",VLOOKUP($A119,'Pre-Assessment Estimator'!$A$10:$Z$227,X$2,FALSE))</f>
        <v/>
      </c>
      <c r="Y119" s="446" t="str">
        <f>IF(VLOOKUP($A119,'Pre-Assessment Estimator'!$A$10:$Z$227,Y$2,FALSE)=0,"",VLOOKUP($A119,'Pre-Assessment Estimator'!$A$10:$Z$227,Y$2,FALSE))</f>
        <v/>
      </c>
      <c r="Z119" s="313" t="str">
        <f>IF(VLOOKUP($A119,'Pre-Assessment Estimator'!$A$10:$Z$227,Z$2,FALSE)=0,"",VLOOKUP($A119,'Pre-Assessment Estimator'!$A$10:$Z$227,Z$2,FALSE))</f>
        <v/>
      </c>
      <c r="AA119" s="544">
        <v>108</v>
      </c>
      <c r="AB119" s="446"/>
      <c r="AF119" s="13">
        <f t="shared" si="2"/>
        <v>1</v>
      </c>
    </row>
    <row r="120" spans="1:32">
      <c r="A120" s="652">
        <v>111</v>
      </c>
      <c r="B120" s="958" t="s">
        <v>408</v>
      </c>
      <c r="C120" s="958"/>
      <c r="D120" s="980" t="str">
        <f>VLOOKUP($A120,'Pre-Assessment Estimator'!$A$10:$Z$227,D$2,FALSE)</f>
        <v>Mat 01</v>
      </c>
      <c r="E120" s="981" t="str">
        <f>VLOOKUP($A120,'Pre-Assessment Estimator'!$A$10:$Z$227,E$2,FALSE)</f>
        <v>Pre-requisite: early stage greenhouse gas calculation</v>
      </c>
      <c r="F120" s="443" t="str">
        <f>VLOOKUP($A120,'Pre-Assessment Estimator'!$A$10:$Z$227,F$2,FALSE)</f>
        <v>Yes/No</v>
      </c>
      <c r="G120" s="449" t="str">
        <f>IF(VLOOKUP($A120,'Pre-Assessment Estimator'!$A$10:$Z$227,G$2,FALSE)=0,"",VLOOKUP($A120,'Pre-Assessment Estimator'!$A$10:$Z$227,G$2,FALSE))</f>
        <v/>
      </c>
      <c r="H120" s="948" t="str">
        <f>VLOOKUP($A120,'Pre-Assessment Estimator'!$A$10:$Z$227,H$2,FALSE)</f>
        <v>-</v>
      </c>
      <c r="I120" s="445" t="str">
        <f>VLOOKUP($A120,'Pre-Assessment Estimator'!$A$10:$Z$227,I$2,FALSE)</f>
        <v>Unclassified</v>
      </c>
      <c r="J120" s="446" t="str">
        <f>IF(VLOOKUP($A120,'Pre-Assessment Estimator'!$A$10:$Z$227,J$2,FALSE)=0,"",VLOOKUP($A120,'Pre-Assessment Estimator'!$A$10:$Z$227,J$2,FALSE))</f>
        <v/>
      </c>
      <c r="K120" s="446" t="str">
        <f>IF(VLOOKUP($A120,'Pre-Assessment Estimator'!$A$10:$Z$227,K$2,FALSE)=0,"",VLOOKUP($A120,'Pre-Assessment Estimator'!$A$10:$Z$227,K$2,FALSE))</f>
        <v/>
      </c>
      <c r="L120" s="447" t="str">
        <f>IF(VLOOKUP($A120,'Pre-Assessment Estimator'!$A$10:$Z$227,L$2,FALSE)=0,"",VLOOKUP($A120,'Pre-Assessment Estimator'!$A$10:$Z$227,L$2,FALSE))</f>
        <v/>
      </c>
      <c r="M120" s="448"/>
      <c r="N120" s="449" t="str">
        <f>IF(VLOOKUP($A120,'Pre-Assessment Estimator'!$A$10:$Z$227,N$2,FALSE)=0,"",VLOOKUP($A120,'Pre-Assessment Estimator'!$A$10:$Z$227,N$2,FALSE))</f>
        <v/>
      </c>
      <c r="O120" s="444" t="str">
        <f>VLOOKUP($A120,'Pre-Assessment Estimator'!$A$10:$Z$227,O$2,FALSE)</f>
        <v>-</v>
      </c>
      <c r="P120" s="443" t="str">
        <f>VLOOKUP($A120,'Pre-Assessment Estimator'!$A$10:$Z$227,P$2,FALSE)</f>
        <v>Unclassified</v>
      </c>
      <c r="Q120" s="446" t="str">
        <f>IF(VLOOKUP($A120,'Pre-Assessment Estimator'!$A$10:$Z$227,Q$2,FALSE)=0,"",VLOOKUP($A120,'Pre-Assessment Estimator'!$A$10:$Z$227,Q$2,FALSE))</f>
        <v/>
      </c>
      <c r="R120" s="446" t="str">
        <f>IF(VLOOKUP($A120,'Pre-Assessment Estimator'!$A$10:$Z$227,R$2,FALSE)=0,"",VLOOKUP($A120,'Pre-Assessment Estimator'!$A$10:$Z$227,R$2,FALSE))</f>
        <v/>
      </c>
      <c r="S120" s="447" t="str">
        <f>IF(VLOOKUP($A120,'Pre-Assessment Estimator'!$A$10:$Z$227,S$2,FALSE)=0,"",VLOOKUP($A120,'Pre-Assessment Estimator'!$A$10:$Z$227,S$2,FALSE))</f>
        <v/>
      </c>
      <c r="T120" s="450"/>
      <c r="U120" s="449" t="str">
        <f>IF(VLOOKUP($A120,'Pre-Assessment Estimator'!$A$10:$Z$227,U$2,FALSE)=0,"",VLOOKUP($A120,'Pre-Assessment Estimator'!$A$10:$Z$227,U$2,FALSE))</f>
        <v/>
      </c>
      <c r="V120" s="444" t="str">
        <f>VLOOKUP($A120,'Pre-Assessment Estimator'!$A$10:$Z$227,V$2,FALSE)</f>
        <v>-</v>
      </c>
      <c r="W120" s="443" t="str">
        <f>VLOOKUP($A120,'Pre-Assessment Estimator'!$A$10:$Z$227,W$2,FALSE)</f>
        <v>Unclassified</v>
      </c>
      <c r="X120" s="446" t="str">
        <f>IF(VLOOKUP($A120,'Pre-Assessment Estimator'!$A$10:$Z$227,X$2,FALSE)=0,"",VLOOKUP($A120,'Pre-Assessment Estimator'!$A$10:$Z$227,X$2,FALSE))</f>
        <v/>
      </c>
      <c r="Y120" s="446" t="str">
        <f>IF(VLOOKUP($A120,'Pre-Assessment Estimator'!$A$10:$Z$227,Y$2,FALSE)=0,"",VLOOKUP($A120,'Pre-Assessment Estimator'!$A$10:$Z$227,Y$2,FALSE))</f>
        <v/>
      </c>
      <c r="Z120" s="313" t="str">
        <f>IF(VLOOKUP($A120,'Pre-Assessment Estimator'!$A$10:$Z$227,Z$2,FALSE)=0,"",VLOOKUP($A120,'Pre-Assessment Estimator'!$A$10:$Z$227,Z$2,FALSE))</f>
        <v/>
      </c>
      <c r="AA120" s="544">
        <v>109</v>
      </c>
      <c r="AB120" s="446"/>
      <c r="AF120" s="13">
        <f t="shared" si="2"/>
        <v>1</v>
      </c>
    </row>
    <row r="121" spans="1:32">
      <c r="A121" s="652">
        <v>112</v>
      </c>
      <c r="B121" s="958" t="s">
        <v>408</v>
      </c>
      <c r="C121" s="958"/>
      <c r="D121" s="980" t="str">
        <f>VLOOKUP($A121,'Pre-Assessment Estimator'!$A$10:$Z$227,D$2,FALSE)</f>
        <v>Mat 01</v>
      </c>
      <c r="E121" s="981" t="str">
        <f>VLOOKUP($A121,'Pre-Assessment Estimator'!$A$10:$Z$227,E$2,FALSE)</f>
        <v>Reduction of greenhouse gas emissions</v>
      </c>
      <c r="F121" s="443">
        <f>VLOOKUP($A121,'Pre-Assessment Estimator'!$A$10:$Z$227,F$2,FALSE)</f>
        <v>3</v>
      </c>
      <c r="G121" s="449" t="str">
        <f>IF(VLOOKUP($A121,'Pre-Assessment Estimator'!$A$10:$Z$227,G$2,FALSE)=0,"",VLOOKUP($A121,'Pre-Assessment Estimator'!$A$10:$Z$227,G$2,FALSE))</f>
        <v/>
      </c>
      <c r="H121" s="948">
        <f>VLOOKUP($A121,'Pre-Assessment Estimator'!$A$10:$Z$227,H$2,FALSE)</f>
        <v>0</v>
      </c>
      <c r="I121" s="445" t="str">
        <f>VLOOKUP($A121,'Pre-Assessment Estimator'!$A$10:$Z$227,I$2,FALSE)</f>
        <v>Good</v>
      </c>
      <c r="J121" s="446" t="str">
        <f>IF(VLOOKUP($A121,'Pre-Assessment Estimator'!$A$10:$Z$227,J$2,FALSE)=0,"",VLOOKUP($A121,'Pre-Assessment Estimator'!$A$10:$Z$227,J$2,FALSE))</f>
        <v/>
      </c>
      <c r="K121" s="446" t="str">
        <f>IF(VLOOKUP($A121,'Pre-Assessment Estimator'!$A$10:$Z$227,K$2,FALSE)=0,"",VLOOKUP($A121,'Pre-Assessment Estimator'!$A$10:$Z$227,K$2,FALSE))</f>
        <v/>
      </c>
      <c r="L121" s="447" t="str">
        <f>IF(VLOOKUP($A121,'Pre-Assessment Estimator'!$A$10:$Z$227,L$2,FALSE)=0,"",VLOOKUP($A121,'Pre-Assessment Estimator'!$A$10:$Z$227,L$2,FALSE))</f>
        <v/>
      </c>
      <c r="M121" s="448"/>
      <c r="N121" s="449" t="str">
        <f>IF(VLOOKUP($A121,'Pre-Assessment Estimator'!$A$10:$Z$227,N$2,FALSE)=0,"",VLOOKUP($A121,'Pre-Assessment Estimator'!$A$10:$Z$227,N$2,FALSE))</f>
        <v/>
      </c>
      <c r="O121" s="444">
        <f>VLOOKUP($A121,'Pre-Assessment Estimator'!$A$10:$Z$227,O$2,FALSE)</f>
        <v>0</v>
      </c>
      <c r="P121" s="443" t="str">
        <f>VLOOKUP($A121,'Pre-Assessment Estimator'!$A$10:$Z$227,P$2,FALSE)</f>
        <v>Good</v>
      </c>
      <c r="Q121" s="446" t="str">
        <f>IF(VLOOKUP($A121,'Pre-Assessment Estimator'!$A$10:$Z$227,Q$2,FALSE)=0,"",VLOOKUP($A121,'Pre-Assessment Estimator'!$A$10:$Z$227,Q$2,FALSE))</f>
        <v/>
      </c>
      <c r="R121" s="446" t="str">
        <f>IF(VLOOKUP($A121,'Pre-Assessment Estimator'!$A$10:$Z$227,R$2,FALSE)=0,"",VLOOKUP($A121,'Pre-Assessment Estimator'!$A$10:$Z$227,R$2,FALSE))</f>
        <v/>
      </c>
      <c r="S121" s="447" t="str">
        <f>IF(VLOOKUP($A121,'Pre-Assessment Estimator'!$A$10:$Z$227,S$2,FALSE)=0,"",VLOOKUP($A121,'Pre-Assessment Estimator'!$A$10:$Z$227,S$2,FALSE))</f>
        <v/>
      </c>
      <c r="T121" s="450"/>
      <c r="U121" s="449" t="str">
        <f>IF(VLOOKUP($A121,'Pre-Assessment Estimator'!$A$10:$Z$227,U$2,FALSE)=0,"",VLOOKUP($A121,'Pre-Assessment Estimator'!$A$10:$Z$227,U$2,FALSE))</f>
        <v/>
      </c>
      <c r="V121" s="444">
        <f>VLOOKUP($A121,'Pre-Assessment Estimator'!$A$10:$Z$227,V$2,FALSE)</f>
        <v>0</v>
      </c>
      <c r="W121" s="443" t="str">
        <f>VLOOKUP($A121,'Pre-Assessment Estimator'!$A$10:$Z$227,W$2,FALSE)</f>
        <v>Good</v>
      </c>
      <c r="X121" s="446" t="str">
        <f>IF(VLOOKUP($A121,'Pre-Assessment Estimator'!$A$10:$Z$227,X$2,FALSE)=0,"",VLOOKUP($A121,'Pre-Assessment Estimator'!$A$10:$Z$227,X$2,FALSE))</f>
        <v/>
      </c>
      <c r="Y121" s="446" t="str">
        <f>IF(VLOOKUP($A121,'Pre-Assessment Estimator'!$A$10:$Z$227,Y$2,FALSE)=0,"",VLOOKUP($A121,'Pre-Assessment Estimator'!$A$10:$Z$227,Y$2,FALSE))</f>
        <v/>
      </c>
      <c r="Z121" s="313" t="str">
        <f>IF(VLOOKUP($A121,'Pre-Assessment Estimator'!$A$10:$Z$227,Z$2,FALSE)=0,"",VLOOKUP($A121,'Pre-Assessment Estimator'!$A$10:$Z$227,Z$2,FALSE))</f>
        <v/>
      </c>
      <c r="AA121" s="544">
        <v>110</v>
      </c>
      <c r="AB121" s="446"/>
      <c r="AF121" s="13">
        <f t="shared" si="2"/>
        <v>1</v>
      </c>
    </row>
    <row r="122" spans="1:32">
      <c r="A122" s="652">
        <v>113</v>
      </c>
      <c r="B122" s="958" t="s">
        <v>408</v>
      </c>
      <c r="C122" s="958"/>
      <c r="D122" s="980" t="str">
        <f>VLOOKUP($A122,'Pre-Assessment Estimator'!$A$10:$Z$227,D$2,FALSE)</f>
        <v>Mat 01</v>
      </c>
      <c r="E122" s="981" t="str">
        <f>VLOOKUP($A122,'Pre-Assessment Estimator'!$A$10:$Z$227,E$2,FALSE)</f>
        <v>Life cycle assessment of the building</v>
      </c>
      <c r="F122" s="443">
        <f>VLOOKUP($A122,'Pre-Assessment Estimator'!$A$10:$Z$227,F$2,FALSE)</f>
        <v>2</v>
      </c>
      <c r="G122" s="449" t="str">
        <f>IF(VLOOKUP($A122,'Pre-Assessment Estimator'!$A$10:$Z$227,G$2,FALSE)=0,"",VLOOKUP($A122,'Pre-Assessment Estimator'!$A$10:$Z$227,G$2,FALSE))</f>
        <v/>
      </c>
      <c r="H122" s="948">
        <f>VLOOKUP($A122,'Pre-Assessment Estimator'!$A$10:$Z$227,H$2,FALSE)</f>
        <v>0</v>
      </c>
      <c r="I122" s="445" t="str">
        <f>VLOOKUP($A122,'Pre-Assessment Estimator'!$A$10:$Z$227,I$2,FALSE)</f>
        <v>N/A</v>
      </c>
      <c r="J122" s="446" t="str">
        <f>IF(VLOOKUP($A122,'Pre-Assessment Estimator'!$A$10:$Z$227,J$2,FALSE)=0,"",VLOOKUP($A122,'Pre-Assessment Estimator'!$A$10:$Z$227,J$2,FALSE))</f>
        <v/>
      </c>
      <c r="K122" s="446" t="str">
        <f>IF(VLOOKUP($A122,'Pre-Assessment Estimator'!$A$10:$Z$227,K$2,FALSE)=0,"",VLOOKUP($A122,'Pre-Assessment Estimator'!$A$10:$Z$227,K$2,FALSE))</f>
        <v/>
      </c>
      <c r="L122" s="447" t="str">
        <f>IF(VLOOKUP($A122,'Pre-Assessment Estimator'!$A$10:$Z$227,L$2,FALSE)=0,"",VLOOKUP($A122,'Pre-Assessment Estimator'!$A$10:$Z$227,L$2,FALSE))</f>
        <v/>
      </c>
      <c r="M122" s="448"/>
      <c r="N122" s="449" t="str">
        <f>IF(VLOOKUP($A122,'Pre-Assessment Estimator'!$A$10:$Z$227,N$2,FALSE)=0,"",VLOOKUP($A122,'Pre-Assessment Estimator'!$A$10:$Z$227,N$2,FALSE))</f>
        <v/>
      </c>
      <c r="O122" s="444">
        <f>VLOOKUP($A122,'Pre-Assessment Estimator'!$A$10:$Z$227,O$2,FALSE)</f>
        <v>0</v>
      </c>
      <c r="P122" s="443" t="str">
        <f>VLOOKUP($A122,'Pre-Assessment Estimator'!$A$10:$Z$227,P$2,FALSE)</f>
        <v>N/A</v>
      </c>
      <c r="Q122" s="446" t="str">
        <f>IF(VLOOKUP($A122,'Pre-Assessment Estimator'!$A$10:$Z$227,Q$2,FALSE)=0,"",VLOOKUP($A122,'Pre-Assessment Estimator'!$A$10:$Z$227,Q$2,FALSE))</f>
        <v/>
      </c>
      <c r="R122" s="446" t="str">
        <f>IF(VLOOKUP($A122,'Pre-Assessment Estimator'!$A$10:$Z$227,R$2,FALSE)=0,"",VLOOKUP($A122,'Pre-Assessment Estimator'!$A$10:$Z$227,R$2,FALSE))</f>
        <v/>
      </c>
      <c r="S122" s="447" t="str">
        <f>IF(VLOOKUP($A122,'Pre-Assessment Estimator'!$A$10:$Z$227,S$2,FALSE)=0,"",VLOOKUP($A122,'Pre-Assessment Estimator'!$A$10:$Z$227,S$2,FALSE))</f>
        <v/>
      </c>
      <c r="T122" s="450"/>
      <c r="U122" s="449" t="str">
        <f>IF(VLOOKUP($A122,'Pre-Assessment Estimator'!$A$10:$Z$227,U$2,FALSE)=0,"",VLOOKUP($A122,'Pre-Assessment Estimator'!$A$10:$Z$227,U$2,FALSE))</f>
        <v/>
      </c>
      <c r="V122" s="444">
        <f>VLOOKUP($A122,'Pre-Assessment Estimator'!$A$10:$Z$227,V$2,FALSE)</f>
        <v>0</v>
      </c>
      <c r="W122" s="443" t="str">
        <f>VLOOKUP($A122,'Pre-Assessment Estimator'!$A$10:$Z$227,W$2,FALSE)</f>
        <v>N/A</v>
      </c>
      <c r="X122" s="446" t="str">
        <f>IF(VLOOKUP($A122,'Pre-Assessment Estimator'!$A$10:$Z$227,X$2,FALSE)=0,"",VLOOKUP($A122,'Pre-Assessment Estimator'!$A$10:$Z$227,X$2,FALSE))</f>
        <v/>
      </c>
      <c r="Y122" s="446" t="str">
        <f>IF(VLOOKUP($A122,'Pre-Assessment Estimator'!$A$10:$Z$227,Y$2,FALSE)=0,"",VLOOKUP($A122,'Pre-Assessment Estimator'!$A$10:$Z$227,Y$2,FALSE))</f>
        <v/>
      </c>
      <c r="Z122" s="313" t="str">
        <f>IF(VLOOKUP($A122,'Pre-Assessment Estimator'!$A$10:$Z$227,Z$2,FALSE)=0,"",VLOOKUP($A122,'Pre-Assessment Estimator'!$A$10:$Z$227,Z$2,FALSE))</f>
        <v/>
      </c>
      <c r="AA122" s="544">
        <v>111</v>
      </c>
      <c r="AB122" s="446"/>
      <c r="AF122" s="13">
        <f t="shared" si="2"/>
        <v>1</v>
      </c>
    </row>
    <row r="123" spans="1:32" ht="30">
      <c r="A123" s="652">
        <v>114</v>
      </c>
      <c r="B123" s="958" t="s">
        <v>408</v>
      </c>
      <c r="C123" s="958"/>
      <c r="D123" s="979" t="str">
        <f>VLOOKUP($A123,'Pre-Assessment Estimator'!$A$10:$Z$227,D$2,FALSE)</f>
        <v>Mat 02</v>
      </c>
      <c r="E123" s="979" t="str">
        <f>VLOOKUP($A123,'Pre-Assessment Estimator'!$A$10:$Z$227,E$2,FALSE)</f>
        <v>Mat 02 Environmental impacts from construction products - product requirements</v>
      </c>
      <c r="F123" s="443">
        <f>VLOOKUP($A123,'Pre-Assessment Estimator'!$A$10:$Z$227,F$2,FALSE)</f>
        <v>3</v>
      </c>
      <c r="G123" s="449" t="str">
        <f>IF(VLOOKUP($A123,'Pre-Assessment Estimator'!$A$10:$Z$227,G$2,FALSE)=0,"",VLOOKUP($A123,'Pre-Assessment Estimator'!$A$10:$Z$227,G$2,FALSE))</f>
        <v/>
      </c>
      <c r="H123" s="948" t="str">
        <f>VLOOKUP($A123,'Pre-Assessment Estimator'!$A$10:$Z$227,H$2,FALSE)</f>
        <v>0 c. 0 %</v>
      </c>
      <c r="I123" s="445" t="str">
        <f>VLOOKUP($A123,'Pre-Assessment Estimator'!$A$10:$Z$227,I$2,FALSE)</f>
        <v>N/A</v>
      </c>
      <c r="J123" s="446" t="str">
        <f>IF(VLOOKUP($A123,'Pre-Assessment Estimator'!$A$10:$Z$227,J$2,FALSE)=0,"",VLOOKUP($A123,'Pre-Assessment Estimator'!$A$10:$Z$227,J$2,FALSE))</f>
        <v/>
      </c>
      <c r="K123" s="446" t="str">
        <f>IF(VLOOKUP($A123,'Pre-Assessment Estimator'!$A$10:$Z$227,K$2,FALSE)=0,"",VLOOKUP($A123,'Pre-Assessment Estimator'!$A$10:$Z$227,K$2,FALSE))</f>
        <v/>
      </c>
      <c r="L123" s="447" t="str">
        <f>IF(VLOOKUP($A123,'Pre-Assessment Estimator'!$A$10:$Z$227,L$2,FALSE)=0,"",VLOOKUP($A123,'Pre-Assessment Estimator'!$A$10:$Z$227,L$2,FALSE))</f>
        <v/>
      </c>
      <c r="M123" s="448"/>
      <c r="N123" s="449" t="str">
        <f>IF(VLOOKUP($A123,'Pre-Assessment Estimator'!$A$10:$Z$227,N$2,FALSE)=0,"",VLOOKUP($A123,'Pre-Assessment Estimator'!$A$10:$Z$227,N$2,FALSE))</f>
        <v/>
      </c>
      <c r="O123" s="444" t="str">
        <f>VLOOKUP($A123,'Pre-Assessment Estimator'!$A$10:$Z$227,O$2,FALSE)</f>
        <v>0 c. 0 %</v>
      </c>
      <c r="P123" s="443" t="str">
        <f>VLOOKUP($A123,'Pre-Assessment Estimator'!$A$10:$Z$227,P$2,FALSE)</f>
        <v>N/A</v>
      </c>
      <c r="Q123" s="446" t="str">
        <f>IF(VLOOKUP($A123,'Pre-Assessment Estimator'!$A$10:$Z$227,Q$2,FALSE)=0,"",VLOOKUP($A123,'Pre-Assessment Estimator'!$A$10:$Z$227,Q$2,FALSE))</f>
        <v/>
      </c>
      <c r="R123" s="446" t="str">
        <f>IF(VLOOKUP($A123,'Pre-Assessment Estimator'!$A$10:$Z$227,R$2,FALSE)=0,"",VLOOKUP($A123,'Pre-Assessment Estimator'!$A$10:$Z$227,R$2,FALSE))</f>
        <v/>
      </c>
      <c r="S123" s="447" t="str">
        <f>IF(VLOOKUP($A123,'Pre-Assessment Estimator'!$A$10:$Z$227,S$2,FALSE)=0,"",VLOOKUP($A123,'Pre-Assessment Estimator'!$A$10:$Z$227,S$2,FALSE))</f>
        <v/>
      </c>
      <c r="T123" s="450"/>
      <c r="U123" s="449" t="str">
        <f>IF(VLOOKUP($A123,'Pre-Assessment Estimator'!$A$10:$Z$227,U$2,FALSE)=0,"",VLOOKUP($A123,'Pre-Assessment Estimator'!$A$10:$Z$227,U$2,FALSE))</f>
        <v/>
      </c>
      <c r="V123" s="444" t="str">
        <f>VLOOKUP($A123,'Pre-Assessment Estimator'!$A$10:$Z$227,V$2,FALSE)</f>
        <v>0 c. 0 %</v>
      </c>
      <c r="W123" s="443" t="str">
        <f>VLOOKUP($A123,'Pre-Assessment Estimator'!$A$10:$Z$227,W$2,FALSE)</f>
        <v>N/A</v>
      </c>
      <c r="X123" s="446" t="str">
        <f>IF(VLOOKUP($A123,'Pre-Assessment Estimator'!$A$10:$Z$227,X$2,FALSE)=0,"",VLOOKUP($A123,'Pre-Assessment Estimator'!$A$10:$Z$227,X$2,FALSE))</f>
        <v/>
      </c>
      <c r="Y123" s="446" t="str">
        <f>IF(VLOOKUP($A123,'Pre-Assessment Estimator'!$A$10:$Z$227,Y$2,FALSE)=0,"",VLOOKUP($A123,'Pre-Assessment Estimator'!$A$10:$Z$227,Y$2,FALSE))</f>
        <v/>
      </c>
      <c r="Z123" s="313" t="str">
        <f>IF(VLOOKUP($A123,'Pre-Assessment Estimator'!$A$10:$Z$227,Z$2,FALSE)=0,"",VLOOKUP($A123,'Pre-Assessment Estimator'!$A$10:$Z$227,Z$2,FALSE))</f>
        <v/>
      </c>
      <c r="AA123" s="544">
        <v>112</v>
      </c>
      <c r="AB123" s="446"/>
      <c r="AF123" s="13">
        <f t="shared" si="2"/>
        <v>1</v>
      </c>
    </row>
    <row r="124" spans="1:32" ht="30">
      <c r="A124" s="652">
        <v>115</v>
      </c>
      <c r="B124" s="958" t="s">
        <v>408</v>
      </c>
      <c r="C124" s="958"/>
      <c r="D124" s="980" t="str">
        <f>VLOOKUP($A124,'Pre-Assessment Estimator'!$A$10:$Z$227,D$2,FALSE)</f>
        <v>Mat 02</v>
      </c>
      <c r="E124" s="981" t="str">
        <f>VLOOKUP($A124,'Pre-Assessment Estimator'!$A$10:$Z$227,E$2,FALSE)</f>
        <v>Minimum req: absence of environmental toxins (EU taxonomy requirement: criterion 1)</v>
      </c>
      <c r="F124" s="443" t="str">
        <f>VLOOKUP($A124,'Pre-Assessment Estimator'!$A$10:$Z$227,F$2,FALSE)</f>
        <v>Yes/No</v>
      </c>
      <c r="G124" s="449" t="str">
        <f>IF(VLOOKUP($A124,'Pre-Assessment Estimator'!$A$10:$Z$227,G$2,FALSE)=0,"",VLOOKUP($A124,'Pre-Assessment Estimator'!$A$10:$Z$227,G$2,FALSE))</f>
        <v/>
      </c>
      <c r="H124" s="948" t="str">
        <f>VLOOKUP($A124,'Pre-Assessment Estimator'!$A$10:$Z$227,H$2,FALSE)</f>
        <v>-</v>
      </c>
      <c r="I124" s="445" t="str">
        <f>VLOOKUP($A124,'Pre-Assessment Estimator'!$A$10:$Z$227,I$2,FALSE)</f>
        <v>Unclassified</v>
      </c>
      <c r="J124" s="446" t="str">
        <f>IF(VLOOKUP($A124,'Pre-Assessment Estimator'!$A$10:$Z$227,J$2,FALSE)=0,"",VLOOKUP($A124,'Pre-Assessment Estimator'!$A$10:$Z$227,J$2,FALSE))</f>
        <v/>
      </c>
      <c r="K124" s="446" t="str">
        <f>IF(VLOOKUP($A124,'Pre-Assessment Estimator'!$A$10:$Z$227,K$2,FALSE)=0,"",VLOOKUP($A124,'Pre-Assessment Estimator'!$A$10:$Z$227,K$2,FALSE))</f>
        <v/>
      </c>
      <c r="L124" s="447" t="str">
        <f>IF(VLOOKUP($A124,'Pre-Assessment Estimator'!$A$10:$Z$227,L$2,FALSE)=0,"",VLOOKUP($A124,'Pre-Assessment Estimator'!$A$10:$Z$227,L$2,FALSE))</f>
        <v/>
      </c>
      <c r="M124" s="448"/>
      <c r="N124" s="449" t="str">
        <f>IF(VLOOKUP($A124,'Pre-Assessment Estimator'!$A$10:$Z$227,N$2,FALSE)=0,"",VLOOKUP($A124,'Pre-Assessment Estimator'!$A$10:$Z$227,N$2,FALSE))</f>
        <v/>
      </c>
      <c r="O124" s="444" t="str">
        <f>VLOOKUP($A124,'Pre-Assessment Estimator'!$A$10:$Z$227,O$2,FALSE)</f>
        <v>-</v>
      </c>
      <c r="P124" s="443" t="str">
        <f>VLOOKUP($A124,'Pre-Assessment Estimator'!$A$10:$Z$227,P$2,FALSE)</f>
        <v>Unclassified</v>
      </c>
      <c r="Q124" s="446" t="str">
        <f>IF(VLOOKUP($A124,'Pre-Assessment Estimator'!$A$10:$Z$227,Q$2,FALSE)=0,"",VLOOKUP($A124,'Pre-Assessment Estimator'!$A$10:$Z$227,Q$2,FALSE))</f>
        <v/>
      </c>
      <c r="R124" s="446" t="str">
        <f>IF(VLOOKUP($A124,'Pre-Assessment Estimator'!$A$10:$Z$227,R$2,FALSE)=0,"",VLOOKUP($A124,'Pre-Assessment Estimator'!$A$10:$Z$227,R$2,FALSE))</f>
        <v/>
      </c>
      <c r="S124" s="447" t="str">
        <f>IF(VLOOKUP($A124,'Pre-Assessment Estimator'!$A$10:$Z$227,S$2,FALSE)=0,"",VLOOKUP($A124,'Pre-Assessment Estimator'!$A$10:$Z$227,S$2,FALSE))</f>
        <v/>
      </c>
      <c r="T124" s="450"/>
      <c r="U124" s="449" t="str">
        <f>IF(VLOOKUP($A124,'Pre-Assessment Estimator'!$A$10:$Z$227,U$2,FALSE)=0,"",VLOOKUP($A124,'Pre-Assessment Estimator'!$A$10:$Z$227,U$2,FALSE))</f>
        <v/>
      </c>
      <c r="V124" s="444" t="str">
        <f>VLOOKUP($A124,'Pre-Assessment Estimator'!$A$10:$Z$227,V$2,FALSE)</f>
        <v>-</v>
      </c>
      <c r="W124" s="443" t="str">
        <f>VLOOKUP($A124,'Pre-Assessment Estimator'!$A$10:$Z$227,W$2,FALSE)</f>
        <v>Unclassified</v>
      </c>
      <c r="X124" s="446" t="str">
        <f>IF(VLOOKUP($A124,'Pre-Assessment Estimator'!$A$10:$Z$227,X$2,FALSE)=0,"",VLOOKUP($A124,'Pre-Assessment Estimator'!$A$10:$Z$227,X$2,FALSE))</f>
        <v/>
      </c>
      <c r="Y124" s="446" t="str">
        <f>IF(VLOOKUP($A124,'Pre-Assessment Estimator'!$A$10:$Z$227,Y$2,FALSE)=0,"",VLOOKUP($A124,'Pre-Assessment Estimator'!$A$10:$Z$227,Y$2,FALSE))</f>
        <v/>
      </c>
      <c r="Z124" s="313" t="str">
        <f>IF(VLOOKUP($A124,'Pre-Assessment Estimator'!$A$10:$Z$227,Z$2,FALSE)=0,"",VLOOKUP($A124,'Pre-Assessment Estimator'!$A$10:$Z$227,Z$2,FALSE))</f>
        <v/>
      </c>
      <c r="AA124" s="544">
        <v>113</v>
      </c>
      <c r="AB124" s="446"/>
      <c r="AF124" s="13">
        <f t="shared" si="2"/>
        <v>1</v>
      </c>
    </row>
    <row r="125" spans="1:32">
      <c r="A125" s="652">
        <v>116</v>
      </c>
      <c r="B125" s="958" t="s">
        <v>408</v>
      </c>
      <c r="C125" s="958"/>
      <c r="D125" s="980" t="str">
        <f>VLOOKUP($A125,'Pre-Assessment Estimator'!$A$10:$Z$227,D$2,FALSE)</f>
        <v>Mat 02</v>
      </c>
      <c r="E125" s="981" t="str">
        <f>VLOOKUP($A125,'Pre-Assessment Estimator'!$A$10:$Z$227,E$2,FALSE)</f>
        <v xml:space="preserve">EPD for construction products </v>
      </c>
      <c r="F125" s="443">
        <f>VLOOKUP($A125,'Pre-Assessment Estimator'!$A$10:$Z$227,F$2,FALSE)</f>
        <v>1</v>
      </c>
      <c r="G125" s="449" t="str">
        <f>IF(VLOOKUP($A125,'Pre-Assessment Estimator'!$A$10:$Z$227,G$2,FALSE)=0,"",VLOOKUP($A125,'Pre-Assessment Estimator'!$A$10:$Z$227,G$2,FALSE))</f>
        <v/>
      </c>
      <c r="H125" s="948">
        <f>VLOOKUP($A125,'Pre-Assessment Estimator'!$A$10:$Z$227,H$2,FALSE)</f>
        <v>0</v>
      </c>
      <c r="I125" s="445" t="str">
        <f>VLOOKUP($A125,'Pre-Assessment Estimator'!$A$10:$Z$227,I$2,FALSE)</f>
        <v>N/A</v>
      </c>
      <c r="J125" s="446" t="str">
        <f>IF(VLOOKUP($A125,'Pre-Assessment Estimator'!$A$10:$Z$227,J$2,FALSE)=0,"",VLOOKUP($A125,'Pre-Assessment Estimator'!$A$10:$Z$227,J$2,FALSE))</f>
        <v/>
      </c>
      <c r="K125" s="446" t="str">
        <f>IF(VLOOKUP($A125,'Pre-Assessment Estimator'!$A$10:$Z$227,K$2,FALSE)=0,"",VLOOKUP($A125,'Pre-Assessment Estimator'!$A$10:$Z$227,K$2,FALSE))</f>
        <v/>
      </c>
      <c r="L125" s="447" t="str">
        <f>IF(VLOOKUP($A125,'Pre-Assessment Estimator'!$A$10:$Z$227,L$2,FALSE)=0,"",VLOOKUP($A125,'Pre-Assessment Estimator'!$A$10:$Z$227,L$2,FALSE))</f>
        <v/>
      </c>
      <c r="M125" s="448"/>
      <c r="N125" s="449" t="str">
        <f>IF(VLOOKUP($A125,'Pre-Assessment Estimator'!$A$10:$Z$227,N$2,FALSE)=0,"",VLOOKUP($A125,'Pre-Assessment Estimator'!$A$10:$Z$227,N$2,FALSE))</f>
        <v/>
      </c>
      <c r="O125" s="444">
        <f>VLOOKUP($A125,'Pre-Assessment Estimator'!$A$10:$Z$227,O$2,FALSE)</f>
        <v>0</v>
      </c>
      <c r="P125" s="443" t="str">
        <f>VLOOKUP($A125,'Pre-Assessment Estimator'!$A$10:$Z$227,P$2,FALSE)</f>
        <v>N/A</v>
      </c>
      <c r="Q125" s="446" t="str">
        <f>IF(VLOOKUP($A125,'Pre-Assessment Estimator'!$A$10:$Z$227,Q$2,FALSE)=0,"",VLOOKUP($A125,'Pre-Assessment Estimator'!$A$10:$Z$227,Q$2,FALSE))</f>
        <v/>
      </c>
      <c r="R125" s="446" t="str">
        <f>IF(VLOOKUP($A125,'Pre-Assessment Estimator'!$A$10:$Z$227,R$2,FALSE)=0,"",VLOOKUP($A125,'Pre-Assessment Estimator'!$A$10:$Z$227,R$2,FALSE))</f>
        <v/>
      </c>
      <c r="S125" s="447" t="str">
        <f>IF(VLOOKUP($A125,'Pre-Assessment Estimator'!$A$10:$Z$227,S$2,FALSE)=0,"",VLOOKUP($A125,'Pre-Assessment Estimator'!$A$10:$Z$227,S$2,FALSE))</f>
        <v/>
      </c>
      <c r="T125" s="450"/>
      <c r="U125" s="449" t="str">
        <f>IF(VLOOKUP($A125,'Pre-Assessment Estimator'!$A$10:$Z$227,U$2,FALSE)=0,"",VLOOKUP($A125,'Pre-Assessment Estimator'!$A$10:$Z$227,U$2,FALSE))</f>
        <v/>
      </c>
      <c r="V125" s="444">
        <f>VLOOKUP($A125,'Pre-Assessment Estimator'!$A$10:$Z$227,V$2,FALSE)</f>
        <v>0</v>
      </c>
      <c r="W125" s="443" t="str">
        <f>VLOOKUP($A125,'Pre-Assessment Estimator'!$A$10:$Z$227,W$2,FALSE)</f>
        <v>N/A</v>
      </c>
      <c r="X125" s="446" t="str">
        <f>IF(VLOOKUP($A125,'Pre-Assessment Estimator'!$A$10:$Z$227,X$2,FALSE)=0,"",VLOOKUP($A125,'Pre-Assessment Estimator'!$A$10:$Z$227,X$2,FALSE))</f>
        <v/>
      </c>
      <c r="Y125" s="446" t="str">
        <f>IF(VLOOKUP($A125,'Pre-Assessment Estimator'!$A$10:$Z$227,Y$2,FALSE)=0,"",VLOOKUP($A125,'Pre-Assessment Estimator'!$A$10:$Z$227,Y$2,FALSE))</f>
        <v/>
      </c>
      <c r="Z125" s="313" t="str">
        <f>IF(VLOOKUP($A125,'Pre-Assessment Estimator'!$A$10:$Z$227,Z$2,FALSE)=0,"",VLOOKUP($A125,'Pre-Assessment Estimator'!$A$10:$Z$227,Z$2,FALSE))</f>
        <v/>
      </c>
      <c r="AA125" s="544">
        <v>114</v>
      </c>
      <c r="AB125" s="446"/>
      <c r="AF125" s="13">
        <f t="shared" si="2"/>
        <v>1</v>
      </c>
    </row>
    <row r="126" spans="1:32">
      <c r="A126" s="652">
        <v>117</v>
      </c>
      <c r="B126" s="958" t="s">
        <v>408</v>
      </c>
      <c r="C126" s="958"/>
      <c r="D126" s="980" t="str">
        <f>VLOOKUP($A126,'Pre-Assessment Estimator'!$A$10:$Z$227,D$2,FALSE)</f>
        <v>Mat 02</v>
      </c>
      <c r="E126" s="981" t="str">
        <f>VLOOKUP($A126,'Pre-Assessment Estimator'!$A$10:$Z$227,E$2,FALSE)</f>
        <v xml:space="preserve">Performance requirements for construction products </v>
      </c>
      <c r="F126" s="443">
        <f>VLOOKUP($A126,'Pre-Assessment Estimator'!$A$10:$Z$227,F$2,FALSE)</f>
        <v>2</v>
      </c>
      <c r="G126" s="449" t="str">
        <f>IF(VLOOKUP($A126,'Pre-Assessment Estimator'!$A$10:$Z$227,G$2,FALSE)=0,"",VLOOKUP($A126,'Pre-Assessment Estimator'!$A$10:$Z$227,G$2,FALSE))</f>
        <v/>
      </c>
      <c r="H126" s="948">
        <f>VLOOKUP($A126,'Pre-Assessment Estimator'!$A$10:$Z$227,H$2,FALSE)</f>
        <v>0</v>
      </c>
      <c r="I126" s="445" t="str">
        <f>VLOOKUP($A126,'Pre-Assessment Estimator'!$A$10:$Z$227,I$2,FALSE)</f>
        <v>N/A</v>
      </c>
      <c r="J126" s="446" t="str">
        <f>IF(VLOOKUP($A126,'Pre-Assessment Estimator'!$A$10:$Z$227,J$2,FALSE)=0,"",VLOOKUP($A126,'Pre-Assessment Estimator'!$A$10:$Z$227,J$2,FALSE))</f>
        <v/>
      </c>
      <c r="K126" s="446" t="str">
        <f>IF(VLOOKUP($A126,'Pre-Assessment Estimator'!$A$10:$Z$227,K$2,FALSE)=0,"",VLOOKUP($A126,'Pre-Assessment Estimator'!$A$10:$Z$227,K$2,FALSE))</f>
        <v/>
      </c>
      <c r="L126" s="447" t="str">
        <f>IF(VLOOKUP($A126,'Pre-Assessment Estimator'!$A$10:$Z$227,L$2,FALSE)=0,"",VLOOKUP($A126,'Pre-Assessment Estimator'!$A$10:$Z$227,L$2,FALSE))</f>
        <v/>
      </c>
      <c r="M126" s="448"/>
      <c r="N126" s="449" t="str">
        <f>IF(VLOOKUP($A126,'Pre-Assessment Estimator'!$A$10:$Z$227,N$2,FALSE)=0,"",VLOOKUP($A126,'Pre-Assessment Estimator'!$A$10:$Z$227,N$2,FALSE))</f>
        <v/>
      </c>
      <c r="O126" s="444">
        <f>VLOOKUP($A126,'Pre-Assessment Estimator'!$A$10:$Z$227,O$2,FALSE)</f>
        <v>0</v>
      </c>
      <c r="P126" s="443" t="str">
        <f>VLOOKUP($A126,'Pre-Assessment Estimator'!$A$10:$Z$227,P$2,FALSE)</f>
        <v>N/A</v>
      </c>
      <c r="Q126" s="446" t="str">
        <f>IF(VLOOKUP($A126,'Pre-Assessment Estimator'!$A$10:$Z$227,Q$2,FALSE)=0,"",VLOOKUP($A126,'Pre-Assessment Estimator'!$A$10:$Z$227,Q$2,FALSE))</f>
        <v/>
      </c>
      <c r="R126" s="446" t="str">
        <f>IF(VLOOKUP($A126,'Pre-Assessment Estimator'!$A$10:$Z$227,R$2,FALSE)=0,"",VLOOKUP($A126,'Pre-Assessment Estimator'!$A$10:$Z$227,R$2,FALSE))</f>
        <v/>
      </c>
      <c r="S126" s="447" t="str">
        <f>IF(VLOOKUP($A126,'Pre-Assessment Estimator'!$A$10:$Z$227,S$2,FALSE)=0,"",VLOOKUP($A126,'Pre-Assessment Estimator'!$A$10:$Z$227,S$2,FALSE))</f>
        <v/>
      </c>
      <c r="T126" s="450"/>
      <c r="U126" s="449" t="str">
        <f>IF(VLOOKUP($A126,'Pre-Assessment Estimator'!$A$10:$Z$227,U$2,FALSE)=0,"",VLOOKUP($A126,'Pre-Assessment Estimator'!$A$10:$Z$227,U$2,FALSE))</f>
        <v/>
      </c>
      <c r="V126" s="444">
        <f>VLOOKUP($A126,'Pre-Assessment Estimator'!$A$10:$Z$227,V$2,FALSE)</f>
        <v>0</v>
      </c>
      <c r="W126" s="443" t="str">
        <f>VLOOKUP($A126,'Pre-Assessment Estimator'!$A$10:$Z$227,W$2,FALSE)</f>
        <v>N/A</v>
      </c>
      <c r="X126" s="446" t="str">
        <f>IF(VLOOKUP($A126,'Pre-Assessment Estimator'!$A$10:$Z$227,X$2,FALSE)=0,"",VLOOKUP($A126,'Pre-Assessment Estimator'!$A$10:$Z$227,X$2,FALSE))</f>
        <v/>
      </c>
      <c r="Y126" s="446" t="str">
        <f>IF(VLOOKUP($A126,'Pre-Assessment Estimator'!$A$10:$Z$227,Y$2,FALSE)=0,"",VLOOKUP($A126,'Pre-Assessment Estimator'!$A$10:$Z$227,Y$2,FALSE))</f>
        <v/>
      </c>
      <c r="Z126" s="313" t="str">
        <f>IF(VLOOKUP($A126,'Pre-Assessment Estimator'!$A$10:$Z$227,Z$2,FALSE)=0,"",VLOOKUP($A126,'Pre-Assessment Estimator'!$A$10:$Z$227,Z$2,FALSE))</f>
        <v/>
      </c>
      <c r="AA126" s="544">
        <v>115</v>
      </c>
      <c r="AB126" s="446"/>
      <c r="AF126" s="13">
        <f t="shared" si="2"/>
        <v>1</v>
      </c>
    </row>
    <row r="127" spans="1:32">
      <c r="A127" s="652">
        <v>118</v>
      </c>
      <c r="B127" s="958" t="s">
        <v>408</v>
      </c>
      <c r="C127" s="958"/>
      <c r="D127" s="979" t="str">
        <f>VLOOKUP($A127,'Pre-Assessment Estimator'!$A$10:$Z$227,D$2,FALSE)</f>
        <v>Mat 03</v>
      </c>
      <c r="E127" s="979" t="str">
        <f>VLOOKUP($A127,'Pre-Assessment Estimator'!$A$10:$Z$227,E$2,FALSE)</f>
        <v>Mat 03 Responsible sourcing of construction products</v>
      </c>
      <c r="F127" s="443">
        <f>VLOOKUP($A127,'Pre-Assessment Estimator'!$A$10:$Z$227,F$2,FALSE)</f>
        <v>3</v>
      </c>
      <c r="G127" s="449" t="str">
        <f>IF(VLOOKUP($A127,'Pre-Assessment Estimator'!$A$10:$Z$227,G$2,FALSE)=0,"",VLOOKUP($A127,'Pre-Assessment Estimator'!$A$10:$Z$227,G$2,FALSE))</f>
        <v/>
      </c>
      <c r="H127" s="948" t="str">
        <f>VLOOKUP($A127,'Pre-Assessment Estimator'!$A$10:$Z$227,H$2,FALSE)</f>
        <v>0 c. 0 %</v>
      </c>
      <c r="I127" s="445" t="str">
        <f>VLOOKUP($A127,'Pre-Assessment Estimator'!$A$10:$Z$227,I$2,FALSE)</f>
        <v>N/A</v>
      </c>
      <c r="J127" s="446" t="str">
        <f>IF(VLOOKUP($A127,'Pre-Assessment Estimator'!$A$10:$Z$227,J$2,FALSE)=0,"",VLOOKUP($A127,'Pre-Assessment Estimator'!$A$10:$Z$227,J$2,FALSE))</f>
        <v/>
      </c>
      <c r="K127" s="446" t="str">
        <f>IF(VLOOKUP($A127,'Pre-Assessment Estimator'!$A$10:$Z$227,K$2,FALSE)=0,"",VLOOKUP($A127,'Pre-Assessment Estimator'!$A$10:$Z$227,K$2,FALSE))</f>
        <v/>
      </c>
      <c r="L127" s="447" t="str">
        <f>IF(VLOOKUP($A127,'Pre-Assessment Estimator'!$A$10:$Z$227,L$2,FALSE)=0,"",VLOOKUP($A127,'Pre-Assessment Estimator'!$A$10:$Z$227,L$2,FALSE))</f>
        <v/>
      </c>
      <c r="M127" s="448"/>
      <c r="N127" s="449" t="str">
        <f>IF(VLOOKUP($A127,'Pre-Assessment Estimator'!$A$10:$Z$227,N$2,FALSE)=0,"",VLOOKUP($A127,'Pre-Assessment Estimator'!$A$10:$Z$227,N$2,FALSE))</f>
        <v/>
      </c>
      <c r="O127" s="444" t="str">
        <f>VLOOKUP($A127,'Pre-Assessment Estimator'!$A$10:$Z$227,O$2,FALSE)</f>
        <v>0 c. 0 %</v>
      </c>
      <c r="P127" s="443" t="str">
        <f>VLOOKUP($A127,'Pre-Assessment Estimator'!$A$10:$Z$227,P$2,FALSE)</f>
        <v>N/A</v>
      </c>
      <c r="Q127" s="446" t="str">
        <f>IF(VLOOKUP($A127,'Pre-Assessment Estimator'!$A$10:$Z$227,Q$2,FALSE)=0,"",VLOOKUP($A127,'Pre-Assessment Estimator'!$A$10:$Z$227,Q$2,FALSE))</f>
        <v/>
      </c>
      <c r="R127" s="446" t="str">
        <f>IF(VLOOKUP($A127,'Pre-Assessment Estimator'!$A$10:$Z$227,R$2,FALSE)=0,"",VLOOKUP($A127,'Pre-Assessment Estimator'!$A$10:$Z$227,R$2,FALSE))</f>
        <v/>
      </c>
      <c r="S127" s="447" t="str">
        <f>IF(VLOOKUP($A127,'Pre-Assessment Estimator'!$A$10:$Z$227,S$2,FALSE)=0,"",VLOOKUP($A127,'Pre-Assessment Estimator'!$A$10:$Z$227,S$2,FALSE))</f>
        <v/>
      </c>
      <c r="T127" s="450"/>
      <c r="U127" s="449" t="str">
        <f>IF(VLOOKUP($A127,'Pre-Assessment Estimator'!$A$10:$Z$227,U$2,FALSE)=0,"",VLOOKUP($A127,'Pre-Assessment Estimator'!$A$10:$Z$227,U$2,FALSE))</f>
        <v/>
      </c>
      <c r="V127" s="444" t="str">
        <f>VLOOKUP($A127,'Pre-Assessment Estimator'!$A$10:$Z$227,V$2,FALSE)</f>
        <v>0 c. 0 %</v>
      </c>
      <c r="W127" s="443" t="str">
        <f>VLOOKUP($A127,'Pre-Assessment Estimator'!$A$10:$Z$227,W$2,FALSE)</f>
        <v>N/A</v>
      </c>
      <c r="X127" s="446" t="str">
        <f>IF(VLOOKUP($A127,'Pre-Assessment Estimator'!$A$10:$Z$227,X$2,FALSE)=0,"",VLOOKUP($A127,'Pre-Assessment Estimator'!$A$10:$Z$227,X$2,FALSE))</f>
        <v/>
      </c>
      <c r="Y127" s="446" t="str">
        <f>IF(VLOOKUP($A127,'Pre-Assessment Estimator'!$A$10:$Z$227,Y$2,FALSE)=0,"",VLOOKUP($A127,'Pre-Assessment Estimator'!$A$10:$Z$227,Y$2,FALSE))</f>
        <v/>
      </c>
      <c r="Z127" s="313" t="str">
        <f>IF(VLOOKUP($A127,'Pre-Assessment Estimator'!$A$10:$Z$227,Z$2,FALSE)=0,"",VLOOKUP($A127,'Pre-Assessment Estimator'!$A$10:$Z$227,Z$2,FALSE))</f>
        <v/>
      </c>
      <c r="AA127" s="544">
        <v>116</v>
      </c>
      <c r="AB127" s="446"/>
      <c r="AF127" s="13">
        <f t="shared" si="2"/>
        <v>1</v>
      </c>
    </row>
    <row r="128" spans="1:32">
      <c r="A128" s="652">
        <v>119</v>
      </c>
      <c r="B128" s="958" t="s">
        <v>408</v>
      </c>
      <c r="C128" s="958"/>
      <c r="D128" s="980" t="str">
        <f>VLOOKUP($A128,'Pre-Assessment Estimator'!$A$10:$Z$227,D$2,FALSE)</f>
        <v>Mat 03</v>
      </c>
      <c r="E128" s="981" t="str">
        <f>VLOOKUP($A128,'Pre-Assessment Estimator'!$A$10:$Z$227,E$2,FALSE)</f>
        <v>Minimum req: legal and sustainable timber</v>
      </c>
      <c r="F128" s="443" t="str">
        <f>VLOOKUP($A128,'Pre-Assessment Estimator'!$A$10:$Z$227,F$2,FALSE)</f>
        <v>Yes/No</v>
      </c>
      <c r="G128" s="449" t="str">
        <f>IF(VLOOKUP($A128,'Pre-Assessment Estimator'!$A$10:$Z$227,G$2,FALSE)=0,"",VLOOKUP($A128,'Pre-Assessment Estimator'!$A$10:$Z$227,G$2,FALSE))</f>
        <v/>
      </c>
      <c r="H128" s="948" t="str">
        <f>VLOOKUP($A128,'Pre-Assessment Estimator'!$A$10:$Z$227,H$2,FALSE)</f>
        <v>-</v>
      </c>
      <c r="I128" s="445" t="str">
        <f>VLOOKUP($A128,'Pre-Assessment Estimator'!$A$10:$Z$227,I$2,FALSE)</f>
        <v>Unclassified</v>
      </c>
      <c r="J128" s="446" t="str">
        <f>IF(VLOOKUP($A128,'Pre-Assessment Estimator'!$A$10:$Z$227,J$2,FALSE)=0,"",VLOOKUP($A128,'Pre-Assessment Estimator'!$A$10:$Z$227,J$2,FALSE))</f>
        <v/>
      </c>
      <c r="K128" s="446" t="str">
        <f>IF(VLOOKUP($A128,'Pre-Assessment Estimator'!$A$10:$Z$227,K$2,FALSE)=0,"",VLOOKUP($A128,'Pre-Assessment Estimator'!$A$10:$Z$227,K$2,FALSE))</f>
        <v/>
      </c>
      <c r="L128" s="447" t="str">
        <f>IF(VLOOKUP($A128,'Pre-Assessment Estimator'!$A$10:$Z$227,L$2,FALSE)=0,"",VLOOKUP($A128,'Pre-Assessment Estimator'!$A$10:$Z$227,L$2,FALSE))</f>
        <v/>
      </c>
      <c r="M128" s="448"/>
      <c r="N128" s="449" t="str">
        <f>IF(VLOOKUP($A128,'Pre-Assessment Estimator'!$A$10:$Z$227,N$2,FALSE)=0,"",VLOOKUP($A128,'Pre-Assessment Estimator'!$A$10:$Z$227,N$2,FALSE))</f>
        <v/>
      </c>
      <c r="O128" s="444" t="str">
        <f>VLOOKUP($A128,'Pre-Assessment Estimator'!$A$10:$Z$227,O$2,FALSE)</f>
        <v>-</v>
      </c>
      <c r="P128" s="443" t="str">
        <f>VLOOKUP($A128,'Pre-Assessment Estimator'!$A$10:$Z$227,P$2,FALSE)</f>
        <v>Unclassified</v>
      </c>
      <c r="Q128" s="446" t="str">
        <f>IF(VLOOKUP($A128,'Pre-Assessment Estimator'!$A$10:$Z$227,Q$2,FALSE)=0,"",VLOOKUP($A128,'Pre-Assessment Estimator'!$A$10:$Z$227,Q$2,FALSE))</f>
        <v/>
      </c>
      <c r="R128" s="446" t="str">
        <f>IF(VLOOKUP($A128,'Pre-Assessment Estimator'!$A$10:$Z$227,R$2,FALSE)=0,"",VLOOKUP($A128,'Pre-Assessment Estimator'!$A$10:$Z$227,R$2,FALSE))</f>
        <v/>
      </c>
      <c r="S128" s="447" t="str">
        <f>IF(VLOOKUP($A128,'Pre-Assessment Estimator'!$A$10:$Z$227,S$2,FALSE)=0,"",VLOOKUP($A128,'Pre-Assessment Estimator'!$A$10:$Z$227,S$2,FALSE))</f>
        <v/>
      </c>
      <c r="T128" s="450"/>
      <c r="U128" s="449" t="str">
        <f>IF(VLOOKUP($A128,'Pre-Assessment Estimator'!$A$10:$Z$227,U$2,FALSE)=0,"",VLOOKUP($A128,'Pre-Assessment Estimator'!$A$10:$Z$227,U$2,FALSE))</f>
        <v/>
      </c>
      <c r="V128" s="444" t="str">
        <f>VLOOKUP($A128,'Pre-Assessment Estimator'!$A$10:$Z$227,V$2,FALSE)</f>
        <v>-</v>
      </c>
      <c r="W128" s="443" t="str">
        <f>VLOOKUP($A128,'Pre-Assessment Estimator'!$A$10:$Z$227,W$2,FALSE)</f>
        <v>Unclassified</v>
      </c>
      <c r="X128" s="446" t="str">
        <f>IF(VLOOKUP($A128,'Pre-Assessment Estimator'!$A$10:$Z$227,X$2,FALSE)=0,"",VLOOKUP($A128,'Pre-Assessment Estimator'!$A$10:$Z$227,X$2,FALSE))</f>
        <v/>
      </c>
      <c r="Y128" s="446" t="str">
        <f>IF(VLOOKUP($A128,'Pre-Assessment Estimator'!$A$10:$Z$227,Y$2,FALSE)=0,"",VLOOKUP($A128,'Pre-Assessment Estimator'!$A$10:$Z$227,Y$2,FALSE))</f>
        <v/>
      </c>
      <c r="Z128" s="313" t="str">
        <f>IF(VLOOKUP($A128,'Pre-Assessment Estimator'!$A$10:$Z$227,Z$2,FALSE)=0,"",VLOOKUP($A128,'Pre-Assessment Estimator'!$A$10:$Z$227,Z$2,FALSE))</f>
        <v/>
      </c>
      <c r="AA128" s="544">
        <v>117</v>
      </c>
      <c r="AB128" s="446"/>
      <c r="AF128" s="13">
        <f t="shared" si="2"/>
        <v>1</v>
      </c>
    </row>
    <row r="129" spans="1:32">
      <c r="A129" s="652">
        <v>120</v>
      </c>
      <c r="B129" s="958" t="s">
        <v>408</v>
      </c>
      <c r="C129" s="958"/>
      <c r="D129" s="980" t="str">
        <f>VLOOKUP($A129,'Pre-Assessment Estimator'!$A$10:$Z$227,D$2,FALSE)</f>
        <v>Mat 03</v>
      </c>
      <c r="E129" s="981" t="str">
        <f>VLOOKUP($A129,'Pre-Assessment Estimator'!$A$10:$Z$227,E$2,FALSE)</f>
        <v>Enabling sustainable procurement</v>
      </c>
      <c r="F129" s="443">
        <f>VLOOKUP($A129,'Pre-Assessment Estimator'!$A$10:$Z$227,F$2,FALSE)</f>
        <v>1</v>
      </c>
      <c r="G129" s="449" t="str">
        <f>IF(VLOOKUP($A129,'Pre-Assessment Estimator'!$A$10:$Z$227,G$2,FALSE)=0,"",VLOOKUP($A129,'Pre-Assessment Estimator'!$A$10:$Z$227,G$2,FALSE))</f>
        <v/>
      </c>
      <c r="H129" s="948">
        <f>VLOOKUP($A129,'Pre-Assessment Estimator'!$A$10:$Z$227,H$2,FALSE)</f>
        <v>0</v>
      </c>
      <c r="I129" s="445" t="str">
        <f>VLOOKUP($A129,'Pre-Assessment Estimator'!$A$10:$Z$227,I$2,FALSE)</f>
        <v>N/A</v>
      </c>
      <c r="J129" s="446" t="str">
        <f>IF(VLOOKUP($A129,'Pre-Assessment Estimator'!$A$10:$Z$227,J$2,FALSE)=0,"",VLOOKUP($A129,'Pre-Assessment Estimator'!$A$10:$Z$227,J$2,FALSE))</f>
        <v/>
      </c>
      <c r="K129" s="446" t="str">
        <f>IF(VLOOKUP($A129,'Pre-Assessment Estimator'!$A$10:$Z$227,K$2,FALSE)=0,"",VLOOKUP($A129,'Pre-Assessment Estimator'!$A$10:$Z$227,K$2,FALSE))</f>
        <v/>
      </c>
      <c r="L129" s="447" t="str">
        <f>IF(VLOOKUP($A129,'Pre-Assessment Estimator'!$A$10:$Z$227,L$2,FALSE)=0,"",VLOOKUP($A129,'Pre-Assessment Estimator'!$A$10:$Z$227,L$2,FALSE))</f>
        <v/>
      </c>
      <c r="M129" s="448"/>
      <c r="N129" s="449" t="str">
        <f>IF(VLOOKUP($A129,'Pre-Assessment Estimator'!$A$10:$Z$227,N$2,FALSE)=0,"",VLOOKUP($A129,'Pre-Assessment Estimator'!$A$10:$Z$227,N$2,FALSE))</f>
        <v/>
      </c>
      <c r="O129" s="444">
        <f>VLOOKUP($A129,'Pre-Assessment Estimator'!$A$10:$Z$227,O$2,FALSE)</f>
        <v>0</v>
      </c>
      <c r="P129" s="443" t="str">
        <f>VLOOKUP($A129,'Pre-Assessment Estimator'!$A$10:$Z$227,P$2,FALSE)</f>
        <v>N/A</v>
      </c>
      <c r="Q129" s="446" t="str">
        <f>IF(VLOOKUP($A129,'Pre-Assessment Estimator'!$A$10:$Z$227,Q$2,FALSE)=0,"",VLOOKUP($A129,'Pre-Assessment Estimator'!$A$10:$Z$227,Q$2,FALSE))</f>
        <v/>
      </c>
      <c r="R129" s="446" t="str">
        <f>IF(VLOOKUP($A129,'Pre-Assessment Estimator'!$A$10:$Z$227,R$2,FALSE)=0,"",VLOOKUP($A129,'Pre-Assessment Estimator'!$A$10:$Z$227,R$2,FALSE))</f>
        <v/>
      </c>
      <c r="S129" s="447" t="str">
        <f>IF(VLOOKUP($A129,'Pre-Assessment Estimator'!$A$10:$Z$227,S$2,FALSE)=0,"",VLOOKUP($A129,'Pre-Assessment Estimator'!$A$10:$Z$227,S$2,FALSE))</f>
        <v/>
      </c>
      <c r="T129" s="450"/>
      <c r="U129" s="449" t="str">
        <f>IF(VLOOKUP($A129,'Pre-Assessment Estimator'!$A$10:$Z$227,U$2,FALSE)=0,"",VLOOKUP($A129,'Pre-Assessment Estimator'!$A$10:$Z$227,U$2,FALSE))</f>
        <v/>
      </c>
      <c r="V129" s="444">
        <f>VLOOKUP($A129,'Pre-Assessment Estimator'!$A$10:$Z$227,V$2,FALSE)</f>
        <v>0</v>
      </c>
      <c r="W129" s="443" t="str">
        <f>VLOOKUP($A129,'Pre-Assessment Estimator'!$A$10:$Z$227,W$2,FALSE)</f>
        <v>N/A</v>
      </c>
      <c r="X129" s="446" t="str">
        <f>IF(VLOOKUP($A129,'Pre-Assessment Estimator'!$A$10:$Z$227,X$2,FALSE)=0,"",VLOOKUP($A129,'Pre-Assessment Estimator'!$A$10:$Z$227,X$2,FALSE))</f>
        <v/>
      </c>
      <c r="Y129" s="446" t="str">
        <f>IF(VLOOKUP($A129,'Pre-Assessment Estimator'!$A$10:$Z$227,Y$2,FALSE)=0,"",VLOOKUP($A129,'Pre-Assessment Estimator'!$A$10:$Z$227,Y$2,FALSE))</f>
        <v/>
      </c>
      <c r="Z129" s="313" t="str">
        <f>IF(VLOOKUP($A129,'Pre-Assessment Estimator'!$A$10:$Z$227,Z$2,FALSE)=0,"",VLOOKUP($A129,'Pre-Assessment Estimator'!$A$10:$Z$227,Z$2,FALSE))</f>
        <v/>
      </c>
      <c r="AA129" s="544">
        <v>118</v>
      </c>
      <c r="AB129" s="446"/>
      <c r="AF129" s="13">
        <f t="shared" si="2"/>
        <v>1</v>
      </c>
    </row>
    <row r="130" spans="1:32">
      <c r="A130" s="652">
        <v>121</v>
      </c>
      <c r="B130" s="958" t="s">
        <v>408</v>
      </c>
      <c r="C130" s="958"/>
      <c r="D130" s="980" t="str">
        <f>VLOOKUP($A130,'Pre-Assessment Estimator'!$A$10:$Z$227,D$2,FALSE)</f>
        <v>Mat 03</v>
      </c>
      <c r="E130" s="981" t="str">
        <f>VLOOKUP($A130,'Pre-Assessment Estimator'!$A$10:$Z$227,E$2,FALSE)</f>
        <v>Responsible sourcing of relevant materials</v>
      </c>
      <c r="F130" s="443">
        <f>VLOOKUP($A130,'Pre-Assessment Estimator'!$A$10:$Z$227,F$2,FALSE)</f>
        <v>2</v>
      </c>
      <c r="G130" s="449" t="str">
        <f>IF(VLOOKUP($A130,'Pre-Assessment Estimator'!$A$10:$Z$227,G$2,FALSE)=0,"",VLOOKUP($A130,'Pre-Assessment Estimator'!$A$10:$Z$227,G$2,FALSE))</f>
        <v/>
      </c>
      <c r="H130" s="948">
        <f>VLOOKUP($A130,'Pre-Assessment Estimator'!$A$10:$Z$227,H$2,FALSE)</f>
        <v>0</v>
      </c>
      <c r="I130" s="445" t="str">
        <f>VLOOKUP($A130,'Pre-Assessment Estimator'!$A$10:$Z$227,I$2,FALSE)</f>
        <v>N/A</v>
      </c>
      <c r="J130" s="446" t="str">
        <f>IF(VLOOKUP($A130,'Pre-Assessment Estimator'!$A$10:$Z$227,J$2,FALSE)=0,"",VLOOKUP($A130,'Pre-Assessment Estimator'!$A$10:$Z$227,J$2,FALSE))</f>
        <v/>
      </c>
      <c r="K130" s="446" t="str">
        <f>IF(VLOOKUP($A130,'Pre-Assessment Estimator'!$A$10:$Z$227,K$2,FALSE)=0,"",VLOOKUP($A130,'Pre-Assessment Estimator'!$A$10:$Z$227,K$2,FALSE))</f>
        <v/>
      </c>
      <c r="L130" s="447" t="str">
        <f>IF(VLOOKUP($A130,'Pre-Assessment Estimator'!$A$10:$Z$227,L$2,FALSE)=0,"",VLOOKUP($A130,'Pre-Assessment Estimator'!$A$10:$Z$227,L$2,FALSE))</f>
        <v/>
      </c>
      <c r="M130" s="448"/>
      <c r="N130" s="449" t="str">
        <f>IF(VLOOKUP($A130,'Pre-Assessment Estimator'!$A$10:$Z$227,N$2,FALSE)=0,"",VLOOKUP($A130,'Pre-Assessment Estimator'!$A$10:$Z$227,N$2,FALSE))</f>
        <v/>
      </c>
      <c r="O130" s="444">
        <f>VLOOKUP($A130,'Pre-Assessment Estimator'!$A$10:$Z$227,O$2,FALSE)</f>
        <v>0</v>
      </c>
      <c r="P130" s="443" t="str">
        <f>VLOOKUP($A130,'Pre-Assessment Estimator'!$A$10:$Z$227,P$2,FALSE)</f>
        <v>N/A</v>
      </c>
      <c r="Q130" s="446" t="str">
        <f>IF(VLOOKUP($A130,'Pre-Assessment Estimator'!$A$10:$Z$227,Q$2,FALSE)=0,"",VLOOKUP($A130,'Pre-Assessment Estimator'!$A$10:$Z$227,Q$2,FALSE))</f>
        <v/>
      </c>
      <c r="R130" s="446" t="str">
        <f>IF(VLOOKUP($A130,'Pre-Assessment Estimator'!$A$10:$Z$227,R$2,FALSE)=0,"",VLOOKUP($A130,'Pre-Assessment Estimator'!$A$10:$Z$227,R$2,FALSE))</f>
        <v/>
      </c>
      <c r="S130" s="447" t="str">
        <f>IF(VLOOKUP($A130,'Pre-Assessment Estimator'!$A$10:$Z$227,S$2,FALSE)=0,"",VLOOKUP($A130,'Pre-Assessment Estimator'!$A$10:$Z$227,S$2,FALSE))</f>
        <v/>
      </c>
      <c r="T130" s="450"/>
      <c r="U130" s="449" t="str">
        <f>IF(VLOOKUP($A130,'Pre-Assessment Estimator'!$A$10:$Z$227,U$2,FALSE)=0,"",VLOOKUP($A130,'Pre-Assessment Estimator'!$A$10:$Z$227,U$2,FALSE))</f>
        <v/>
      </c>
      <c r="V130" s="444">
        <f>VLOOKUP($A130,'Pre-Assessment Estimator'!$A$10:$Z$227,V$2,FALSE)</f>
        <v>0</v>
      </c>
      <c r="W130" s="443" t="str">
        <f>VLOOKUP($A130,'Pre-Assessment Estimator'!$A$10:$Z$227,W$2,FALSE)</f>
        <v>N/A</v>
      </c>
      <c r="X130" s="446" t="str">
        <f>IF(VLOOKUP($A130,'Pre-Assessment Estimator'!$A$10:$Z$227,X$2,FALSE)=0,"",VLOOKUP($A130,'Pre-Assessment Estimator'!$A$10:$Z$227,X$2,FALSE))</f>
        <v/>
      </c>
      <c r="Y130" s="446" t="str">
        <f>IF(VLOOKUP($A130,'Pre-Assessment Estimator'!$A$10:$Z$227,Y$2,FALSE)=0,"",VLOOKUP($A130,'Pre-Assessment Estimator'!$A$10:$Z$227,Y$2,FALSE))</f>
        <v/>
      </c>
      <c r="Z130" s="313" t="str">
        <f>IF(VLOOKUP($A130,'Pre-Assessment Estimator'!$A$10:$Z$227,Z$2,FALSE)=0,"",VLOOKUP($A130,'Pre-Assessment Estimator'!$A$10:$Z$227,Z$2,FALSE))</f>
        <v/>
      </c>
      <c r="AA130" s="544">
        <v>119</v>
      </c>
      <c r="AB130" s="446"/>
      <c r="AF130" s="13">
        <f t="shared" si="2"/>
        <v>1</v>
      </c>
    </row>
    <row r="131" spans="1:32">
      <c r="A131" s="652">
        <v>122</v>
      </c>
      <c r="B131" s="958" t="s">
        <v>408</v>
      </c>
      <c r="C131" s="958"/>
      <c r="D131" s="979" t="str">
        <f>VLOOKUP($A131,'Pre-Assessment Estimator'!$A$10:$Z$227,D$2,FALSE)</f>
        <v>Mat 05</v>
      </c>
      <c r="E131" s="979" t="str">
        <f>VLOOKUP($A131,'Pre-Assessment Estimator'!$A$10:$Z$227,E$2,FALSE)</f>
        <v>Mat 05 Designing for durability and climate adaption</v>
      </c>
      <c r="F131" s="443">
        <f>VLOOKUP($A131,'Pre-Assessment Estimator'!$A$10:$Z$227,F$2,FALSE)</f>
        <v>4</v>
      </c>
      <c r="G131" s="449" t="str">
        <f>IF(VLOOKUP($A131,'Pre-Assessment Estimator'!$A$10:$Z$227,G$2,FALSE)=0,"",VLOOKUP($A131,'Pre-Assessment Estimator'!$A$10:$Z$227,G$2,FALSE))</f>
        <v/>
      </c>
      <c r="H131" s="948" t="str">
        <f>VLOOKUP($A131,'Pre-Assessment Estimator'!$A$10:$Z$227,H$2,FALSE)</f>
        <v>0 c. 0 %</v>
      </c>
      <c r="I131" s="445" t="str">
        <f>VLOOKUP($A131,'Pre-Assessment Estimator'!$A$10:$Z$227,I$2,FALSE)</f>
        <v>N/A</v>
      </c>
      <c r="J131" s="446" t="str">
        <f>IF(VLOOKUP($A131,'Pre-Assessment Estimator'!$A$10:$Z$227,J$2,FALSE)=0,"",VLOOKUP($A131,'Pre-Assessment Estimator'!$A$10:$Z$227,J$2,FALSE))</f>
        <v/>
      </c>
      <c r="K131" s="446" t="str">
        <f>IF(VLOOKUP($A131,'Pre-Assessment Estimator'!$A$10:$Z$227,K$2,FALSE)=0,"",VLOOKUP($A131,'Pre-Assessment Estimator'!$A$10:$Z$227,K$2,FALSE))</f>
        <v/>
      </c>
      <c r="L131" s="447" t="str">
        <f>IF(VLOOKUP($A131,'Pre-Assessment Estimator'!$A$10:$Z$227,L$2,FALSE)=0,"",VLOOKUP($A131,'Pre-Assessment Estimator'!$A$10:$Z$227,L$2,FALSE))</f>
        <v/>
      </c>
      <c r="M131" s="448"/>
      <c r="N131" s="449" t="str">
        <f>IF(VLOOKUP($A131,'Pre-Assessment Estimator'!$A$10:$Z$227,N$2,FALSE)=0,"",VLOOKUP($A131,'Pre-Assessment Estimator'!$A$10:$Z$227,N$2,FALSE))</f>
        <v/>
      </c>
      <c r="O131" s="444" t="str">
        <f>VLOOKUP($A131,'Pre-Assessment Estimator'!$A$10:$Z$227,O$2,FALSE)</f>
        <v>0 c. 0 %</v>
      </c>
      <c r="P131" s="443" t="str">
        <f>VLOOKUP($A131,'Pre-Assessment Estimator'!$A$10:$Z$227,P$2,FALSE)</f>
        <v>N/A</v>
      </c>
      <c r="Q131" s="446" t="str">
        <f>IF(VLOOKUP($A131,'Pre-Assessment Estimator'!$A$10:$Z$227,Q$2,FALSE)=0,"",VLOOKUP($A131,'Pre-Assessment Estimator'!$A$10:$Z$227,Q$2,FALSE))</f>
        <v/>
      </c>
      <c r="R131" s="446" t="str">
        <f>IF(VLOOKUP($A131,'Pre-Assessment Estimator'!$A$10:$Z$227,R$2,FALSE)=0,"",VLOOKUP($A131,'Pre-Assessment Estimator'!$A$10:$Z$227,R$2,FALSE))</f>
        <v/>
      </c>
      <c r="S131" s="447" t="str">
        <f>IF(VLOOKUP($A131,'Pre-Assessment Estimator'!$A$10:$Z$227,S$2,FALSE)=0,"",VLOOKUP($A131,'Pre-Assessment Estimator'!$A$10:$Z$227,S$2,FALSE))</f>
        <v/>
      </c>
      <c r="T131" s="450"/>
      <c r="U131" s="449" t="str">
        <f>IF(VLOOKUP($A131,'Pre-Assessment Estimator'!$A$10:$Z$227,U$2,FALSE)=0,"",VLOOKUP($A131,'Pre-Assessment Estimator'!$A$10:$Z$227,U$2,FALSE))</f>
        <v/>
      </c>
      <c r="V131" s="444" t="str">
        <f>VLOOKUP($A131,'Pre-Assessment Estimator'!$A$10:$Z$227,V$2,FALSE)</f>
        <v>0 c. 0 %</v>
      </c>
      <c r="W131" s="443" t="str">
        <f>VLOOKUP($A131,'Pre-Assessment Estimator'!$A$10:$Z$227,W$2,FALSE)</f>
        <v>N/A</v>
      </c>
      <c r="X131" s="446" t="str">
        <f>IF(VLOOKUP($A131,'Pre-Assessment Estimator'!$A$10:$Z$227,X$2,FALSE)=0,"",VLOOKUP($A131,'Pre-Assessment Estimator'!$A$10:$Z$227,X$2,FALSE))</f>
        <v/>
      </c>
      <c r="Y131" s="446" t="str">
        <f>IF(VLOOKUP($A131,'Pre-Assessment Estimator'!$A$10:$Z$227,Y$2,FALSE)=0,"",VLOOKUP($A131,'Pre-Assessment Estimator'!$A$10:$Z$227,Y$2,FALSE))</f>
        <v/>
      </c>
      <c r="Z131" s="313" t="str">
        <f>IF(VLOOKUP($A131,'Pre-Assessment Estimator'!$A$10:$Z$227,Z$2,FALSE)=0,"",VLOOKUP($A131,'Pre-Assessment Estimator'!$A$10:$Z$227,Z$2,FALSE))</f>
        <v/>
      </c>
      <c r="AA131" s="544">
        <v>120</v>
      </c>
      <c r="AB131" s="446"/>
      <c r="AF131" s="13">
        <f t="shared" si="2"/>
        <v>1</v>
      </c>
    </row>
    <row r="132" spans="1:32">
      <c r="A132" s="652">
        <v>123</v>
      </c>
      <c r="B132" s="958" t="s">
        <v>408</v>
      </c>
      <c r="C132" s="958"/>
      <c r="D132" s="980" t="str">
        <f>VLOOKUP($A132,'Pre-Assessment Estimator'!$A$10:$Z$227,D$2,FALSE)</f>
        <v>Mat 05</v>
      </c>
      <c r="E132" s="981" t="str">
        <f>VLOOKUP($A132,'Pre-Assessment Estimator'!$A$10:$Z$227,E$2,FALSE)</f>
        <v>Pre-requisite: risk analysis</v>
      </c>
      <c r="F132" s="443" t="str">
        <f>VLOOKUP($A132,'Pre-Assessment Estimator'!$A$10:$Z$227,F$2,FALSE)</f>
        <v>Yes/No</v>
      </c>
      <c r="G132" s="449" t="str">
        <f>IF(VLOOKUP($A132,'Pre-Assessment Estimator'!$A$10:$Z$227,G$2,FALSE)=0,"",VLOOKUP($A132,'Pre-Assessment Estimator'!$A$10:$Z$227,G$2,FALSE))</f>
        <v/>
      </c>
      <c r="H132" s="948" t="str">
        <f>VLOOKUP($A132,'Pre-Assessment Estimator'!$A$10:$Z$227,H$2,FALSE)</f>
        <v>-</v>
      </c>
      <c r="I132" s="445" t="str">
        <f>VLOOKUP($A132,'Pre-Assessment Estimator'!$A$10:$Z$227,I$2,FALSE)</f>
        <v>N/A</v>
      </c>
      <c r="J132" s="446" t="str">
        <f>IF(VLOOKUP($A132,'Pre-Assessment Estimator'!$A$10:$Z$227,J$2,FALSE)=0,"",VLOOKUP($A132,'Pre-Assessment Estimator'!$A$10:$Z$227,J$2,FALSE))</f>
        <v/>
      </c>
      <c r="K132" s="446" t="str">
        <f>IF(VLOOKUP($A132,'Pre-Assessment Estimator'!$A$10:$Z$227,K$2,FALSE)=0,"",VLOOKUP($A132,'Pre-Assessment Estimator'!$A$10:$Z$227,K$2,FALSE))</f>
        <v/>
      </c>
      <c r="L132" s="447" t="str">
        <f>IF(VLOOKUP($A132,'Pre-Assessment Estimator'!$A$10:$Z$227,L$2,FALSE)=0,"",VLOOKUP($A132,'Pre-Assessment Estimator'!$A$10:$Z$227,L$2,FALSE))</f>
        <v/>
      </c>
      <c r="M132" s="448"/>
      <c r="N132" s="449" t="str">
        <f>IF(VLOOKUP($A132,'Pre-Assessment Estimator'!$A$10:$Z$227,N$2,FALSE)=0,"",VLOOKUP($A132,'Pre-Assessment Estimator'!$A$10:$Z$227,N$2,FALSE))</f>
        <v/>
      </c>
      <c r="O132" s="444" t="str">
        <f>VLOOKUP($A132,'Pre-Assessment Estimator'!$A$10:$Z$227,O$2,FALSE)</f>
        <v>-</v>
      </c>
      <c r="P132" s="443" t="str">
        <f>VLOOKUP($A132,'Pre-Assessment Estimator'!$A$10:$Z$227,P$2,FALSE)</f>
        <v>N/A</v>
      </c>
      <c r="Q132" s="446" t="str">
        <f>IF(VLOOKUP($A132,'Pre-Assessment Estimator'!$A$10:$Z$227,Q$2,FALSE)=0,"",VLOOKUP($A132,'Pre-Assessment Estimator'!$A$10:$Z$227,Q$2,FALSE))</f>
        <v/>
      </c>
      <c r="R132" s="446" t="str">
        <f>IF(VLOOKUP($A132,'Pre-Assessment Estimator'!$A$10:$Z$227,R$2,FALSE)=0,"",VLOOKUP($A132,'Pre-Assessment Estimator'!$A$10:$Z$227,R$2,FALSE))</f>
        <v/>
      </c>
      <c r="S132" s="447" t="str">
        <f>IF(VLOOKUP($A132,'Pre-Assessment Estimator'!$A$10:$Z$227,S$2,FALSE)=0,"",VLOOKUP($A132,'Pre-Assessment Estimator'!$A$10:$Z$227,S$2,FALSE))</f>
        <v/>
      </c>
      <c r="T132" s="450"/>
      <c r="U132" s="449" t="str">
        <f>IF(VLOOKUP($A132,'Pre-Assessment Estimator'!$A$10:$Z$227,U$2,FALSE)=0,"",VLOOKUP($A132,'Pre-Assessment Estimator'!$A$10:$Z$227,U$2,FALSE))</f>
        <v/>
      </c>
      <c r="V132" s="444" t="str">
        <f>VLOOKUP($A132,'Pre-Assessment Estimator'!$A$10:$Z$227,V$2,FALSE)</f>
        <v>-</v>
      </c>
      <c r="W132" s="443" t="str">
        <f>VLOOKUP($A132,'Pre-Assessment Estimator'!$A$10:$Z$227,W$2,FALSE)</f>
        <v>N/A</v>
      </c>
      <c r="X132" s="446" t="str">
        <f>IF(VLOOKUP($A132,'Pre-Assessment Estimator'!$A$10:$Z$227,X$2,FALSE)=0,"",VLOOKUP($A132,'Pre-Assessment Estimator'!$A$10:$Z$227,X$2,FALSE))</f>
        <v/>
      </c>
      <c r="Y132" s="446" t="str">
        <f>IF(VLOOKUP($A132,'Pre-Assessment Estimator'!$A$10:$Z$227,Y$2,FALSE)=0,"",VLOOKUP($A132,'Pre-Assessment Estimator'!$A$10:$Z$227,Y$2,FALSE))</f>
        <v/>
      </c>
      <c r="Z132" s="313" t="str">
        <f>IF(VLOOKUP($A132,'Pre-Assessment Estimator'!$A$10:$Z$227,Z$2,FALSE)=0,"",VLOOKUP($A132,'Pre-Assessment Estimator'!$A$10:$Z$227,Z$2,FALSE))</f>
        <v/>
      </c>
      <c r="AA132" s="544">
        <v>121</v>
      </c>
      <c r="AB132" s="446"/>
      <c r="AF132" s="13">
        <f t="shared" si="2"/>
        <v>1</v>
      </c>
    </row>
    <row r="133" spans="1:32">
      <c r="A133" s="652">
        <v>124</v>
      </c>
      <c r="B133" s="958" t="s">
        <v>408</v>
      </c>
      <c r="C133" s="958"/>
      <c r="D133" s="980" t="str">
        <f>VLOOKUP($A133,'Pre-Assessment Estimator'!$A$10:$Z$227,D$2,FALSE)</f>
        <v>Mat 05</v>
      </c>
      <c r="E133" s="981" t="str">
        <f>VLOOKUP($A133,'Pre-Assessment Estimator'!$A$10:$Z$227,E$2,FALSE)</f>
        <v>Protect vulnerable parts of the building from damage</v>
      </c>
      <c r="F133" s="443">
        <f>VLOOKUP($A133,'Pre-Assessment Estimator'!$A$10:$Z$227,F$2,FALSE)</f>
        <v>1</v>
      </c>
      <c r="G133" s="449" t="str">
        <f>IF(VLOOKUP($A133,'Pre-Assessment Estimator'!$A$10:$Z$227,G$2,FALSE)=0,"",VLOOKUP($A133,'Pre-Assessment Estimator'!$A$10:$Z$227,G$2,FALSE))</f>
        <v/>
      </c>
      <c r="H133" s="948">
        <f>VLOOKUP($A133,'Pre-Assessment Estimator'!$A$10:$Z$227,H$2,FALSE)</f>
        <v>0</v>
      </c>
      <c r="I133" s="445" t="str">
        <f>VLOOKUP($A133,'Pre-Assessment Estimator'!$A$10:$Z$227,I$2,FALSE)</f>
        <v>N/A</v>
      </c>
      <c r="J133" s="446" t="str">
        <f>IF(VLOOKUP($A133,'Pre-Assessment Estimator'!$A$10:$Z$227,J$2,FALSE)=0,"",VLOOKUP($A133,'Pre-Assessment Estimator'!$A$10:$Z$227,J$2,FALSE))</f>
        <v/>
      </c>
      <c r="K133" s="446" t="str">
        <f>IF(VLOOKUP($A133,'Pre-Assessment Estimator'!$A$10:$Z$227,K$2,FALSE)=0,"",VLOOKUP($A133,'Pre-Assessment Estimator'!$A$10:$Z$227,K$2,FALSE))</f>
        <v/>
      </c>
      <c r="L133" s="447" t="str">
        <f>IF(VLOOKUP($A133,'Pre-Assessment Estimator'!$A$10:$Z$227,L$2,FALSE)=0,"",VLOOKUP($A133,'Pre-Assessment Estimator'!$A$10:$Z$227,L$2,FALSE))</f>
        <v/>
      </c>
      <c r="M133" s="448"/>
      <c r="N133" s="449" t="str">
        <f>IF(VLOOKUP($A133,'Pre-Assessment Estimator'!$A$10:$Z$227,N$2,FALSE)=0,"",VLOOKUP($A133,'Pre-Assessment Estimator'!$A$10:$Z$227,N$2,FALSE))</f>
        <v/>
      </c>
      <c r="O133" s="444">
        <f>VLOOKUP($A133,'Pre-Assessment Estimator'!$A$10:$Z$227,O$2,FALSE)</f>
        <v>0</v>
      </c>
      <c r="P133" s="443" t="str">
        <f>VLOOKUP($A133,'Pre-Assessment Estimator'!$A$10:$Z$227,P$2,FALSE)</f>
        <v>N/A</v>
      </c>
      <c r="Q133" s="446" t="str">
        <f>IF(VLOOKUP($A133,'Pre-Assessment Estimator'!$A$10:$Z$227,Q$2,FALSE)=0,"",VLOOKUP($A133,'Pre-Assessment Estimator'!$A$10:$Z$227,Q$2,FALSE))</f>
        <v/>
      </c>
      <c r="R133" s="446" t="str">
        <f>IF(VLOOKUP($A133,'Pre-Assessment Estimator'!$A$10:$Z$227,R$2,FALSE)=0,"",VLOOKUP($A133,'Pre-Assessment Estimator'!$A$10:$Z$227,R$2,FALSE))</f>
        <v/>
      </c>
      <c r="S133" s="447" t="str">
        <f>IF(VLOOKUP($A133,'Pre-Assessment Estimator'!$A$10:$Z$227,S$2,FALSE)=0,"",VLOOKUP($A133,'Pre-Assessment Estimator'!$A$10:$Z$227,S$2,FALSE))</f>
        <v/>
      </c>
      <c r="T133" s="450"/>
      <c r="U133" s="449" t="str">
        <f>IF(VLOOKUP($A133,'Pre-Assessment Estimator'!$A$10:$Z$227,U$2,FALSE)=0,"",VLOOKUP($A133,'Pre-Assessment Estimator'!$A$10:$Z$227,U$2,FALSE))</f>
        <v/>
      </c>
      <c r="V133" s="444">
        <f>VLOOKUP($A133,'Pre-Assessment Estimator'!$A$10:$Z$227,V$2,FALSE)</f>
        <v>0</v>
      </c>
      <c r="W133" s="443" t="str">
        <f>VLOOKUP($A133,'Pre-Assessment Estimator'!$A$10:$Z$227,W$2,FALSE)</f>
        <v>N/A</v>
      </c>
      <c r="X133" s="446" t="str">
        <f>IF(VLOOKUP($A133,'Pre-Assessment Estimator'!$A$10:$Z$227,X$2,FALSE)=0,"",VLOOKUP($A133,'Pre-Assessment Estimator'!$A$10:$Z$227,X$2,FALSE))</f>
        <v/>
      </c>
      <c r="Y133" s="446" t="str">
        <f>IF(VLOOKUP($A133,'Pre-Assessment Estimator'!$A$10:$Z$227,Y$2,FALSE)=0,"",VLOOKUP($A133,'Pre-Assessment Estimator'!$A$10:$Z$227,Y$2,FALSE))</f>
        <v/>
      </c>
      <c r="Z133" s="313" t="str">
        <f>IF(VLOOKUP($A133,'Pre-Assessment Estimator'!$A$10:$Z$227,Z$2,FALSE)=0,"",VLOOKUP($A133,'Pre-Assessment Estimator'!$A$10:$Z$227,Z$2,FALSE))</f>
        <v/>
      </c>
      <c r="AA133" s="544">
        <v>122</v>
      </c>
      <c r="AB133" s="446"/>
      <c r="AF133" s="13">
        <f t="shared" si="2"/>
        <v>1</v>
      </c>
    </row>
    <row r="134" spans="1:32">
      <c r="A134" s="652">
        <v>125</v>
      </c>
      <c r="B134" s="958" t="s">
        <v>408</v>
      </c>
      <c r="C134" s="958"/>
      <c r="D134" s="980" t="str">
        <f>VLOOKUP($A134,'Pre-Assessment Estimator'!$A$10:$Z$227,D$2,FALSE)</f>
        <v>Mat 05</v>
      </c>
      <c r="E134" s="981" t="str">
        <f>VLOOKUP($A134,'Pre-Assessment Estimator'!$A$10:$Z$227,E$2,FALSE)</f>
        <v xml:space="preserve">Protecting exposed parts of the building from material degradation </v>
      </c>
      <c r="F134" s="443">
        <f>VLOOKUP($A134,'Pre-Assessment Estimator'!$A$10:$Z$227,F$2,FALSE)</f>
        <v>1</v>
      </c>
      <c r="G134" s="449" t="str">
        <f>IF(VLOOKUP($A134,'Pre-Assessment Estimator'!$A$10:$Z$227,G$2,FALSE)=0,"",VLOOKUP($A134,'Pre-Assessment Estimator'!$A$10:$Z$227,G$2,FALSE))</f>
        <v/>
      </c>
      <c r="H134" s="948">
        <f>VLOOKUP($A134,'Pre-Assessment Estimator'!$A$10:$Z$227,H$2,FALSE)</f>
        <v>0</v>
      </c>
      <c r="I134" s="445" t="str">
        <f>VLOOKUP($A134,'Pre-Assessment Estimator'!$A$10:$Z$227,I$2,FALSE)</f>
        <v>N/A</v>
      </c>
      <c r="J134" s="446" t="str">
        <f>IF(VLOOKUP($A134,'Pre-Assessment Estimator'!$A$10:$Z$227,J$2,FALSE)=0,"",VLOOKUP($A134,'Pre-Assessment Estimator'!$A$10:$Z$227,J$2,FALSE))</f>
        <v/>
      </c>
      <c r="K134" s="446" t="str">
        <f>IF(VLOOKUP($A134,'Pre-Assessment Estimator'!$A$10:$Z$227,K$2,FALSE)=0,"",VLOOKUP($A134,'Pre-Assessment Estimator'!$A$10:$Z$227,K$2,FALSE))</f>
        <v/>
      </c>
      <c r="L134" s="447" t="str">
        <f>IF(VLOOKUP($A134,'Pre-Assessment Estimator'!$A$10:$Z$227,L$2,FALSE)=0,"",VLOOKUP($A134,'Pre-Assessment Estimator'!$A$10:$Z$227,L$2,FALSE))</f>
        <v/>
      </c>
      <c r="M134" s="448"/>
      <c r="N134" s="449" t="str">
        <f>IF(VLOOKUP($A134,'Pre-Assessment Estimator'!$A$10:$Z$227,N$2,FALSE)=0,"",VLOOKUP($A134,'Pre-Assessment Estimator'!$A$10:$Z$227,N$2,FALSE))</f>
        <v/>
      </c>
      <c r="O134" s="444">
        <f>VLOOKUP($A134,'Pre-Assessment Estimator'!$A$10:$Z$227,O$2,FALSE)</f>
        <v>0</v>
      </c>
      <c r="P134" s="443" t="str">
        <f>VLOOKUP($A134,'Pre-Assessment Estimator'!$A$10:$Z$227,P$2,FALSE)</f>
        <v>N/A</v>
      </c>
      <c r="Q134" s="446" t="str">
        <f>IF(VLOOKUP($A134,'Pre-Assessment Estimator'!$A$10:$Z$227,Q$2,FALSE)=0,"",VLOOKUP($A134,'Pre-Assessment Estimator'!$A$10:$Z$227,Q$2,FALSE))</f>
        <v/>
      </c>
      <c r="R134" s="446" t="str">
        <f>IF(VLOOKUP($A134,'Pre-Assessment Estimator'!$A$10:$Z$227,R$2,FALSE)=0,"",VLOOKUP($A134,'Pre-Assessment Estimator'!$A$10:$Z$227,R$2,FALSE))</f>
        <v/>
      </c>
      <c r="S134" s="447" t="str">
        <f>IF(VLOOKUP($A134,'Pre-Assessment Estimator'!$A$10:$Z$227,S$2,FALSE)=0,"",VLOOKUP($A134,'Pre-Assessment Estimator'!$A$10:$Z$227,S$2,FALSE))</f>
        <v/>
      </c>
      <c r="T134" s="450"/>
      <c r="U134" s="449" t="str">
        <f>IF(VLOOKUP($A134,'Pre-Assessment Estimator'!$A$10:$Z$227,U$2,FALSE)=0,"",VLOOKUP($A134,'Pre-Assessment Estimator'!$A$10:$Z$227,U$2,FALSE))</f>
        <v/>
      </c>
      <c r="V134" s="444">
        <f>VLOOKUP($A134,'Pre-Assessment Estimator'!$A$10:$Z$227,V$2,FALSE)</f>
        <v>0</v>
      </c>
      <c r="W134" s="443" t="str">
        <f>VLOOKUP($A134,'Pre-Assessment Estimator'!$A$10:$Z$227,W$2,FALSE)</f>
        <v>N/A</v>
      </c>
      <c r="X134" s="446" t="str">
        <f>IF(VLOOKUP($A134,'Pre-Assessment Estimator'!$A$10:$Z$227,X$2,FALSE)=0,"",VLOOKUP($A134,'Pre-Assessment Estimator'!$A$10:$Z$227,X$2,FALSE))</f>
        <v/>
      </c>
      <c r="Y134" s="446" t="str">
        <f>IF(VLOOKUP($A134,'Pre-Assessment Estimator'!$A$10:$Z$227,Y$2,FALSE)=0,"",VLOOKUP($A134,'Pre-Assessment Estimator'!$A$10:$Z$227,Y$2,FALSE))</f>
        <v/>
      </c>
      <c r="Z134" s="313" t="str">
        <f>IF(VLOOKUP($A134,'Pre-Assessment Estimator'!$A$10:$Z$227,Z$2,FALSE)=0,"",VLOOKUP($A134,'Pre-Assessment Estimator'!$A$10:$Z$227,Z$2,FALSE))</f>
        <v/>
      </c>
      <c r="AA134" s="544">
        <v>123</v>
      </c>
      <c r="AB134" s="446"/>
      <c r="AF134" s="13">
        <f t="shared" si="2"/>
        <v>1</v>
      </c>
    </row>
    <row r="135" spans="1:32">
      <c r="A135" s="652">
        <v>126</v>
      </c>
      <c r="B135" s="958" t="s">
        <v>408</v>
      </c>
      <c r="C135" s="958"/>
      <c r="D135" s="980" t="str">
        <f>VLOOKUP($A135,'Pre-Assessment Estimator'!$A$10:$Z$227,D$2,FALSE)</f>
        <v>Mat 05</v>
      </c>
      <c r="E135" s="981" t="str">
        <f>VLOOKUP($A135,'Pre-Assessment Estimator'!$A$10:$Z$227,E$2,FALSE)</f>
        <v>Control plan and moisture measurements</v>
      </c>
      <c r="F135" s="443">
        <f>VLOOKUP($A135,'Pre-Assessment Estimator'!$A$10:$Z$227,F$2,FALSE)</f>
        <v>1</v>
      </c>
      <c r="G135" s="449" t="str">
        <f>IF(VLOOKUP($A135,'Pre-Assessment Estimator'!$A$10:$Z$227,G$2,FALSE)=0,"",VLOOKUP($A135,'Pre-Assessment Estimator'!$A$10:$Z$227,G$2,FALSE))</f>
        <v/>
      </c>
      <c r="H135" s="948">
        <f>VLOOKUP($A135,'Pre-Assessment Estimator'!$A$10:$Z$227,H$2,FALSE)</f>
        <v>0</v>
      </c>
      <c r="I135" s="445" t="str">
        <f>VLOOKUP($A135,'Pre-Assessment Estimator'!$A$10:$Z$227,I$2,FALSE)</f>
        <v>Very Good</v>
      </c>
      <c r="J135" s="446" t="str">
        <f>IF(VLOOKUP($A135,'Pre-Assessment Estimator'!$A$10:$Z$227,J$2,FALSE)=0,"",VLOOKUP($A135,'Pre-Assessment Estimator'!$A$10:$Z$227,J$2,FALSE))</f>
        <v/>
      </c>
      <c r="K135" s="446" t="str">
        <f>IF(VLOOKUP($A135,'Pre-Assessment Estimator'!$A$10:$Z$227,K$2,FALSE)=0,"",VLOOKUP($A135,'Pre-Assessment Estimator'!$A$10:$Z$227,K$2,FALSE))</f>
        <v/>
      </c>
      <c r="L135" s="447" t="str">
        <f>IF(VLOOKUP($A135,'Pre-Assessment Estimator'!$A$10:$Z$227,L$2,FALSE)=0,"",VLOOKUP($A135,'Pre-Assessment Estimator'!$A$10:$Z$227,L$2,FALSE))</f>
        <v/>
      </c>
      <c r="M135" s="448"/>
      <c r="N135" s="449" t="str">
        <f>IF(VLOOKUP($A135,'Pre-Assessment Estimator'!$A$10:$Z$227,N$2,FALSE)=0,"",VLOOKUP($A135,'Pre-Assessment Estimator'!$A$10:$Z$227,N$2,FALSE))</f>
        <v/>
      </c>
      <c r="O135" s="444">
        <f>VLOOKUP($A135,'Pre-Assessment Estimator'!$A$10:$Z$227,O$2,FALSE)</f>
        <v>0</v>
      </c>
      <c r="P135" s="443" t="str">
        <f>VLOOKUP($A135,'Pre-Assessment Estimator'!$A$10:$Z$227,P$2,FALSE)</f>
        <v>Very Good</v>
      </c>
      <c r="Q135" s="446" t="str">
        <f>IF(VLOOKUP($A135,'Pre-Assessment Estimator'!$A$10:$Z$227,Q$2,FALSE)=0,"",VLOOKUP($A135,'Pre-Assessment Estimator'!$A$10:$Z$227,Q$2,FALSE))</f>
        <v/>
      </c>
      <c r="R135" s="446" t="str">
        <f>IF(VLOOKUP($A135,'Pre-Assessment Estimator'!$A$10:$Z$227,R$2,FALSE)=0,"",VLOOKUP($A135,'Pre-Assessment Estimator'!$A$10:$Z$227,R$2,FALSE))</f>
        <v/>
      </c>
      <c r="S135" s="447" t="str">
        <f>IF(VLOOKUP($A135,'Pre-Assessment Estimator'!$A$10:$Z$227,S$2,FALSE)=0,"",VLOOKUP($A135,'Pre-Assessment Estimator'!$A$10:$Z$227,S$2,FALSE))</f>
        <v/>
      </c>
      <c r="T135" s="450"/>
      <c r="U135" s="449" t="str">
        <f>IF(VLOOKUP($A135,'Pre-Assessment Estimator'!$A$10:$Z$227,U$2,FALSE)=0,"",VLOOKUP($A135,'Pre-Assessment Estimator'!$A$10:$Z$227,U$2,FALSE))</f>
        <v/>
      </c>
      <c r="V135" s="444">
        <f>VLOOKUP($A135,'Pre-Assessment Estimator'!$A$10:$Z$227,V$2,FALSE)</f>
        <v>0</v>
      </c>
      <c r="W135" s="443" t="str">
        <f>VLOOKUP($A135,'Pre-Assessment Estimator'!$A$10:$Z$227,W$2,FALSE)</f>
        <v>Very Good</v>
      </c>
      <c r="X135" s="446" t="str">
        <f>IF(VLOOKUP($A135,'Pre-Assessment Estimator'!$A$10:$Z$227,X$2,FALSE)=0,"",VLOOKUP($A135,'Pre-Assessment Estimator'!$A$10:$Z$227,X$2,FALSE))</f>
        <v/>
      </c>
      <c r="Y135" s="446" t="str">
        <f>IF(VLOOKUP($A135,'Pre-Assessment Estimator'!$A$10:$Z$227,Y$2,FALSE)=0,"",VLOOKUP($A135,'Pre-Assessment Estimator'!$A$10:$Z$227,Y$2,FALSE))</f>
        <v/>
      </c>
      <c r="Z135" s="313" t="str">
        <f>IF(VLOOKUP($A135,'Pre-Assessment Estimator'!$A$10:$Z$227,Z$2,FALSE)=0,"",VLOOKUP($A135,'Pre-Assessment Estimator'!$A$10:$Z$227,Z$2,FALSE))</f>
        <v/>
      </c>
      <c r="AA135" s="544">
        <v>124</v>
      </c>
      <c r="AB135" s="446"/>
      <c r="AF135" s="13">
        <f t="shared" si="2"/>
        <v>1</v>
      </c>
    </row>
    <row r="136" spans="1:32">
      <c r="A136" s="652">
        <v>127</v>
      </c>
      <c r="B136" s="958" t="s">
        <v>408</v>
      </c>
      <c r="C136" s="958"/>
      <c r="D136" s="980" t="str">
        <f>VLOOKUP($A136,'Pre-Assessment Estimator'!$A$10:$Z$227,D$2,FALSE)</f>
        <v>Mat 05</v>
      </c>
      <c r="E136" s="981" t="str">
        <f>VLOOKUP($A136,'Pre-Assessment Estimator'!$A$10:$Z$227,E$2,FALSE)</f>
        <v>Construction under cover</v>
      </c>
      <c r="F136" s="443">
        <f>VLOOKUP($A136,'Pre-Assessment Estimator'!$A$10:$Z$227,F$2,FALSE)</f>
        <v>1</v>
      </c>
      <c r="G136" s="449" t="str">
        <f>IF(VLOOKUP($A136,'Pre-Assessment Estimator'!$A$10:$Z$227,G$2,FALSE)=0,"",VLOOKUP($A136,'Pre-Assessment Estimator'!$A$10:$Z$227,G$2,FALSE))</f>
        <v/>
      </c>
      <c r="H136" s="948">
        <f>VLOOKUP($A136,'Pre-Assessment Estimator'!$A$10:$Z$227,H$2,FALSE)</f>
        <v>0</v>
      </c>
      <c r="I136" s="445" t="str">
        <f>VLOOKUP($A136,'Pre-Assessment Estimator'!$A$10:$Z$227,I$2,FALSE)</f>
        <v>N/A</v>
      </c>
      <c r="J136" s="446" t="str">
        <f>IF(VLOOKUP($A136,'Pre-Assessment Estimator'!$A$10:$Z$227,J$2,FALSE)=0,"",VLOOKUP($A136,'Pre-Assessment Estimator'!$A$10:$Z$227,J$2,FALSE))</f>
        <v/>
      </c>
      <c r="K136" s="446" t="str">
        <f>IF(VLOOKUP($A136,'Pre-Assessment Estimator'!$A$10:$Z$227,K$2,FALSE)=0,"",VLOOKUP($A136,'Pre-Assessment Estimator'!$A$10:$Z$227,K$2,FALSE))</f>
        <v/>
      </c>
      <c r="L136" s="447" t="str">
        <f>IF(VLOOKUP($A136,'Pre-Assessment Estimator'!$A$10:$Z$227,L$2,FALSE)=0,"",VLOOKUP($A136,'Pre-Assessment Estimator'!$A$10:$Z$227,L$2,FALSE))</f>
        <v/>
      </c>
      <c r="M136" s="448"/>
      <c r="N136" s="449" t="str">
        <f>IF(VLOOKUP($A136,'Pre-Assessment Estimator'!$A$10:$Z$227,N$2,FALSE)=0,"",VLOOKUP($A136,'Pre-Assessment Estimator'!$A$10:$Z$227,N$2,FALSE))</f>
        <v/>
      </c>
      <c r="O136" s="444">
        <f>VLOOKUP($A136,'Pre-Assessment Estimator'!$A$10:$Z$227,O$2,FALSE)</f>
        <v>0</v>
      </c>
      <c r="P136" s="443" t="str">
        <f>VLOOKUP($A136,'Pre-Assessment Estimator'!$A$10:$Z$227,P$2,FALSE)</f>
        <v>N/A</v>
      </c>
      <c r="Q136" s="446" t="str">
        <f>IF(VLOOKUP($A136,'Pre-Assessment Estimator'!$A$10:$Z$227,Q$2,FALSE)=0,"",VLOOKUP($A136,'Pre-Assessment Estimator'!$A$10:$Z$227,Q$2,FALSE))</f>
        <v/>
      </c>
      <c r="R136" s="446" t="str">
        <f>IF(VLOOKUP($A136,'Pre-Assessment Estimator'!$A$10:$Z$227,R$2,FALSE)=0,"",VLOOKUP($A136,'Pre-Assessment Estimator'!$A$10:$Z$227,R$2,FALSE))</f>
        <v/>
      </c>
      <c r="S136" s="447" t="str">
        <f>IF(VLOOKUP($A136,'Pre-Assessment Estimator'!$A$10:$Z$227,S$2,FALSE)=0,"",VLOOKUP($A136,'Pre-Assessment Estimator'!$A$10:$Z$227,S$2,FALSE))</f>
        <v/>
      </c>
      <c r="T136" s="450"/>
      <c r="U136" s="449" t="str">
        <f>IF(VLOOKUP($A136,'Pre-Assessment Estimator'!$A$10:$Z$227,U$2,FALSE)=0,"",VLOOKUP($A136,'Pre-Assessment Estimator'!$A$10:$Z$227,U$2,FALSE))</f>
        <v/>
      </c>
      <c r="V136" s="444">
        <f>VLOOKUP($A136,'Pre-Assessment Estimator'!$A$10:$Z$227,V$2,FALSE)</f>
        <v>0</v>
      </c>
      <c r="W136" s="443" t="str">
        <f>VLOOKUP($A136,'Pre-Assessment Estimator'!$A$10:$Z$227,W$2,FALSE)</f>
        <v>N/A</v>
      </c>
      <c r="X136" s="446" t="str">
        <f>IF(VLOOKUP($A136,'Pre-Assessment Estimator'!$A$10:$Z$227,X$2,FALSE)=0,"",VLOOKUP($A136,'Pre-Assessment Estimator'!$A$10:$Z$227,X$2,FALSE))</f>
        <v/>
      </c>
      <c r="Y136" s="446" t="str">
        <f>IF(VLOOKUP($A136,'Pre-Assessment Estimator'!$A$10:$Z$227,Y$2,FALSE)=0,"",VLOOKUP($A136,'Pre-Assessment Estimator'!$A$10:$Z$227,Y$2,FALSE))</f>
        <v/>
      </c>
      <c r="Z136" s="313" t="str">
        <f>IF(VLOOKUP($A136,'Pre-Assessment Estimator'!$A$10:$Z$227,Z$2,FALSE)=0,"",VLOOKUP($A136,'Pre-Assessment Estimator'!$A$10:$Z$227,Z$2,FALSE))</f>
        <v/>
      </c>
      <c r="AA136" s="544">
        <v>125</v>
      </c>
      <c r="AB136" s="446"/>
      <c r="AF136" s="13">
        <f t="shared" si="2"/>
        <v>1</v>
      </c>
    </row>
    <row r="137" spans="1:32">
      <c r="A137" s="652">
        <v>128</v>
      </c>
      <c r="B137" s="958" t="s">
        <v>408</v>
      </c>
      <c r="C137" s="958"/>
      <c r="D137" s="979" t="str">
        <f>VLOOKUP($A137,'Pre-Assessment Estimator'!$A$10:$Z$227,D$2,FALSE)</f>
        <v>Mat 06</v>
      </c>
      <c r="E137" s="979" t="str">
        <f>VLOOKUP($A137,'Pre-Assessment Estimator'!$A$10:$Z$227,E$2,FALSE)</f>
        <v>Mat 06 Material efficiency</v>
      </c>
      <c r="F137" s="443">
        <f>VLOOKUP($A137,'Pre-Assessment Estimator'!$A$10:$Z$227,F$2,FALSE)</f>
        <v>3</v>
      </c>
      <c r="G137" s="449" t="str">
        <f>IF(VLOOKUP($A137,'Pre-Assessment Estimator'!$A$10:$Z$227,G$2,FALSE)=0,"",VLOOKUP($A137,'Pre-Assessment Estimator'!$A$10:$Z$227,G$2,FALSE))</f>
        <v/>
      </c>
      <c r="H137" s="948" t="str">
        <f>VLOOKUP($A137,'Pre-Assessment Estimator'!$A$10:$Z$227,H$2,FALSE)</f>
        <v>0 c. 0 %</v>
      </c>
      <c r="I137" s="445" t="str">
        <f>VLOOKUP($A137,'Pre-Assessment Estimator'!$A$10:$Z$227,I$2,FALSE)</f>
        <v>N/A</v>
      </c>
      <c r="J137" s="446" t="str">
        <f>IF(VLOOKUP($A137,'Pre-Assessment Estimator'!$A$10:$Z$227,J$2,FALSE)=0,"",VLOOKUP($A137,'Pre-Assessment Estimator'!$A$10:$Z$227,J$2,FALSE))</f>
        <v/>
      </c>
      <c r="K137" s="446" t="str">
        <f>IF(VLOOKUP($A137,'Pre-Assessment Estimator'!$A$10:$Z$227,K$2,FALSE)=0,"",VLOOKUP($A137,'Pre-Assessment Estimator'!$A$10:$Z$227,K$2,FALSE))</f>
        <v/>
      </c>
      <c r="L137" s="447" t="str">
        <f>IF(VLOOKUP($A137,'Pre-Assessment Estimator'!$A$10:$Z$227,L$2,FALSE)=0,"",VLOOKUP($A137,'Pre-Assessment Estimator'!$A$10:$Z$227,L$2,FALSE))</f>
        <v/>
      </c>
      <c r="M137" s="448"/>
      <c r="N137" s="449" t="str">
        <f>IF(VLOOKUP($A137,'Pre-Assessment Estimator'!$A$10:$Z$227,N$2,FALSE)=0,"",VLOOKUP($A137,'Pre-Assessment Estimator'!$A$10:$Z$227,N$2,FALSE))</f>
        <v/>
      </c>
      <c r="O137" s="444" t="str">
        <f>VLOOKUP($A137,'Pre-Assessment Estimator'!$A$10:$Z$227,O$2,FALSE)</f>
        <v>0 c. 0 %</v>
      </c>
      <c r="P137" s="443" t="str">
        <f>VLOOKUP($A137,'Pre-Assessment Estimator'!$A$10:$Z$227,P$2,FALSE)</f>
        <v>N/A</v>
      </c>
      <c r="Q137" s="446" t="str">
        <f>IF(VLOOKUP($A137,'Pre-Assessment Estimator'!$A$10:$Z$227,Q$2,FALSE)=0,"",VLOOKUP($A137,'Pre-Assessment Estimator'!$A$10:$Z$227,Q$2,FALSE))</f>
        <v/>
      </c>
      <c r="R137" s="446" t="str">
        <f>IF(VLOOKUP($A137,'Pre-Assessment Estimator'!$A$10:$Z$227,R$2,FALSE)=0,"",VLOOKUP($A137,'Pre-Assessment Estimator'!$A$10:$Z$227,R$2,FALSE))</f>
        <v/>
      </c>
      <c r="S137" s="447" t="str">
        <f>IF(VLOOKUP($A137,'Pre-Assessment Estimator'!$A$10:$Z$227,S$2,FALSE)=0,"",VLOOKUP($A137,'Pre-Assessment Estimator'!$A$10:$Z$227,S$2,FALSE))</f>
        <v/>
      </c>
      <c r="T137" s="450"/>
      <c r="U137" s="449" t="str">
        <f>IF(VLOOKUP($A137,'Pre-Assessment Estimator'!$A$10:$Z$227,U$2,FALSE)=0,"",VLOOKUP($A137,'Pre-Assessment Estimator'!$A$10:$Z$227,U$2,FALSE))</f>
        <v/>
      </c>
      <c r="V137" s="444" t="str">
        <f>VLOOKUP($A137,'Pre-Assessment Estimator'!$A$10:$Z$227,V$2,FALSE)</f>
        <v>0 c. 0 %</v>
      </c>
      <c r="W137" s="443" t="str">
        <f>VLOOKUP($A137,'Pre-Assessment Estimator'!$A$10:$Z$227,W$2,FALSE)</f>
        <v>N/A</v>
      </c>
      <c r="X137" s="446" t="str">
        <f>IF(VLOOKUP($A137,'Pre-Assessment Estimator'!$A$10:$Z$227,X$2,FALSE)=0,"",VLOOKUP($A137,'Pre-Assessment Estimator'!$A$10:$Z$227,X$2,FALSE))</f>
        <v/>
      </c>
      <c r="Y137" s="446" t="str">
        <f>IF(VLOOKUP($A137,'Pre-Assessment Estimator'!$A$10:$Z$227,Y$2,FALSE)=0,"",VLOOKUP($A137,'Pre-Assessment Estimator'!$A$10:$Z$227,Y$2,FALSE))</f>
        <v/>
      </c>
      <c r="Z137" s="313" t="str">
        <f>IF(VLOOKUP($A137,'Pre-Assessment Estimator'!$A$10:$Z$227,Z$2,FALSE)=0,"",VLOOKUP($A137,'Pre-Assessment Estimator'!$A$10:$Z$227,Z$2,FALSE))</f>
        <v/>
      </c>
      <c r="AA137" s="544">
        <v>126</v>
      </c>
      <c r="AB137" s="446"/>
      <c r="AF137" s="13">
        <f t="shared" si="2"/>
        <v>1</v>
      </c>
    </row>
    <row r="138" spans="1:32">
      <c r="A138" s="652">
        <v>129</v>
      </c>
      <c r="B138" s="958" t="s">
        <v>408</v>
      </c>
      <c r="C138" s="958"/>
      <c r="D138" s="980" t="str">
        <f>VLOOKUP($A138,'Pre-Assessment Estimator'!$A$10:$Z$227,D$2,FALSE)</f>
        <v>Mat 06</v>
      </c>
      <c r="E138" s="981" t="str">
        <f>VLOOKUP($A138,'Pre-Assessment Estimator'!$A$10:$Z$227,E$2,FALSE)</f>
        <v>Minimum req: mapping for component reuse - criterion 1</v>
      </c>
      <c r="F138" s="443" t="str">
        <f>VLOOKUP($A138,'Pre-Assessment Estimator'!$A$10:$Z$227,F$2,FALSE)</f>
        <v>Yes/No</v>
      </c>
      <c r="G138" s="449" t="str">
        <f>IF(VLOOKUP($A138,'Pre-Assessment Estimator'!$A$10:$Z$227,G$2,FALSE)=0,"",VLOOKUP($A138,'Pre-Assessment Estimator'!$A$10:$Z$227,G$2,FALSE))</f>
        <v/>
      </c>
      <c r="H138" s="948" t="str">
        <f>VLOOKUP($A138,'Pre-Assessment Estimator'!$A$10:$Z$227,H$2,FALSE)</f>
        <v>-</v>
      </c>
      <c r="I138" s="445" t="str">
        <f>VLOOKUP($A138,'Pre-Assessment Estimator'!$A$10:$Z$227,I$2,FALSE)</f>
        <v>Unclassified</v>
      </c>
      <c r="J138" s="446" t="str">
        <f>IF(VLOOKUP($A138,'Pre-Assessment Estimator'!$A$10:$Z$227,J$2,FALSE)=0,"",VLOOKUP($A138,'Pre-Assessment Estimator'!$A$10:$Z$227,J$2,FALSE))</f>
        <v/>
      </c>
      <c r="K138" s="446" t="str">
        <f>IF(VLOOKUP($A138,'Pre-Assessment Estimator'!$A$10:$Z$227,K$2,FALSE)=0,"",VLOOKUP($A138,'Pre-Assessment Estimator'!$A$10:$Z$227,K$2,FALSE))</f>
        <v/>
      </c>
      <c r="L138" s="447" t="str">
        <f>IF(VLOOKUP($A138,'Pre-Assessment Estimator'!$A$10:$Z$227,L$2,FALSE)=0,"",VLOOKUP($A138,'Pre-Assessment Estimator'!$A$10:$Z$227,L$2,FALSE))</f>
        <v/>
      </c>
      <c r="M138" s="448"/>
      <c r="N138" s="449" t="str">
        <f>IF(VLOOKUP($A138,'Pre-Assessment Estimator'!$A$10:$Z$227,N$2,FALSE)=0,"",VLOOKUP($A138,'Pre-Assessment Estimator'!$A$10:$Z$227,N$2,FALSE))</f>
        <v/>
      </c>
      <c r="O138" s="444" t="str">
        <f>VLOOKUP($A138,'Pre-Assessment Estimator'!$A$10:$Z$227,O$2,FALSE)</f>
        <v>-</v>
      </c>
      <c r="P138" s="443" t="str">
        <f>VLOOKUP($A138,'Pre-Assessment Estimator'!$A$10:$Z$227,P$2,FALSE)</f>
        <v>Unclassified</v>
      </c>
      <c r="Q138" s="446" t="str">
        <f>IF(VLOOKUP($A138,'Pre-Assessment Estimator'!$A$10:$Z$227,Q$2,FALSE)=0,"",VLOOKUP($A138,'Pre-Assessment Estimator'!$A$10:$Z$227,Q$2,FALSE))</f>
        <v/>
      </c>
      <c r="R138" s="446" t="str">
        <f>IF(VLOOKUP($A138,'Pre-Assessment Estimator'!$A$10:$Z$227,R$2,FALSE)=0,"",VLOOKUP($A138,'Pre-Assessment Estimator'!$A$10:$Z$227,R$2,FALSE))</f>
        <v/>
      </c>
      <c r="S138" s="447" t="str">
        <f>IF(VLOOKUP($A138,'Pre-Assessment Estimator'!$A$10:$Z$227,S$2,FALSE)=0,"",VLOOKUP($A138,'Pre-Assessment Estimator'!$A$10:$Z$227,S$2,FALSE))</f>
        <v/>
      </c>
      <c r="T138" s="450"/>
      <c r="U138" s="449" t="str">
        <f>IF(VLOOKUP($A138,'Pre-Assessment Estimator'!$A$10:$Z$227,U$2,FALSE)=0,"",VLOOKUP($A138,'Pre-Assessment Estimator'!$A$10:$Z$227,U$2,FALSE))</f>
        <v/>
      </c>
      <c r="V138" s="444" t="str">
        <f>VLOOKUP($A138,'Pre-Assessment Estimator'!$A$10:$Z$227,V$2,FALSE)</f>
        <v>-</v>
      </c>
      <c r="W138" s="443" t="str">
        <f>VLOOKUP($A138,'Pre-Assessment Estimator'!$A$10:$Z$227,W$2,FALSE)</f>
        <v>Unclassified</v>
      </c>
      <c r="X138" s="446" t="str">
        <f>IF(VLOOKUP($A138,'Pre-Assessment Estimator'!$A$10:$Z$227,X$2,FALSE)=0,"",VLOOKUP($A138,'Pre-Assessment Estimator'!$A$10:$Z$227,X$2,FALSE))</f>
        <v/>
      </c>
      <c r="Y138" s="446" t="str">
        <f>IF(VLOOKUP($A138,'Pre-Assessment Estimator'!$A$10:$Z$227,Y$2,FALSE)=0,"",VLOOKUP($A138,'Pre-Assessment Estimator'!$A$10:$Z$227,Y$2,FALSE))</f>
        <v/>
      </c>
      <c r="Z138" s="313" t="str">
        <f>IF(VLOOKUP($A138,'Pre-Assessment Estimator'!$A$10:$Z$227,Z$2,FALSE)=0,"",VLOOKUP($A138,'Pre-Assessment Estimator'!$A$10:$Z$227,Z$2,FALSE))</f>
        <v/>
      </c>
      <c r="AA138" s="544">
        <v>127</v>
      </c>
      <c r="AB138" s="446"/>
      <c r="AF138" s="13">
        <f t="shared" si="2"/>
        <v>1</v>
      </c>
    </row>
    <row r="139" spans="1:32" ht="30">
      <c r="A139" s="652">
        <v>130</v>
      </c>
      <c r="B139" s="958" t="s">
        <v>408</v>
      </c>
      <c r="C139" s="958"/>
      <c r="D139" s="980" t="str">
        <f>VLOOKUP($A139,'Pre-Assessment Estimator'!$A$10:$Z$227,D$2,FALSE)</f>
        <v>Mat 06</v>
      </c>
      <c r="E139" s="981" t="str">
        <f>VLOOKUP($A139,'Pre-Assessment Estimator'!$A$10:$Z$227,E$2,FALSE)</f>
        <v>Mapping for component reuse and implementation (EU taxonomy requirement: criterion 1-3)</v>
      </c>
      <c r="F139" s="443">
        <f>VLOOKUP($A139,'Pre-Assessment Estimator'!$A$10:$Z$227,F$2,FALSE)</f>
        <v>1</v>
      </c>
      <c r="G139" s="449" t="str">
        <f>IF(VLOOKUP($A139,'Pre-Assessment Estimator'!$A$10:$Z$227,G$2,FALSE)=0,"",VLOOKUP($A139,'Pre-Assessment Estimator'!$A$10:$Z$227,G$2,FALSE))</f>
        <v/>
      </c>
      <c r="H139" s="948">
        <f>VLOOKUP($A139,'Pre-Assessment Estimator'!$A$10:$Z$227,H$2,FALSE)</f>
        <v>0</v>
      </c>
      <c r="I139" s="445" t="str">
        <f>VLOOKUP($A139,'Pre-Assessment Estimator'!$A$10:$Z$227,I$2,FALSE)</f>
        <v>Unclassified</v>
      </c>
      <c r="J139" s="446" t="str">
        <f>IF(VLOOKUP($A139,'Pre-Assessment Estimator'!$A$10:$Z$227,J$2,FALSE)=0,"",VLOOKUP($A139,'Pre-Assessment Estimator'!$A$10:$Z$227,J$2,FALSE))</f>
        <v/>
      </c>
      <c r="K139" s="446" t="str">
        <f>IF(VLOOKUP($A139,'Pre-Assessment Estimator'!$A$10:$Z$227,K$2,FALSE)=0,"",VLOOKUP($A139,'Pre-Assessment Estimator'!$A$10:$Z$227,K$2,FALSE))</f>
        <v/>
      </c>
      <c r="L139" s="447" t="str">
        <f>IF(VLOOKUP($A139,'Pre-Assessment Estimator'!$A$10:$Z$227,L$2,FALSE)=0,"",VLOOKUP($A139,'Pre-Assessment Estimator'!$A$10:$Z$227,L$2,FALSE))</f>
        <v/>
      </c>
      <c r="M139" s="448"/>
      <c r="N139" s="449" t="str">
        <f>IF(VLOOKUP($A139,'Pre-Assessment Estimator'!$A$10:$Z$227,N$2,FALSE)=0,"",VLOOKUP($A139,'Pre-Assessment Estimator'!$A$10:$Z$227,N$2,FALSE))</f>
        <v/>
      </c>
      <c r="O139" s="444">
        <f>VLOOKUP($A139,'Pre-Assessment Estimator'!$A$10:$Z$227,O$2,FALSE)</f>
        <v>0</v>
      </c>
      <c r="P139" s="443" t="str">
        <f>VLOOKUP($A139,'Pre-Assessment Estimator'!$A$10:$Z$227,P$2,FALSE)</f>
        <v>Unclassified</v>
      </c>
      <c r="Q139" s="446" t="str">
        <f>IF(VLOOKUP($A139,'Pre-Assessment Estimator'!$A$10:$Z$227,Q$2,FALSE)=0,"",VLOOKUP($A139,'Pre-Assessment Estimator'!$A$10:$Z$227,Q$2,FALSE))</f>
        <v/>
      </c>
      <c r="R139" s="446" t="str">
        <f>IF(VLOOKUP($A139,'Pre-Assessment Estimator'!$A$10:$Z$227,R$2,FALSE)=0,"",VLOOKUP($A139,'Pre-Assessment Estimator'!$A$10:$Z$227,R$2,FALSE))</f>
        <v/>
      </c>
      <c r="S139" s="447" t="str">
        <f>IF(VLOOKUP($A139,'Pre-Assessment Estimator'!$A$10:$Z$227,S$2,FALSE)=0,"",VLOOKUP($A139,'Pre-Assessment Estimator'!$A$10:$Z$227,S$2,FALSE))</f>
        <v/>
      </c>
      <c r="T139" s="450"/>
      <c r="U139" s="449" t="str">
        <f>IF(VLOOKUP($A139,'Pre-Assessment Estimator'!$A$10:$Z$227,U$2,FALSE)=0,"",VLOOKUP($A139,'Pre-Assessment Estimator'!$A$10:$Z$227,U$2,FALSE))</f>
        <v/>
      </c>
      <c r="V139" s="444">
        <f>VLOOKUP($A139,'Pre-Assessment Estimator'!$A$10:$Z$227,V$2,FALSE)</f>
        <v>0</v>
      </c>
      <c r="W139" s="443" t="str">
        <f>VLOOKUP($A139,'Pre-Assessment Estimator'!$A$10:$Z$227,W$2,FALSE)</f>
        <v>Unclassified</v>
      </c>
      <c r="X139" s="446" t="str">
        <f>IF(VLOOKUP($A139,'Pre-Assessment Estimator'!$A$10:$Z$227,X$2,FALSE)=0,"",VLOOKUP($A139,'Pre-Assessment Estimator'!$A$10:$Z$227,X$2,FALSE))</f>
        <v/>
      </c>
      <c r="Y139" s="446" t="str">
        <f>IF(VLOOKUP($A139,'Pre-Assessment Estimator'!$A$10:$Z$227,Y$2,FALSE)=0,"",VLOOKUP($A139,'Pre-Assessment Estimator'!$A$10:$Z$227,Y$2,FALSE))</f>
        <v/>
      </c>
      <c r="Z139" s="313" t="str">
        <f>IF(VLOOKUP($A139,'Pre-Assessment Estimator'!$A$10:$Z$227,Z$2,FALSE)=0,"",VLOOKUP($A139,'Pre-Assessment Estimator'!$A$10:$Z$227,Z$2,FALSE))</f>
        <v/>
      </c>
      <c r="AA139" s="544">
        <v>128</v>
      </c>
      <c r="AB139" s="446"/>
      <c r="AF139" s="13">
        <f t="shared" si="2"/>
        <v>1</v>
      </c>
    </row>
    <row r="140" spans="1:32">
      <c r="A140" s="652">
        <v>131</v>
      </c>
      <c r="B140" s="958" t="s">
        <v>408</v>
      </c>
      <c r="C140" s="958"/>
      <c r="D140" s="980" t="str">
        <f>VLOOKUP($A140,'Pre-Assessment Estimator'!$A$10:$Z$227,D$2,FALSE)</f>
        <v>Mat 06</v>
      </c>
      <c r="E140" s="981" t="str">
        <f>VLOOKUP($A140,'Pre-Assessment Estimator'!$A$10:$Z$227,E$2,FALSE)</f>
        <v>Material efficency</v>
      </c>
      <c r="F140" s="443">
        <f>VLOOKUP($A140,'Pre-Assessment Estimator'!$A$10:$Z$227,F$2,FALSE)</f>
        <v>1</v>
      </c>
      <c r="G140" s="449" t="str">
        <f>IF(VLOOKUP($A140,'Pre-Assessment Estimator'!$A$10:$Z$227,G$2,FALSE)=0,"",VLOOKUP($A140,'Pre-Assessment Estimator'!$A$10:$Z$227,G$2,FALSE))</f>
        <v/>
      </c>
      <c r="H140" s="948">
        <f>VLOOKUP($A140,'Pre-Assessment Estimator'!$A$10:$Z$227,H$2,FALSE)</f>
        <v>0</v>
      </c>
      <c r="I140" s="445" t="str">
        <f>VLOOKUP($A140,'Pre-Assessment Estimator'!$A$10:$Z$227,I$2,FALSE)</f>
        <v>N/A</v>
      </c>
      <c r="J140" s="446" t="str">
        <f>IF(VLOOKUP($A140,'Pre-Assessment Estimator'!$A$10:$Z$227,J$2,FALSE)=0,"",VLOOKUP($A140,'Pre-Assessment Estimator'!$A$10:$Z$227,J$2,FALSE))</f>
        <v/>
      </c>
      <c r="K140" s="446" t="str">
        <f>IF(VLOOKUP($A140,'Pre-Assessment Estimator'!$A$10:$Z$227,K$2,FALSE)=0,"",VLOOKUP($A140,'Pre-Assessment Estimator'!$A$10:$Z$227,K$2,FALSE))</f>
        <v/>
      </c>
      <c r="L140" s="447" t="str">
        <f>IF(VLOOKUP($A140,'Pre-Assessment Estimator'!$A$10:$Z$227,L$2,FALSE)=0,"",VLOOKUP($A140,'Pre-Assessment Estimator'!$A$10:$Z$227,L$2,FALSE))</f>
        <v/>
      </c>
      <c r="M140" s="448"/>
      <c r="N140" s="449" t="str">
        <f>IF(VLOOKUP($A140,'Pre-Assessment Estimator'!$A$10:$Z$227,N$2,FALSE)=0,"",VLOOKUP($A140,'Pre-Assessment Estimator'!$A$10:$Z$227,N$2,FALSE))</f>
        <v/>
      </c>
      <c r="O140" s="444">
        <f>VLOOKUP($A140,'Pre-Assessment Estimator'!$A$10:$Z$227,O$2,FALSE)</f>
        <v>0</v>
      </c>
      <c r="P140" s="443" t="str">
        <f>VLOOKUP($A140,'Pre-Assessment Estimator'!$A$10:$Z$227,P$2,FALSE)</f>
        <v>N/A</v>
      </c>
      <c r="Q140" s="446" t="str">
        <f>IF(VLOOKUP($A140,'Pre-Assessment Estimator'!$A$10:$Z$227,Q$2,FALSE)=0,"",VLOOKUP($A140,'Pre-Assessment Estimator'!$A$10:$Z$227,Q$2,FALSE))</f>
        <v/>
      </c>
      <c r="R140" s="446" t="str">
        <f>IF(VLOOKUP($A140,'Pre-Assessment Estimator'!$A$10:$Z$227,R$2,FALSE)=0,"",VLOOKUP($A140,'Pre-Assessment Estimator'!$A$10:$Z$227,R$2,FALSE))</f>
        <v/>
      </c>
      <c r="S140" s="447" t="str">
        <f>IF(VLOOKUP($A140,'Pre-Assessment Estimator'!$A$10:$Z$227,S$2,FALSE)=0,"",VLOOKUP($A140,'Pre-Assessment Estimator'!$A$10:$Z$227,S$2,FALSE))</f>
        <v/>
      </c>
      <c r="T140" s="450"/>
      <c r="U140" s="449" t="str">
        <f>IF(VLOOKUP($A140,'Pre-Assessment Estimator'!$A$10:$Z$227,U$2,FALSE)=0,"",VLOOKUP($A140,'Pre-Assessment Estimator'!$A$10:$Z$227,U$2,FALSE))</f>
        <v/>
      </c>
      <c r="V140" s="444">
        <f>VLOOKUP($A140,'Pre-Assessment Estimator'!$A$10:$Z$227,V$2,FALSE)</f>
        <v>0</v>
      </c>
      <c r="W140" s="443" t="str">
        <f>VLOOKUP($A140,'Pre-Assessment Estimator'!$A$10:$Z$227,W$2,FALSE)</f>
        <v>N/A</v>
      </c>
      <c r="X140" s="446" t="str">
        <f>IF(VLOOKUP($A140,'Pre-Assessment Estimator'!$A$10:$Z$227,X$2,FALSE)=0,"",VLOOKUP($A140,'Pre-Assessment Estimator'!$A$10:$Z$227,X$2,FALSE))</f>
        <v/>
      </c>
      <c r="Y140" s="446" t="str">
        <f>IF(VLOOKUP($A140,'Pre-Assessment Estimator'!$A$10:$Z$227,Y$2,FALSE)=0,"",VLOOKUP($A140,'Pre-Assessment Estimator'!$A$10:$Z$227,Y$2,FALSE))</f>
        <v/>
      </c>
      <c r="Z140" s="313" t="str">
        <f>IF(VLOOKUP($A140,'Pre-Assessment Estimator'!$A$10:$Z$227,Z$2,FALSE)=0,"",VLOOKUP($A140,'Pre-Assessment Estimator'!$A$10:$Z$227,Z$2,FALSE))</f>
        <v/>
      </c>
      <c r="AA140" s="544">
        <v>129</v>
      </c>
      <c r="AB140" s="446" t="str">
        <f>IF(VLOOKUP($A140,'Pre-Assessment Estimator'!$A$10:$AB$227,AB$2,FALSE)=0,"",VLOOKUP($A140,'Pre-Assessment Estimator'!$A$10:$AB$227,AB$2,FALSE))</f>
        <v/>
      </c>
      <c r="AF140" s="13">
        <f t="shared" si="2"/>
        <v>1</v>
      </c>
    </row>
    <row r="141" spans="1:32">
      <c r="A141" s="652">
        <v>132</v>
      </c>
      <c r="B141" s="958" t="s">
        <v>408</v>
      </c>
      <c r="C141" s="958"/>
      <c r="D141" s="980" t="str">
        <f>VLOOKUP($A141,'Pre-Assessment Estimator'!$A$10:$Z$227,D$2,FALSE)</f>
        <v>Mat 06</v>
      </c>
      <c r="E141" s="981" t="str">
        <f>VLOOKUP($A141,'Pre-Assessment Estimator'!$A$10:$Z$227,E$2,FALSE)</f>
        <v>Reuse of extern building components</v>
      </c>
      <c r="F141" s="443">
        <f>VLOOKUP($A141,'Pre-Assessment Estimator'!$A$10:$Z$227,F$2,FALSE)</f>
        <v>1</v>
      </c>
      <c r="G141" s="449" t="str">
        <f>IF(VLOOKUP($A141,'Pre-Assessment Estimator'!$A$10:$Z$227,G$2,FALSE)=0,"",VLOOKUP($A141,'Pre-Assessment Estimator'!$A$10:$Z$227,G$2,FALSE))</f>
        <v/>
      </c>
      <c r="H141" s="948">
        <f>VLOOKUP($A141,'Pre-Assessment Estimator'!$A$10:$Z$227,H$2,FALSE)</f>
        <v>0</v>
      </c>
      <c r="I141" s="445" t="str">
        <f>VLOOKUP($A141,'Pre-Assessment Estimator'!$A$10:$Z$227,I$2,FALSE)</f>
        <v>N/A</v>
      </c>
      <c r="J141" s="446" t="str">
        <f>IF(VLOOKUP($A141,'Pre-Assessment Estimator'!$A$10:$Z$227,J$2,FALSE)=0,"",VLOOKUP($A141,'Pre-Assessment Estimator'!$A$10:$Z$227,J$2,FALSE))</f>
        <v/>
      </c>
      <c r="K141" s="446" t="str">
        <f>IF(VLOOKUP($A141,'Pre-Assessment Estimator'!$A$10:$Z$227,K$2,FALSE)=0,"",VLOOKUP($A141,'Pre-Assessment Estimator'!$A$10:$Z$227,K$2,FALSE))</f>
        <v/>
      </c>
      <c r="L141" s="447" t="str">
        <f>IF(VLOOKUP($A141,'Pre-Assessment Estimator'!$A$10:$Z$227,L$2,FALSE)=0,"",VLOOKUP($A141,'Pre-Assessment Estimator'!$A$10:$Z$227,L$2,FALSE))</f>
        <v/>
      </c>
      <c r="M141" s="448"/>
      <c r="N141" s="449" t="str">
        <f>IF(VLOOKUP($A141,'Pre-Assessment Estimator'!$A$10:$Z$227,N$2,FALSE)=0,"",VLOOKUP($A141,'Pre-Assessment Estimator'!$A$10:$Z$227,N$2,FALSE))</f>
        <v/>
      </c>
      <c r="O141" s="444">
        <f>VLOOKUP($A141,'Pre-Assessment Estimator'!$A$10:$Z$227,O$2,FALSE)</f>
        <v>0</v>
      </c>
      <c r="P141" s="443" t="str">
        <f>VLOOKUP($A141,'Pre-Assessment Estimator'!$A$10:$Z$227,P$2,FALSE)</f>
        <v>N/A</v>
      </c>
      <c r="Q141" s="446" t="str">
        <f>IF(VLOOKUP($A141,'Pre-Assessment Estimator'!$A$10:$Z$227,Q$2,FALSE)=0,"",VLOOKUP($A141,'Pre-Assessment Estimator'!$A$10:$Z$227,Q$2,FALSE))</f>
        <v/>
      </c>
      <c r="R141" s="446" t="str">
        <f>IF(VLOOKUP($A141,'Pre-Assessment Estimator'!$A$10:$Z$227,R$2,FALSE)=0,"",VLOOKUP($A141,'Pre-Assessment Estimator'!$A$10:$Z$227,R$2,FALSE))</f>
        <v/>
      </c>
      <c r="S141" s="447" t="str">
        <f>IF(VLOOKUP($A141,'Pre-Assessment Estimator'!$A$10:$Z$227,S$2,FALSE)=0,"",VLOOKUP($A141,'Pre-Assessment Estimator'!$A$10:$Z$227,S$2,FALSE))</f>
        <v/>
      </c>
      <c r="T141" s="450"/>
      <c r="U141" s="449" t="str">
        <f>IF(VLOOKUP($A141,'Pre-Assessment Estimator'!$A$10:$Z$227,U$2,FALSE)=0,"",VLOOKUP($A141,'Pre-Assessment Estimator'!$A$10:$Z$227,U$2,FALSE))</f>
        <v/>
      </c>
      <c r="V141" s="444">
        <f>VLOOKUP($A141,'Pre-Assessment Estimator'!$A$10:$Z$227,V$2,FALSE)</f>
        <v>0</v>
      </c>
      <c r="W141" s="443" t="str">
        <f>VLOOKUP($A141,'Pre-Assessment Estimator'!$A$10:$Z$227,W$2,FALSE)</f>
        <v>N/A</v>
      </c>
      <c r="X141" s="446" t="str">
        <f>IF(VLOOKUP($A141,'Pre-Assessment Estimator'!$A$10:$Z$227,X$2,FALSE)=0,"",VLOOKUP($A141,'Pre-Assessment Estimator'!$A$10:$Z$227,X$2,FALSE))</f>
        <v/>
      </c>
      <c r="Y141" s="446" t="str">
        <f>IF(VLOOKUP($A141,'Pre-Assessment Estimator'!$A$10:$Z$227,Y$2,FALSE)=0,"",VLOOKUP($A141,'Pre-Assessment Estimator'!$A$10:$Z$227,Y$2,FALSE))</f>
        <v/>
      </c>
      <c r="Z141" s="313" t="str">
        <f>IF(VLOOKUP($A141,'Pre-Assessment Estimator'!$A$10:$Z$227,Z$2,FALSE)=0,"",VLOOKUP($A141,'Pre-Assessment Estimator'!$A$10:$Z$227,Z$2,FALSE))</f>
        <v/>
      </c>
      <c r="AA141" s="544">
        <v>130</v>
      </c>
      <c r="AB141" s="446" t="str">
        <f>IF(VLOOKUP($A141,'Pre-Assessment Estimator'!$A$10:$AB$227,AB$2,FALSE)=0,"",VLOOKUP($A141,'Pre-Assessment Estimator'!$A$10:$AB$227,AB$2,FALSE))</f>
        <v/>
      </c>
      <c r="AF141" s="13">
        <f t="shared" si="2"/>
        <v>1</v>
      </c>
    </row>
    <row r="142" spans="1:32">
      <c r="A142" s="652">
        <v>133</v>
      </c>
      <c r="B142" s="958" t="s">
        <v>408</v>
      </c>
      <c r="C142" s="958"/>
      <c r="D142" s="979" t="str">
        <f>VLOOKUP($A142,'Pre-Assessment Estimator'!$A$10:$Z$227,D$2,FALSE)</f>
        <v>Mat 07</v>
      </c>
      <c r="E142" s="979" t="str">
        <f>VLOOKUP($A142,'Pre-Assessment Estimator'!$A$10:$Z$227,E$2,FALSE)</f>
        <v>Mat 07 Design for disassembly and adaptability</v>
      </c>
      <c r="F142" s="443">
        <f>VLOOKUP($A142,'Pre-Assessment Estimator'!$A$10:$Z$227,F$2,FALSE)</f>
        <v>3</v>
      </c>
      <c r="G142" s="449" t="str">
        <f>IF(VLOOKUP($A142,'Pre-Assessment Estimator'!$A$10:$Z$227,G$2,FALSE)=0,"",VLOOKUP($A142,'Pre-Assessment Estimator'!$A$10:$Z$227,G$2,FALSE))</f>
        <v/>
      </c>
      <c r="H142" s="948" t="str">
        <f>VLOOKUP($A142,'Pre-Assessment Estimator'!$A$10:$Z$227,H$2,FALSE)</f>
        <v>0 c. 0 %</v>
      </c>
      <c r="I142" s="445" t="str">
        <f>VLOOKUP($A142,'Pre-Assessment Estimator'!$A$10:$Z$227,I$2,FALSE)</f>
        <v>N/A</v>
      </c>
      <c r="J142" s="446" t="str">
        <f>IF(VLOOKUP($A142,'Pre-Assessment Estimator'!$A$10:$Z$227,J$2,FALSE)=0,"",VLOOKUP($A142,'Pre-Assessment Estimator'!$A$10:$Z$227,J$2,FALSE))</f>
        <v/>
      </c>
      <c r="K142" s="446" t="str">
        <f>IF(VLOOKUP($A142,'Pre-Assessment Estimator'!$A$10:$Z$227,K$2,FALSE)=0,"",VLOOKUP($A142,'Pre-Assessment Estimator'!$A$10:$Z$227,K$2,FALSE))</f>
        <v/>
      </c>
      <c r="L142" s="447" t="str">
        <f>IF(VLOOKUP($A142,'Pre-Assessment Estimator'!$A$10:$Z$227,L$2,FALSE)=0,"",VLOOKUP($A142,'Pre-Assessment Estimator'!$A$10:$Z$227,L$2,FALSE))</f>
        <v/>
      </c>
      <c r="M142" s="448"/>
      <c r="N142" s="449" t="str">
        <f>IF(VLOOKUP($A142,'Pre-Assessment Estimator'!$A$10:$Z$227,N$2,FALSE)=0,"",VLOOKUP($A142,'Pre-Assessment Estimator'!$A$10:$Z$227,N$2,FALSE))</f>
        <v/>
      </c>
      <c r="O142" s="444" t="str">
        <f>VLOOKUP($A142,'Pre-Assessment Estimator'!$A$10:$Z$227,O$2,FALSE)</f>
        <v>0 c. 0 %</v>
      </c>
      <c r="P142" s="443" t="str">
        <f>VLOOKUP($A142,'Pre-Assessment Estimator'!$A$10:$Z$227,P$2,FALSE)</f>
        <v>N/A</v>
      </c>
      <c r="Q142" s="446" t="str">
        <f>IF(VLOOKUP($A142,'Pre-Assessment Estimator'!$A$10:$Z$227,Q$2,FALSE)=0,"",VLOOKUP($A142,'Pre-Assessment Estimator'!$A$10:$Z$227,Q$2,FALSE))</f>
        <v/>
      </c>
      <c r="R142" s="446" t="str">
        <f>IF(VLOOKUP($A142,'Pre-Assessment Estimator'!$A$10:$Z$227,R$2,FALSE)=0,"",VLOOKUP($A142,'Pre-Assessment Estimator'!$A$10:$Z$227,R$2,FALSE))</f>
        <v/>
      </c>
      <c r="S142" s="447" t="str">
        <f>IF(VLOOKUP($A142,'Pre-Assessment Estimator'!$A$10:$Z$227,S$2,FALSE)=0,"",VLOOKUP($A142,'Pre-Assessment Estimator'!$A$10:$Z$227,S$2,FALSE))</f>
        <v/>
      </c>
      <c r="T142" s="450"/>
      <c r="U142" s="449" t="str">
        <f>IF(VLOOKUP($A142,'Pre-Assessment Estimator'!$A$10:$Z$227,U$2,FALSE)=0,"",VLOOKUP($A142,'Pre-Assessment Estimator'!$A$10:$Z$227,U$2,FALSE))</f>
        <v/>
      </c>
      <c r="V142" s="444" t="str">
        <f>VLOOKUP($A142,'Pre-Assessment Estimator'!$A$10:$Z$227,V$2,FALSE)</f>
        <v>0 c. 0 %</v>
      </c>
      <c r="W142" s="443" t="str">
        <f>VLOOKUP($A142,'Pre-Assessment Estimator'!$A$10:$Z$227,W$2,FALSE)</f>
        <v>N/A</v>
      </c>
      <c r="X142" s="446" t="str">
        <f>IF(VLOOKUP($A142,'Pre-Assessment Estimator'!$A$10:$Z$227,X$2,FALSE)=0,"",VLOOKUP($A142,'Pre-Assessment Estimator'!$A$10:$Z$227,X$2,FALSE))</f>
        <v/>
      </c>
      <c r="Y142" s="446" t="str">
        <f>IF(VLOOKUP($A142,'Pre-Assessment Estimator'!$A$10:$Z$227,Y$2,FALSE)=0,"",VLOOKUP($A142,'Pre-Assessment Estimator'!$A$10:$Z$227,Y$2,FALSE))</f>
        <v/>
      </c>
      <c r="Z142" s="313" t="str">
        <f>IF(VLOOKUP($A142,'Pre-Assessment Estimator'!$A$10:$Z$227,Z$2,FALSE)=0,"",VLOOKUP($A142,'Pre-Assessment Estimator'!$A$10:$Z$227,Z$2,FALSE))</f>
        <v/>
      </c>
      <c r="AA142" s="544">
        <v>131</v>
      </c>
      <c r="AB142" s="446"/>
      <c r="AF142" s="13">
        <f t="shared" si="2"/>
        <v>1</v>
      </c>
    </row>
    <row r="143" spans="1:32">
      <c r="A143" s="652">
        <v>134</v>
      </c>
      <c r="B143" s="958" t="s">
        <v>408</v>
      </c>
      <c r="C143" s="958"/>
      <c r="D143" s="980" t="str">
        <f>VLOOKUP($A143,'Pre-Assessment Estimator'!$A$10:$Z$227,D$2,FALSE)</f>
        <v>Mat 07</v>
      </c>
      <c r="E143" s="981" t="str">
        <f>VLOOKUP($A143,'Pre-Assessment Estimator'!$A$10:$Z$227,E$2,FALSE)</f>
        <v>Resource inventory</v>
      </c>
      <c r="F143" s="443">
        <f>VLOOKUP($A143,'Pre-Assessment Estimator'!$A$10:$Z$227,F$2,FALSE)</f>
        <v>1</v>
      </c>
      <c r="G143" s="449" t="str">
        <f>IF(VLOOKUP($A143,'Pre-Assessment Estimator'!$A$10:$Z$227,G$2,FALSE)=0,"",VLOOKUP($A143,'Pre-Assessment Estimator'!$A$10:$Z$227,G$2,FALSE))</f>
        <v/>
      </c>
      <c r="H143" s="948">
        <f>VLOOKUP($A143,'Pre-Assessment Estimator'!$A$10:$Z$227,H$2,FALSE)</f>
        <v>0</v>
      </c>
      <c r="I143" s="445" t="str">
        <f>VLOOKUP($A143,'Pre-Assessment Estimator'!$A$10:$Z$227,I$2,FALSE)</f>
        <v>N/A</v>
      </c>
      <c r="J143" s="446" t="str">
        <f>IF(VLOOKUP($A143,'Pre-Assessment Estimator'!$A$10:$Z$227,J$2,FALSE)=0,"",VLOOKUP($A143,'Pre-Assessment Estimator'!$A$10:$Z$227,J$2,FALSE))</f>
        <v/>
      </c>
      <c r="K143" s="446" t="str">
        <f>IF(VLOOKUP($A143,'Pre-Assessment Estimator'!$A$10:$Z$227,K$2,FALSE)=0,"",VLOOKUP($A143,'Pre-Assessment Estimator'!$A$10:$Z$227,K$2,FALSE))</f>
        <v/>
      </c>
      <c r="L143" s="447" t="str">
        <f>IF(VLOOKUP($A143,'Pre-Assessment Estimator'!$A$10:$Z$227,L$2,FALSE)=0,"",VLOOKUP($A143,'Pre-Assessment Estimator'!$A$10:$Z$227,L$2,FALSE))</f>
        <v/>
      </c>
      <c r="M143" s="448"/>
      <c r="N143" s="449" t="str">
        <f>IF(VLOOKUP($A143,'Pre-Assessment Estimator'!$A$10:$Z$227,N$2,FALSE)=0,"",VLOOKUP($A143,'Pre-Assessment Estimator'!$A$10:$Z$227,N$2,FALSE))</f>
        <v/>
      </c>
      <c r="O143" s="444">
        <f>VLOOKUP($A143,'Pre-Assessment Estimator'!$A$10:$Z$227,O$2,FALSE)</f>
        <v>0</v>
      </c>
      <c r="P143" s="443" t="str">
        <f>VLOOKUP($A143,'Pre-Assessment Estimator'!$A$10:$Z$227,P$2,FALSE)</f>
        <v>N/A</v>
      </c>
      <c r="Q143" s="446" t="str">
        <f>IF(VLOOKUP($A143,'Pre-Assessment Estimator'!$A$10:$Z$227,Q$2,FALSE)=0,"",VLOOKUP($A143,'Pre-Assessment Estimator'!$A$10:$Z$227,Q$2,FALSE))</f>
        <v/>
      </c>
      <c r="R143" s="446" t="str">
        <f>IF(VLOOKUP($A143,'Pre-Assessment Estimator'!$A$10:$Z$227,R$2,FALSE)=0,"",VLOOKUP($A143,'Pre-Assessment Estimator'!$A$10:$Z$227,R$2,FALSE))</f>
        <v/>
      </c>
      <c r="S143" s="447" t="str">
        <f>IF(VLOOKUP($A143,'Pre-Assessment Estimator'!$A$10:$Z$227,S$2,FALSE)=0,"",VLOOKUP($A143,'Pre-Assessment Estimator'!$A$10:$Z$227,S$2,FALSE))</f>
        <v/>
      </c>
      <c r="T143" s="450"/>
      <c r="U143" s="449" t="str">
        <f>IF(VLOOKUP($A143,'Pre-Assessment Estimator'!$A$10:$Z$227,U$2,FALSE)=0,"",VLOOKUP($A143,'Pre-Assessment Estimator'!$A$10:$Z$227,U$2,FALSE))</f>
        <v/>
      </c>
      <c r="V143" s="444">
        <f>VLOOKUP($A143,'Pre-Assessment Estimator'!$A$10:$Z$227,V$2,FALSE)</f>
        <v>0</v>
      </c>
      <c r="W143" s="443" t="str">
        <f>VLOOKUP($A143,'Pre-Assessment Estimator'!$A$10:$Z$227,W$2,FALSE)</f>
        <v>N/A</v>
      </c>
      <c r="X143" s="446" t="str">
        <f>IF(VLOOKUP($A143,'Pre-Assessment Estimator'!$A$10:$Z$227,X$2,FALSE)=0,"",VLOOKUP($A143,'Pre-Assessment Estimator'!$A$10:$Z$227,X$2,FALSE))</f>
        <v/>
      </c>
      <c r="Y143" s="446" t="str">
        <f>IF(VLOOKUP($A143,'Pre-Assessment Estimator'!$A$10:$Z$227,Y$2,FALSE)=0,"",VLOOKUP($A143,'Pre-Assessment Estimator'!$A$10:$Z$227,Y$2,FALSE))</f>
        <v/>
      </c>
      <c r="Z143" s="313" t="str">
        <f>IF(VLOOKUP($A143,'Pre-Assessment Estimator'!$A$10:$Z$227,Z$2,FALSE)=0,"",VLOOKUP($A143,'Pre-Assessment Estimator'!$A$10:$Z$227,Z$2,FALSE))</f>
        <v/>
      </c>
      <c r="AA143" s="544">
        <v>132</v>
      </c>
      <c r="AB143" s="446"/>
      <c r="AF143" s="13">
        <f t="shared" si="2"/>
        <v>1</v>
      </c>
    </row>
    <row r="144" spans="1:32" ht="30">
      <c r="A144" s="652">
        <v>135</v>
      </c>
      <c r="B144" s="958" t="s">
        <v>408</v>
      </c>
      <c r="C144" s="958"/>
      <c r="D144" s="980" t="str">
        <f>VLOOKUP($A144,'Pre-Assessment Estimator'!$A$10:$Z$227,D$2,FALSE)</f>
        <v>Mat 07</v>
      </c>
      <c r="E144" s="981" t="str">
        <f>VLOOKUP($A144,'Pre-Assessment Estimator'!$A$10:$Z$227,E$2,FALSE)</f>
        <v>Design for disassembly and functional adaptability - recommendations (EU taxonomy requirement: criterion 2-3)</v>
      </c>
      <c r="F144" s="443">
        <f>VLOOKUP($A144,'Pre-Assessment Estimator'!$A$10:$Z$227,F$2,FALSE)</f>
        <v>1</v>
      </c>
      <c r="G144" s="449" t="str">
        <f>IF(VLOOKUP($A144,'Pre-Assessment Estimator'!$A$10:$Z$227,G$2,FALSE)=0,"",VLOOKUP($A144,'Pre-Assessment Estimator'!$A$10:$Z$227,G$2,FALSE))</f>
        <v/>
      </c>
      <c r="H144" s="948">
        <f>VLOOKUP($A144,'Pre-Assessment Estimator'!$A$10:$Z$227,H$2,FALSE)</f>
        <v>0</v>
      </c>
      <c r="I144" s="445" t="str">
        <f>VLOOKUP($A144,'Pre-Assessment Estimator'!$A$10:$Z$227,I$2,FALSE)</f>
        <v>Very Good</v>
      </c>
      <c r="J144" s="446" t="str">
        <f>IF(VLOOKUP($A144,'Pre-Assessment Estimator'!$A$10:$Z$227,J$2,FALSE)=0,"",VLOOKUP($A144,'Pre-Assessment Estimator'!$A$10:$Z$227,J$2,FALSE))</f>
        <v/>
      </c>
      <c r="K144" s="446" t="str">
        <f>IF(VLOOKUP($A144,'Pre-Assessment Estimator'!$A$10:$Z$227,K$2,FALSE)=0,"",VLOOKUP($A144,'Pre-Assessment Estimator'!$A$10:$Z$227,K$2,FALSE))</f>
        <v/>
      </c>
      <c r="L144" s="447" t="str">
        <f>IF(VLOOKUP($A144,'Pre-Assessment Estimator'!$A$10:$Z$227,L$2,FALSE)=0,"",VLOOKUP($A144,'Pre-Assessment Estimator'!$A$10:$Z$227,L$2,FALSE))</f>
        <v/>
      </c>
      <c r="M144" s="448"/>
      <c r="N144" s="449" t="str">
        <f>IF(VLOOKUP($A144,'Pre-Assessment Estimator'!$A$10:$Z$227,N$2,FALSE)=0,"",VLOOKUP($A144,'Pre-Assessment Estimator'!$A$10:$Z$227,N$2,FALSE))</f>
        <v/>
      </c>
      <c r="O144" s="444">
        <f>VLOOKUP($A144,'Pre-Assessment Estimator'!$A$10:$Z$227,O$2,FALSE)</f>
        <v>0</v>
      </c>
      <c r="P144" s="443" t="str">
        <f>VLOOKUP($A144,'Pre-Assessment Estimator'!$A$10:$Z$227,P$2,FALSE)</f>
        <v>Very Good</v>
      </c>
      <c r="Q144" s="446" t="str">
        <f>IF(VLOOKUP($A144,'Pre-Assessment Estimator'!$A$10:$Z$227,Q$2,FALSE)=0,"",VLOOKUP($A144,'Pre-Assessment Estimator'!$A$10:$Z$227,Q$2,FALSE))</f>
        <v/>
      </c>
      <c r="R144" s="446" t="str">
        <f>IF(VLOOKUP($A144,'Pre-Assessment Estimator'!$A$10:$Z$227,R$2,FALSE)=0,"",VLOOKUP($A144,'Pre-Assessment Estimator'!$A$10:$Z$227,R$2,FALSE))</f>
        <v/>
      </c>
      <c r="S144" s="447" t="str">
        <f>IF(VLOOKUP($A144,'Pre-Assessment Estimator'!$A$10:$Z$227,S$2,FALSE)=0,"",VLOOKUP($A144,'Pre-Assessment Estimator'!$A$10:$Z$227,S$2,FALSE))</f>
        <v/>
      </c>
      <c r="T144" s="450"/>
      <c r="U144" s="449" t="str">
        <f>IF(VLOOKUP($A144,'Pre-Assessment Estimator'!$A$10:$Z$227,U$2,FALSE)=0,"",VLOOKUP($A144,'Pre-Assessment Estimator'!$A$10:$Z$227,U$2,FALSE))</f>
        <v/>
      </c>
      <c r="V144" s="444">
        <f>VLOOKUP($A144,'Pre-Assessment Estimator'!$A$10:$Z$227,V$2,FALSE)</f>
        <v>0</v>
      </c>
      <c r="W144" s="443" t="str">
        <f>VLOOKUP($A144,'Pre-Assessment Estimator'!$A$10:$Z$227,W$2,FALSE)</f>
        <v>Very Good</v>
      </c>
      <c r="X144" s="446" t="str">
        <f>IF(VLOOKUP($A144,'Pre-Assessment Estimator'!$A$10:$Z$227,X$2,FALSE)=0,"",VLOOKUP($A144,'Pre-Assessment Estimator'!$A$10:$Z$227,X$2,FALSE))</f>
        <v/>
      </c>
      <c r="Y144" s="446" t="str">
        <f>IF(VLOOKUP($A144,'Pre-Assessment Estimator'!$A$10:$Z$227,Y$2,FALSE)=0,"",VLOOKUP($A144,'Pre-Assessment Estimator'!$A$10:$Z$227,Y$2,FALSE))</f>
        <v/>
      </c>
      <c r="Z144" s="313" t="str">
        <f>IF(VLOOKUP($A144,'Pre-Assessment Estimator'!$A$10:$Z$227,Z$2,FALSE)=0,"",VLOOKUP($A144,'Pre-Assessment Estimator'!$A$10:$Z$227,Z$2,FALSE))</f>
        <v/>
      </c>
      <c r="AA144" s="544">
        <v>133</v>
      </c>
      <c r="AB144" s="446" t="str">
        <f>IF(VLOOKUP($A144,'Pre-Assessment Estimator'!$A$10:$AB$227,AB$2,FALSE)=0,"",VLOOKUP($A144,'Pre-Assessment Estimator'!$A$10:$AB$227,AB$2,FALSE))</f>
        <v/>
      </c>
      <c r="AF144" s="13">
        <f t="shared" si="2"/>
        <v>1</v>
      </c>
    </row>
    <row r="145" spans="1:32" ht="30">
      <c r="A145" s="652">
        <v>136</v>
      </c>
      <c r="B145" s="958" t="s">
        <v>408</v>
      </c>
      <c r="C145" s="958"/>
      <c r="D145" s="980" t="str">
        <f>VLOOKUP($A145,'Pre-Assessment Estimator'!$A$10:$Z$227,D$2,FALSE)</f>
        <v>Mat 07</v>
      </c>
      <c r="E145" s="981" t="str">
        <f>VLOOKUP($A145,'Pre-Assessment Estimator'!$A$10:$Z$227,E$2,FALSE)</f>
        <v>Disassembly and functional adaptability - implementation (EU taxonomy requirement: criterion 4-6)</v>
      </c>
      <c r="F145" s="443">
        <f>VLOOKUP($A145,'Pre-Assessment Estimator'!$A$10:$Z$227,F$2,FALSE)</f>
        <v>1</v>
      </c>
      <c r="G145" s="449" t="str">
        <f>IF(VLOOKUP($A145,'Pre-Assessment Estimator'!$A$10:$Z$227,G$2,FALSE)=0,"",VLOOKUP($A145,'Pre-Assessment Estimator'!$A$10:$Z$227,G$2,FALSE))</f>
        <v/>
      </c>
      <c r="H145" s="948">
        <f>VLOOKUP($A145,'Pre-Assessment Estimator'!$A$10:$Z$227,H$2,FALSE)</f>
        <v>0</v>
      </c>
      <c r="I145" s="445" t="str">
        <f>VLOOKUP($A145,'Pre-Assessment Estimator'!$A$10:$Z$227,I$2,FALSE)</f>
        <v>Very Good</v>
      </c>
      <c r="J145" s="446" t="str">
        <f>IF(VLOOKUP($A145,'Pre-Assessment Estimator'!$A$10:$Z$227,J$2,FALSE)=0,"",VLOOKUP($A145,'Pre-Assessment Estimator'!$A$10:$Z$227,J$2,FALSE))</f>
        <v/>
      </c>
      <c r="K145" s="446" t="str">
        <f>IF(VLOOKUP($A145,'Pre-Assessment Estimator'!$A$10:$Z$227,K$2,FALSE)=0,"",VLOOKUP($A145,'Pre-Assessment Estimator'!$A$10:$Z$227,K$2,FALSE))</f>
        <v/>
      </c>
      <c r="L145" s="447" t="str">
        <f>IF(VLOOKUP($A145,'Pre-Assessment Estimator'!$A$10:$Z$227,L$2,FALSE)=0,"",VLOOKUP($A145,'Pre-Assessment Estimator'!$A$10:$Z$227,L$2,FALSE))</f>
        <v/>
      </c>
      <c r="M145" s="448"/>
      <c r="N145" s="449" t="str">
        <f>IF(VLOOKUP($A145,'Pre-Assessment Estimator'!$A$10:$Z$227,N$2,FALSE)=0,"",VLOOKUP($A145,'Pre-Assessment Estimator'!$A$10:$Z$227,N$2,FALSE))</f>
        <v/>
      </c>
      <c r="O145" s="444">
        <f>VLOOKUP($A145,'Pre-Assessment Estimator'!$A$10:$Z$227,O$2,FALSE)</f>
        <v>0</v>
      </c>
      <c r="P145" s="443" t="str">
        <f>VLOOKUP($A145,'Pre-Assessment Estimator'!$A$10:$Z$227,P$2,FALSE)</f>
        <v>Very Good</v>
      </c>
      <c r="Q145" s="446" t="str">
        <f>IF(VLOOKUP($A145,'Pre-Assessment Estimator'!$A$10:$Z$227,Q$2,FALSE)=0,"",VLOOKUP($A145,'Pre-Assessment Estimator'!$A$10:$Z$227,Q$2,FALSE))</f>
        <v/>
      </c>
      <c r="R145" s="446" t="str">
        <f>IF(VLOOKUP($A145,'Pre-Assessment Estimator'!$A$10:$Z$227,R$2,FALSE)=0,"",VLOOKUP($A145,'Pre-Assessment Estimator'!$A$10:$Z$227,R$2,FALSE))</f>
        <v/>
      </c>
      <c r="S145" s="447" t="str">
        <f>IF(VLOOKUP($A145,'Pre-Assessment Estimator'!$A$10:$Z$227,S$2,FALSE)=0,"",VLOOKUP($A145,'Pre-Assessment Estimator'!$A$10:$Z$227,S$2,FALSE))</f>
        <v/>
      </c>
      <c r="T145" s="450"/>
      <c r="U145" s="449" t="str">
        <f>IF(VLOOKUP($A145,'Pre-Assessment Estimator'!$A$10:$Z$227,U$2,FALSE)=0,"",VLOOKUP($A145,'Pre-Assessment Estimator'!$A$10:$Z$227,U$2,FALSE))</f>
        <v/>
      </c>
      <c r="V145" s="444">
        <f>VLOOKUP($A145,'Pre-Assessment Estimator'!$A$10:$Z$227,V$2,FALSE)</f>
        <v>0</v>
      </c>
      <c r="W145" s="443" t="str">
        <f>VLOOKUP($A145,'Pre-Assessment Estimator'!$A$10:$Z$227,W$2,FALSE)</f>
        <v>Very Good</v>
      </c>
      <c r="X145" s="446" t="str">
        <f>IF(VLOOKUP($A145,'Pre-Assessment Estimator'!$A$10:$Z$227,X$2,FALSE)=0,"",VLOOKUP($A145,'Pre-Assessment Estimator'!$A$10:$Z$227,X$2,FALSE))</f>
        <v/>
      </c>
      <c r="Y145" s="446" t="str">
        <f>IF(VLOOKUP($A145,'Pre-Assessment Estimator'!$A$10:$Z$227,Y$2,FALSE)=0,"",VLOOKUP($A145,'Pre-Assessment Estimator'!$A$10:$Z$227,Y$2,FALSE))</f>
        <v/>
      </c>
      <c r="Z145" s="313" t="str">
        <f>IF(VLOOKUP($A145,'Pre-Assessment Estimator'!$A$10:$Z$227,Z$2,FALSE)=0,"",VLOOKUP($A145,'Pre-Assessment Estimator'!$A$10:$Z$227,Z$2,FALSE))</f>
        <v/>
      </c>
      <c r="AA145" s="544">
        <v>134</v>
      </c>
      <c r="AB145" s="454" t="str">
        <f>IF(VLOOKUP($A145,'Pre-Assessment Estimator'!$A$10:$AB$227,AB$2,FALSE)=0,"",VLOOKUP($A145,'Pre-Assessment Estimator'!$A$10:$AB$227,AB$2,FALSE))</f>
        <v/>
      </c>
      <c r="AF145" s="13">
        <f t="shared" si="2"/>
        <v>1</v>
      </c>
    </row>
    <row r="146" spans="1:32" ht="30" customHeight="1" thickBot="1">
      <c r="A146" s="652">
        <v>137</v>
      </c>
      <c r="B146" s="958" t="s">
        <v>442</v>
      </c>
      <c r="C146" s="958"/>
      <c r="D146" s="982"/>
      <c r="E146" s="982" t="str">
        <f>VLOOKUP($A146,'Pre-Assessment Estimator'!$A$10:$Z$227,E$2,FALSE)</f>
        <v>Total performance materials</v>
      </c>
      <c r="F146" s="451">
        <f>VLOOKUP($A146,'Pre-Assessment Estimator'!$A$10:$Z$227,F$2,FALSE)</f>
        <v>21</v>
      </c>
      <c r="G146" s="453" t="str">
        <f>IF(VLOOKUP($A146,'Pre-Assessment Estimator'!$A$10:$Z$227,G$2,FALSE)=0,"",VLOOKUP($A146,'Pre-Assessment Estimator'!$A$10:$Z$227,G$2,FALSE))</f>
        <v/>
      </c>
      <c r="H146" s="452">
        <f>VLOOKUP($A146,'Pre-Assessment Estimator'!$A$10:$Z$227,H$2,FALSE)</f>
        <v>0</v>
      </c>
      <c r="I146" s="451" t="str">
        <f>VLOOKUP($A146,'Pre-Assessment Estimator'!$A$10:$Z$227,I$2,FALSE)</f>
        <v>Credits achieved: 0</v>
      </c>
      <c r="J146" s="930" t="str">
        <f>IF(VLOOKUP($A146,'Pre-Assessment Estimator'!$A$10:$Z$227,J$2,FALSE)=0,"",VLOOKUP($A146,'Pre-Assessment Estimator'!$A$10:$Z$227,J$2,FALSE))</f>
        <v/>
      </c>
      <c r="K146" s="930" t="str">
        <f>IF(VLOOKUP($A146,'Pre-Assessment Estimator'!$A$10:$Z$227,K$2,FALSE)=0,"",VLOOKUP($A146,'Pre-Assessment Estimator'!$A$10:$Z$227,K$2,FALSE))</f>
        <v/>
      </c>
      <c r="L146" s="949" t="str">
        <f>IF(VLOOKUP($A146,'Pre-Assessment Estimator'!$A$10:$Z$227,L$2,FALSE)=0,"",VLOOKUP($A146,'Pre-Assessment Estimator'!$A$10:$Z$227,L$2,FALSE))</f>
        <v/>
      </c>
      <c r="M146" s="950"/>
      <c r="N146" s="453" t="str">
        <f>IF(VLOOKUP($A146,'Pre-Assessment Estimator'!$A$10:$Z$227,N$2,FALSE)=0,"",VLOOKUP($A146,'Pre-Assessment Estimator'!$A$10:$Z$227,N$2,FALSE))</f>
        <v/>
      </c>
      <c r="O146" s="452">
        <f>VLOOKUP($A146,'Pre-Assessment Estimator'!$A$10:$Z$227,O$2,FALSE)</f>
        <v>0</v>
      </c>
      <c r="P146" s="451" t="str">
        <f>VLOOKUP($A146,'Pre-Assessment Estimator'!$A$10:$Z$227,P$2,FALSE)</f>
        <v>Credits achieved: 0</v>
      </c>
      <c r="Q146" s="930" t="str">
        <f>IF(VLOOKUP($A146,'Pre-Assessment Estimator'!$A$10:$Z$227,Q$2,FALSE)=0,"",VLOOKUP($A146,'Pre-Assessment Estimator'!$A$10:$Z$227,Q$2,FALSE))</f>
        <v/>
      </c>
      <c r="R146" s="930" t="str">
        <f>IF(VLOOKUP($A146,'Pre-Assessment Estimator'!$A$10:$Z$227,R$2,FALSE)=0,"",VLOOKUP($A146,'Pre-Assessment Estimator'!$A$10:$Z$227,R$2,FALSE))</f>
        <v/>
      </c>
      <c r="S146" s="949" t="str">
        <f>IF(VLOOKUP($A146,'Pre-Assessment Estimator'!$A$10:$Z$227,S$2,FALSE)=0,"",VLOOKUP($A146,'Pre-Assessment Estimator'!$A$10:$Z$227,S$2,FALSE))</f>
        <v/>
      </c>
      <c r="T146" s="951"/>
      <c r="U146" s="453" t="str">
        <f>IF(VLOOKUP($A146,'Pre-Assessment Estimator'!$A$10:$Z$227,U$2,FALSE)=0,"",VLOOKUP($A146,'Pre-Assessment Estimator'!$A$10:$Z$227,U$2,FALSE))</f>
        <v/>
      </c>
      <c r="V146" s="452">
        <f>VLOOKUP($A146,'Pre-Assessment Estimator'!$A$10:$Z$227,V$2,FALSE)</f>
        <v>0</v>
      </c>
      <c r="W146" s="451" t="str">
        <f>VLOOKUP($A146,'Pre-Assessment Estimator'!$A$10:$Z$227,W$2,FALSE)</f>
        <v>Credits achieved: 0</v>
      </c>
      <c r="X146" s="930" t="str">
        <f>IF(VLOOKUP($A146,'Pre-Assessment Estimator'!$A$10:$Z$227,X$2,FALSE)=0,"",VLOOKUP($A146,'Pre-Assessment Estimator'!$A$10:$Z$227,X$2,FALSE))</f>
        <v/>
      </c>
      <c r="Y146" s="930" t="str">
        <f>IF(VLOOKUP($A146,'Pre-Assessment Estimator'!$A$10:$Z$227,Y$2,FALSE)=0,"",VLOOKUP($A146,'Pre-Assessment Estimator'!$A$10:$Z$227,Y$2,FALSE))</f>
        <v/>
      </c>
      <c r="Z146" s="952" t="str">
        <f>IF(VLOOKUP($A146,'Pre-Assessment Estimator'!$A$10:$Z$227,Z$2,FALSE)=0,"",VLOOKUP($A146,'Pre-Assessment Estimator'!$A$10:$Z$227,Z$2,FALSE))</f>
        <v/>
      </c>
      <c r="AA146" s="544">
        <v>135</v>
      </c>
      <c r="AB146" s="545" t="str">
        <f>IF(VLOOKUP($A146,'Pre-Assessment Estimator'!$A$10:$AB$227,AB$2,FALSE)=0,"",VLOOKUP($A146,'Pre-Assessment Estimator'!$A$10:$AB$227,AB$2,FALSE))</f>
        <v/>
      </c>
      <c r="AF146" s="13">
        <f t="shared" si="2"/>
        <v>1</v>
      </c>
    </row>
    <row r="147" spans="1:32">
      <c r="A147" s="652">
        <v>138</v>
      </c>
      <c r="B147" s="958" t="s">
        <v>442</v>
      </c>
      <c r="C147" s="958"/>
      <c r="D147" s="454"/>
      <c r="E147" s="454"/>
      <c r="F147" s="455"/>
      <c r="G147" s="455"/>
      <c r="H147" s="455"/>
      <c r="I147" s="455"/>
      <c r="J147" s="454"/>
      <c r="K147" s="455"/>
      <c r="L147" s="454"/>
      <c r="M147" s="448"/>
      <c r="N147" s="455"/>
      <c r="O147" s="455"/>
      <c r="P147" s="455"/>
      <c r="Q147" s="454"/>
      <c r="R147" s="455"/>
      <c r="S147" s="454"/>
      <c r="T147" s="450"/>
      <c r="U147" s="455"/>
      <c r="V147" s="455"/>
      <c r="W147" s="455"/>
      <c r="X147" s="454"/>
      <c r="Y147" s="455"/>
      <c r="Z147" s="291"/>
      <c r="AA147" s="544">
        <v>136</v>
      </c>
      <c r="AB147" s="446" t="str">
        <f>IF(VLOOKUP($A147,'Pre-Assessment Estimator'!$A$10:$AB$227,AB$2,FALSE)=0,"",VLOOKUP($A147,'Pre-Assessment Estimator'!$A$10:$AB$227,AB$2,FALSE))</f>
        <v/>
      </c>
      <c r="AF147" s="13">
        <f t="shared" ref="AF147:AF211" si="3">IF(F147="",1,IF(F147=0,2,1))</f>
        <v>1</v>
      </c>
    </row>
    <row r="148" spans="1:32" ht="18.75">
      <c r="A148" s="652">
        <v>139</v>
      </c>
      <c r="B148" s="958" t="s">
        <v>442</v>
      </c>
      <c r="C148" s="958"/>
      <c r="D148" s="456"/>
      <c r="E148" s="456" t="s">
        <v>442</v>
      </c>
      <c r="F148" s="439"/>
      <c r="G148" s="439"/>
      <c r="H148" s="439"/>
      <c r="I148" s="439"/>
      <c r="J148" s="440"/>
      <c r="K148" s="439"/>
      <c r="L148" s="440"/>
      <c r="M148" s="448"/>
      <c r="N148" s="439"/>
      <c r="O148" s="439"/>
      <c r="P148" s="439"/>
      <c r="Q148" s="440"/>
      <c r="R148" s="439"/>
      <c r="S148" s="440"/>
      <c r="T148" s="450"/>
      <c r="U148" s="439"/>
      <c r="V148" s="439"/>
      <c r="W148" s="439"/>
      <c r="X148" s="440"/>
      <c r="Y148" s="439"/>
      <c r="Z148" s="341"/>
      <c r="AA148" s="544">
        <v>137</v>
      </c>
      <c r="AB148" s="446"/>
      <c r="AF148" s="13">
        <f t="shared" si="3"/>
        <v>1</v>
      </c>
    </row>
    <row r="149" spans="1:32">
      <c r="A149" s="652">
        <v>140</v>
      </c>
      <c r="B149" s="958" t="s">
        <v>442</v>
      </c>
      <c r="C149" s="958"/>
      <c r="D149" s="979" t="str">
        <f>VLOOKUP($A149,'Pre-Assessment Estimator'!$A$10:$Z$227,D$2,FALSE)</f>
        <v>Wst 01</v>
      </c>
      <c r="E149" s="979" t="str">
        <f>VLOOKUP($A149,'Pre-Assessment Estimator'!$A$10:$Z$227,E$2,FALSE)</f>
        <v>Wst 01 Construction waste management</v>
      </c>
      <c r="F149" s="443">
        <f>VLOOKUP($A149,'Pre-Assessment Estimator'!$A$10:$Z$227,F$2,FALSE)</f>
        <v>5</v>
      </c>
      <c r="G149" s="449" t="str">
        <f>IF(VLOOKUP($A149,'Pre-Assessment Estimator'!$A$10:$Z$227,G$2,FALSE)=0,"",VLOOKUP($A149,'Pre-Assessment Estimator'!$A$10:$Z$227,G$2,FALSE))</f>
        <v/>
      </c>
      <c r="H149" s="948" t="str">
        <f>VLOOKUP($A149,'Pre-Assessment Estimator'!$A$10:$Z$227,H$2,FALSE)</f>
        <v>0 c. 0 %</v>
      </c>
      <c r="I149" s="445" t="str">
        <f>VLOOKUP($A149,'Pre-Assessment Estimator'!$A$10:$Z$227,I$2,FALSE)</f>
        <v>N/A</v>
      </c>
      <c r="J149" s="446" t="str">
        <f>IF(VLOOKUP($A149,'Pre-Assessment Estimator'!$A$10:$Z$227,J$2,FALSE)=0,"",VLOOKUP($A149,'Pre-Assessment Estimator'!$A$10:$Z$227,J$2,FALSE))</f>
        <v/>
      </c>
      <c r="K149" s="446" t="str">
        <f>IF(VLOOKUP($A149,'Pre-Assessment Estimator'!$A$10:$Z$227,K$2,FALSE)=0,"",VLOOKUP($A149,'Pre-Assessment Estimator'!$A$10:$Z$227,K$2,FALSE))</f>
        <v/>
      </c>
      <c r="L149" s="447" t="str">
        <f>IF(VLOOKUP($A149,'Pre-Assessment Estimator'!$A$10:$Z$227,L$2,FALSE)=0,"",VLOOKUP($A149,'Pre-Assessment Estimator'!$A$10:$Z$227,L$2,FALSE))</f>
        <v/>
      </c>
      <c r="M149" s="448"/>
      <c r="N149" s="449" t="str">
        <f>IF(VLOOKUP($A149,'Pre-Assessment Estimator'!$A$10:$Z$227,N$2,FALSE)=0,"",VLOOKUP($A149,'Pre-Assessment Estimator'!$A$10:$Z$227,N$2,FALSE))</f>
        <v/>
      </c>
      <c r="O149" s="444" t="str">
        <f>VLOOKUP($A149,'Pre-Assessment Estimator'!$A$10:$Z$227,O$2,FALSE)</f>
        <v>0 c. 0 %</v>
      </c>
      <c r="P149" s="443" t="str">
        <f>VLOOKUP($A149,'Pre-Assessment Estimator'!$A$10:$Z$227,P$2,FALSE)</f>
        <v>N/A</v>
      </c>
      <c r="Q149" s="446" t="str">
        <f>IF(VLOOKUP($A149,'Pre-Assessment Estimator'!$A$10:$Z$227,Q$2,FALSE)=0,"",VLOOKUP($A149,'Pre-Assessment Estimator'!$A$10:$Z$227,Q$2,FALSE))</f>
        <v/>
      </c>
      <c r="R149" s="446" t="str">
        <f>IF(VLOOKUP($A149,'Pre-Assessment Estimator'!$A$10:$Z$227,R$2,FALSE)=0,"",VLOOKUP($A149,'Pre-Assessment Estimator'!$A$10:$Z$227,R$2,FALSE))</f>
        <v/>
      </c>
      <c r="S149" s="447" t="str">
        <f>IF(VLOOKUP($A149,'Pre-Assessment Estimator'!$A$10:$Z$227,S$2,FALSE)=0,"",VLOOKUP($A149,'Pre-Assessment Estimator'!$A$10:$Z$227,S$2,FALSE))</f>
        <v/>
      </c>
      <c r="T149" s="450"/>
      <c r="U149" s="449" t="str">
        <f>IF(VLOOKUP($A149,'Pre-Assessment Estimator'!$A$10:$Z$227,U$2,FALSE)=0,"",VLOOKUP($A149,'Pre-Assessment Estimator'!$A$10:$Z$227,U$2,FALSE))</f>
        <v/>
      </c>
      <c r="V149" s="444" t="str">
        <f>VLOOKUP($A149,'Pre-Assessment Estimator'!$A$10:$Z$227,V$2,FALSE)</f>
        <v>0 c. 0 %</v>
      </c>
      <c r="W149" s="443" t="str">
        <f>VLOOKUP($A149,'Pre-Assessment Estimator'!$A$10:$Z$227,W$2,FALSE)</f>
        <v>N/A</v>
      </c>
      <c r="X149" s="446" t="str">
        <f>IF(VLOOKUP($A149,'Pre-Assessment Estimator'!$A$10:$Z$227,X$2,FALSE)=0,"",VLOOKUP($A149,'Pre-Assessment Estimator'!$A$10:$Z$227,X$2,FALSE))</f>
        <v/>
      </c>
      <c r="Y149" s="446" t="str">
        <f>IF(VLOOKUP($A149,'Pre-Assessment Estimator'!$A$10:$Z$227,Y$2,FALSE)=0,"",VLOOKUP($A149,'Pre-Assessment Estimator'!$A$10:$Z$227,Y$2,FALSE))</f>
        <v/>
      </c>
      <c r="Z149" s="313" t="str">
        <f>IF(VLOOKUP($A149,'Pre-Assessment Estimator'!$A$10:$Z$227,Z$2,FALSE)=0,"",VLOOKUP($A149,'Pre-Assessment Estimator'!$A$10:$Z$227,Z$2,FALSE))</f>
        <v/>
      </c>
      <c r="AA149" s="544">
        <v>138</v>
      </c>
      <c r="AB149" s="446"/>
      <c r="AF149" s="13">
        <f t="shared" si="3"/>
        <v>1</v>
      </c>
    </row>
    <row r="150" spans="1:32">
      <c r="A150" s="652">
        <v>141</v>
      </c>
      <c r="B150" s="958" t="s">
        <v>442</v>
      </c>
      <c r="C150" s="958"/>
      <c r="D150" s="980" t="str">
        <f>VLOOKUP($A150,'Pre-Assessment Estimator'!$A$10:$Z$227,D$2,FALSE)</f>
        <v>Wst 01</v>
      </c>
      <c r="E150" s="981" t="str">
        <f>VLOOKUP($A150,'Pre-Assessment Estimator'!$A$10:$Z$227,E$2,FALSE)</f>
        <v>Resource managment plan</v>
      </c>
      <c r="F150" s="443">
        <f>VLOOKUP($A150,'Pre-Assessment Estimator'!$A$10:$Z$227,F$2,FALSE)</f>
        <v>1</v>
      </c>
      <c r="G150" s="449" t="str">
        <f>IF(VLOOKUP($A150,'Pre-Assessment Estimator'!$A$10:$Z$227,G$2,FALSE)=0,"",VLOOKUP($A150,'Pre-Assessment Estimator'!$A$10:$Z$227,G$2,FALSE))</f>
        <v/>
      </c>
      <c r="H150" s="948">
        <f>VLOOKUP($A150,'Pre-Assessment Estimator'!$A$10:$Z$227,H$2,FALSE)</f>
        <v>0</v>
      </c>
      <c r="I150" s="445" t="str">
        <f>VLOOKUP($A150,'Pre-Assessment Estimator'!$A$10:$Z$227,I$2,FALSE)</f>
        <v>Good</v>
      </c>
      <c r="J150" s="446" t="str">
        <f>IF(VLOOKUP($A150,'Pre-Assessment Estimator'!$A$10:$Z$227,J$2,FALSE)=0,"",VLOOKUP($A150,'Pre-Assessment Estimator'!$A$10:$Z$227,J$2,FALSE))</f>
        <v/>
      </c>
      <c r="K150" s="446" t="str">
        <f>IF(VLOOKUP($A150,'Pre-Assessment Estimator'!$A$10:$Z$227,K$2,FALSE)=0,"",VLOOKUP($A150,'Pre-Assessment Estimator'!$A$10:$Z$227,K$2,FALSE))</f>
        <v/>
      </c>
      <c r="L150" s="447" t="str">
        <f>IF(VLOOKUP($A150,'Pre-Assessment Estimator'!$A$10:$Z$227,L$2,FALSE)=0,"",VLOOKUP($A150,'Pre-Assessment Estimator'!$A$10:$Z$227,L$2,FALSE))</f>
        <v/>
      </c>
      <c r="M150" s="448"/>
      <c r="N150" s="449" t="str">
        <f>IF(VLOOKUP($A150,'Pre-Assessment Estimator'!$A$10:$Z$227,N$2,FALSE)=0,"",VLOOKUP($A150,'Pre-Assessment Estimator'!$A$10:$Z$227,N$2,FALSE))</f>
        <v/>
      </c>
      <c r="O150" s="444">
        <f>VLOOKUP($A150,'Pre-Assessment Estimator'!$A$10:$Z$227,O$2,FALSE)</f>
        <v>0</v>
      </c>
      <c r="P150" s="443" t="str">
        <f>VLOOKUP($A150,'Pre-Assessment Estimator'!$A$10:$Z$227,P$2,FALSE)</f>
        <v>Good</v>
      </c>
      <c r="Q150" s="446" t="str">
        <f>IF(VLOOKUP($A150,'Pre-Assessment Estimator'!$A$10:$Z$227,Q$2,FALSE)=0,"",VLOOKUP($A150,'Pre-Assessment Estimator'!$A$10:$Z$227,Q$2,FALSE))</f>
        <v/>
      </c>
      <c r="R150" s="446" t="str">
        <f>IF(VLOOKUP($A150,'Pre-Assessment Estimator'!$A$10:$Z$227,R$2,FALSE)=0,"",VLOOKUP($A150,'Pre-Assessment Estimator'!$A$10:$Z$227,R$2,FALSE))</f>
        <v/>
      </c>
      <c r="S150" s="447" t="str">
        <f>IF(VLOOKUP($A150,'Pre-Assessment Estimator'!$A$10:$Z$227,S$2,FALSE)=0,"",VLOOKUP($A150,'Pre-Assessment Estimator'!$A$10:$Z$227,S$2,FALSE))</f>
        <v/>
      </c>
      <c r="T150" s="450"/>
      <c r="U150" s="449" t="str">
        <f>IF(VLOOKUP($A150,'Pre-Assessment Estimator'!$A$10:$Z$227,U$2,FALSE)=0,"",VLOOKUP($A150,'Pre-Assessment Estimator'!$A$10:$Z$227,U$2,FALSE))</f>
        <v/>
      </c>
      <c r="V150" s="444">
        <f>VLOOKUP($A150,'Pre-Assessment Estimator'!$A$10:$Z$227,V$2,FALSE)</f>
        <v>0</v>
      </c>
      <c r="W150" s="443" t="str">
        <f>VLOOKUP($A150,'Pre-Assessment Estimator'!$A$10:$Z$227,W$2,FALSE)</f>
        <v>Good</v>
      </c>
      <c r="X150" s="446" t="str">
        <f>IF(VLOOKUP($A150,'Pre-Assessment Estimator'!$A$10:$Z$227,X$2,FALSE)=0,"",VLOOKUP($A150,'Pre-Assessment Estimator'!$A$10:$Z$227,X$2,FALSE))</f>
        <v/>
      </c>
      <c r="Y150" s="446" t="str">
        <f>IF(VLOOKUP($A150,'Pre-Assessment Estimator'!$A$10:$Z$227,Y$2,FALSE)=0,"",VLOOKUP($A150,'Pre-Assessment Estimator'!$A$10:$Z$227,Y$2,FALSE))</f>
        <v/>
      </c>
      <c r="Z150" s="313" t="str">
        <f>IF(VLOOKUP($A150,'Pre-Assessment Estimator'!$A$10:$Z$227,Z$2,FALSE)=0,"",VLOOKUP($A150,'Pre-Assessment Estimator'!$A$10:$Z$227,Z$2,FALSE))</f>
        <v/>
      </c>
      <c r="AA150" s="544">
        <v>139</v>
      </c>
      <c r="AB150" s="446"/>
      <c r="AF150" s="13">
        <f t="shared" si="3"/>
        <v>1</v>
      </c>
    </row>
    <row r="151" spans="1:32">
      <c r="A151" s="652">
        <v>142</v>
      </c>
      <c r="B151" s="958" t="s">
        <v>442</v>
      </c>
      <c r="C151" s="958"/>
      <c r="D151" s="980" t="str">
        <f>VLOOKUP($A151,'Pre-Assessment Estimator'!$A$10:$Z$227,D$2,FALSE)</f>
        <v>Wst 01</v>
      </c>
      <c r="E151" s="983" t="str">
        <f>VLOOKUP($A151,'Pre-Assessment Estimator'!$A$10:$Z$227,E$2,FALSE)</f>
        <v>EU taxonomy requirement: criterion 1</v>
      </c>
      <c r="F151" s="443" t="str">
        <f>VLOOKUP($A151,'Pre-Assessment Estimator'!$A$10:$Z$227,F$2,FALSE)</f>
        <v>Yes/No</v>
      </c>
      <c r="G151" s="449" t="str">
        <f>IF(VLOOKUP($A151,'Pre-Assessment Estimator'!$A$10:$Z$227,G$2,FALSE)=0,"",VLOOKUP($A151,'Pre-Assessment Estimator'!$A$10:$Z$227,G$2,FALSE))</f>
        <v/>
      </c>
      <c r="H151" s="948" t="str">
        <f>VLOOKUP($A151,'Pre-Assessment Estimator'!$A$10:$Z$227,H$2,FALSE)</f>
        <v>-</v>
      </c>
      <c r="I151" s="445" t="str">
        <f>VLOOKUP($A151,'Pre-Assessment Estimator'!$A$10:$Z$227,I$2,FALSE)</f>
        <v>N/A</v>
      </c>
      <c r="J151" s="446" t="str">
        <f>IF(VLOOKUP($A151,'Pre-Assessment Estimator'!$A$10:$Z$227,J$2,FALSE)=0,"",VLOOKUP($A151,'Pre-Assessment Estimator'!$A$10:$Z$227,J$2,FALSE))</f>
        <v/>
      </c>
      <c r="K151" s="446" t="str">
        <f>IF(VLOOKUP($A151,'Pre-Assessment Estimator'!$A$10:$Z$227,K$2,FALSE)=0,"",VLOOKUP($A151,'Pre-Assessment Estimator'!$A$10:$Z$227,K$2,FALSE))</f>
        <v/>
      </c>
      <c r="L151" s="447" t="str">
        <f>IF(VLOOKUP($A151,'Pre-Assessment Estimator'!$A$10:$Z$227,L$2,FALSE)=0,"",VLOOKUP($A151,'Pre-Assessment Estimator'!$A$10:$Z$227,L$2,FALSE))</f>
        <v/>
      </c>
      <c r="M151" s="448"/>
      <c r="N151" s="449" t="str">
        <f>IF(VLOOKUP($A151,'Pre-Assessment Estimator'!$A$10:$Z$227,N$2,FALSE)=0,"",VLOOKUP($A151,'Pre-Assessment Estimator'!$A$10:$Z$227,N$2,FALSE))</f>
        <v/>
      </c>
      <c r="O151" s="444" t="str">
        <f>VLOOKUP($A151,'Pre-Assessment Estimator'!$A$10:$Z$227,O$2,FALSE)</f>
        <v>-</v>
      </c>
      <c r="P151" s="443" t="str">
        <f>VLOOKUP($A151,'Pre-Assessment Estimator'!$A$10:$Z$227,P$2,FALSE)</f>
        <v>N/A</v>
      </c>
      <c r="Q151" s="446" t="str">
        <f>IF(VLOOKUP($A151,'Pre-Assessment Estimator'!$A$10:$Z$227,Q$2,FALSE)=0,"",VLOOKUP($A151,'Pre-Assessment Estimator'!$A$10:$Z$227,Q$2,FALSE))</f>
        <v/>
      </c>
      <c r="R151" s="446" t="str">
        <f>IF(VLOOKUP($A151,'Pre-Assessment Estimator'!$A$10:$Z$227,R$2,FALSE)=0,"",VLOOKUP($A151,'Pre-Assessment Estimator'!$A$10:$Z$227,R$2,FALSE))</f>
        <v/>
      </c>
      <c r="S151" s="447" t="str">
        <f>IF(VLOOKUP($A151,'Pre-Assessment Estimator'!$A$10:$Z$227,S$2,FALSE)=0,"",VLOOKUP($A151,'Pre-Assessment Estimator'!$A$10:$Z$227,S$2,FALSE))</f>
        <v/>
      </c>
      <c r="T151" s="450"/>
      <c r="U151" s="449" t="str">
        <f>IF(VLOOKUP($A151,'Pre-Assessment Estimator'!$A$10:$Z$227,U$2,FALSE)=0,"",VLOOKUP($A151,'Pre-Assessment Estimator'!$A$10:$Z$227,U$2,FALSE))</f>
        <v/>
      </c>
      <c r="V151" s="444" t="str">
        <f>VLOOKUP($A151,'Pre-Assessment Estimator'!$A$10:$Z$227,V$2,FALSE)</f>
        <v>-</v>
      </c>
      <c r="W151" s="443" t="str">
        <f>VLOOKUP($A151,'Pre-Assessment Estimator'!$A$10:$Z$227,W$2,FALSE)</f>
        <v>N/A</v>
      </c>
      <c r="X151" s="446" t="str">
        <f>IF(VLOOKUP($A151,'Pre-Assessment Estimator'!$A$10:$Z$227,X$2,FALSE)=0,"",VLOOKUP($A151,'Pre-Assessment Estimator'!$A$10:$Z$227,X$2,FALSE))</f>
        <v/>
      </c>
      <c r="Y151" s="446" t="str">
        <f>IF(VLOOKUP($A151,'Pre-Assessment Estimator'!$A$10:$Z$227,Y$2,FALSE)=0,"",VLOOKUP($A151,'Pre-Assessment Estimator'!$A$10:$Z$227,Y$2,FALSE))</f>
        <v/>
      </c>
      <c r="Z151" s="313" t="str">
        <f>IF(VLOOKUP($A151,'Pre-Assessment Estimator'!$A$10:$Z$227,Z$2,FALSE)=0,"",VLOOKUP($A151,'Pre-Assessment Estimator'!$A$10:$Z$227,Z$2,FALSE))</f>
        <v/>
      </c>
      <c r="AA151" s="544">
        <v>140</v>
      </c>
      <c r="AB151" s="446"/>
      <c r="AF151" s="13">
        <f t="shared" si="3"/>
        <v>1</v>
      </c>
    </row>
    <row r="152" spans="1:32">
      <c r="A152" s="652">
        <v>143</v>
      </c>
      <c r="B152" s="958" t="s">
        <v>442</v>
      </c>
      <c r="C152" s="958"/>
      <c r="D152" s="980" t="str">
        <f>VLOOKUP($A152,'Pre-Assessment Estimator'!$A$10:$Z$227,D$2,FALSE)</f>
        <v>Wst 01</v>
      </c>
      <c r="E152" s="981" t="str">
        <f>VLOOKUP($A152,'Pre-Assessment Estimator'!$A$10:$Z$227,E$2,FALSE)</f>
        <v>Amount of construction waste</v>
      </c>
      <c r="F152" s="443">
        <f>VLOOKUP($A152,'Pre-Assessment Estimator'!$A$10:$Z$227,F$2,FALSE)</f>
        <v>2</v>
      </c>
      <c r="G152" s="449" t="str">
        <f>IF(VLOOKUP($A152,'Pre-Assessment Estimator'!$A$10:$Z$227,G$2,FALSE)=0,"",VLOOKUP($A152,'Pre-Assessment Estimator'!$A$10:$Z$227,G$2,FALSE))</f>
        <v/>
      </c>
      <c r="H152" s="948">
        <f>VLOOKUP($A152,'Pre-Assessment Estimator'!$A$10:$Z$227,H$2,FALSE)</f>
        <v>0</v>
      </c>
      <c r="I152" s="445" t="str">
        <f>VLOOKUP($A152,'Pre-Assessment Estimator'!$A$10:$Z$227,I$2,FALSE)</f>
        <v>Excellent</v>
      </c>
      <c r="J152" s="446" t="str">
        <f>IF(VLOOKUP($A152,'Pre-Assessment Estimator'!$A$10:$Z$227,J$2,FALSE)=0,"",VLOOKUP($A152,'Pre-Assessment Estimator'!$A$10:$Z$227,J$2,FALSE))</f>
        <v/>
      </c>
      <c r="K152" s="446" t="str">
        <f>IF(VLOOKUP($A152,'Pre-Assessment Estimator'!$A$10:$Z$227,K$2,FALSE)=0,"",VLOOKUP($A152,'Pre-Assessment Estimator'!$A$10:$Z$227,K$2,FALSE))</f>
        <v/>
      </c>
      <c r="L152" s="447" t="str">
        <f>IF(VLOOKUP($A152,'Pre-Assessment Estimator'!$A$10:$Z$227,L$2,FALSE)=0,"",VLOOKUP($A152,'Pre-Assessment Estimator'!$A$10:$Z$227,L$2,FALSE))</f>
        <v/>
      </c>
      <c r="M152" s="448"/>
      <c r="N152" s="449" t="str">
        <f>IF(VLOOKUP($A152,'Pre-Assessment Estimator'!$A$10:$Z$227,N$2,FALSE)=0,"",VLOOKUP($A152,'Pre-Assessment Estimator'!$A$10:$Z$227,N$2,FALSE))</f>
        <v/>
      </c>
      <c r="O152" s="444">
        <f>VLOOKUP($A152,'Pre-Assessment Estimator'!$A$10:$Z$227,O$2,FALSE)</f>
        <v>0</v>
      </c>
      <c r="P152" s="443" t="str">
        <f>VLOOKUP($A152,'Pre-Assessment Estimator'!$A$10:$Z$227,P$2,FALSE)</f>
        <v>Excellent</v>
      </c>
      <c r="Q152" s="446" t="str">
        <f>IF(VLOOKUP($A152,'Pre-Assessment Estimator'!$A$10:$Z$227,Q$2,FALSE)=0,"",VLOOKUP($A152,'Pre-Assessment Estimator'!$A$10:$Z$227,Q$2,FALSE))</f>
        <v/>
      </c>
      <c r="R152" s="446" t="str">
        <f>IF(VLOOKUP($A152,'Pre-Assessment Estimator'!$A$10:$Z$227,R$2,FALSE)=0,"",VLOOKUP($A152,'Pre-Assessment Estimator'!$A$10:$Z$227,R$2,FALSE))</f>
        <v/>
      </c>
      <c r="S152" s="447" t="str">
        <f>IF(VLOOKUP($A152,'Pre-Assessment Estimator'!$A$10:$Z$227,S$2,FALSE)=0,"",VLOOKUP($A152,'Pre-Assessment Estimator'!$A$10:$Z$227,S$2,FALSE))</f>
        <v/>
      </c>
      <c r="T152" s="450"/>
      <c r="U152" s="449" t="str">
        <f>IF(VLOOKUP($A152,'Pre-Assessment Estimator'!$A$10:$Z$227,U$2,FALSE)=0,"",VLOOKUP($A152,'Pre-Assessment Estimator'!$A$10:$Z$227,U$2,FALSE))</f>
        <v/>
      </c>
      <c r="V152" s="444">
        <f>VLOOKUP($A152,'Pre-Assessment Estimator'!$A$10:$Z$227,V$2,FALSE)</f>
        <v>0</v>
      </c>
      <c r="W152" s="443" t="str">
        <f>VLOOKUP($A152,'Pre-Assessment Estimator'!$A$10:$Z$227,W$2,FALSE)</f>
        <v>Excellent</v>
      </c>
      <c r="X152" s="446" t="str">
        <f>IF(VLOOKUP($A152,'Pre-Assessment Estimator'!$A$10:$Z$227,X$2,FALSE)=0,"",VLOOKUP($A152,'Pre-Assessment Estimator'!$A$10:$Z$227,X$2,FALSE))</f>
        <v/>
      </c>
      <c r="Y152" s="446" t="str">
        <f>IF(VLOOKUP($A152,'Pre-Assessment Estimator'!$A$10:$Z$227,Y$2,FALSE)=0,"",VLOOKUP($A152,'Pre-Assessment Estimator'!$A$10:$Z$227,Y$2,FALSE))</f>
        <v/>
      </c>
      <c r="Z152" s="313" t="str">
        <f>IF(VLOOKUP($A152,'Pre-Assessment Estimator'!$A$10:$Z$227,Z$2,FALSE)=0,"",VLOOKUP($A152,'Pre-Assessment Estimator'!$A$10:$Z$227,Z$2,FALSE))</f>
        <v/>
      </c>
      <c r="AA152" s="544">
        <v>141</v>
      </c>
      <c r="AB152" s="446"/>
      <c r="AF152" s="13">
        <f t="shared" si="3"/>
        <v>1</v>
      </c>
    </row>
    <row r="153" spans="1:32">
      <c r="A153" s="652">
        <v>144</v>
      </c>
      <c r="B153" s="958" t="s">
        <v>442</v>
      </c>
      <c r="C153" s="958"/>
      <c r="D153" s="980" t="str">
        <f>VLOOKUP($A153,'Pre-Assessment Estimator'!$A$10:$Z$227,D$2,FALSE)</f>
        <v>Wst 01</v>
      </c>
      <c r="E153" s="981" t="str">
        <f>VLOOKUP($A153,'Pre-Assessment Estimator'!$A$10:$Z$227,E$2,FALSE)</f>
        <v>Waste sorting, reuse and recycling</v>
      </c>
      <c r="F153" s="443">
        <f>VLOOKUP($A153,'Pre-Assessment Estimator'!$A$10:$Z$227,F$2,FALSE)</f>
        <v>2</v>
      </c>
      <c r="G153" s="449" t="str">
        <f>IF(VLOOKUP($A153,'Pre-Assessment Estimator'!$A$10:$Z$227,G$2,FALSE)=0,"",VLOOKUP($A153,'Pre-Assessment Estimator'!$A$10:$Z$227,G$2,FALSE))</f>
        <v/>
      </c>
      <c r="H153" s="948">
        <f>VLOOKUP($A153,'Pre-Assessment Estimator'!$A$10:$Z$227,H$2,FALSE)</f>
        <v>0</v>
      </c>
      <c r="I153" s="445" t="str">
        <f>VLOOKUP($A153,'Pre-Assessment Estimator'!$A$10:$Z$227,I$2,FALSE)</f>
        <v>Very Good</v>
      </c>
      <c r="J153" s="446" t="str">
        <f>IF(VLOOKUP($A153,'Pre-Assessment Estimator'!$A$10:$Z$227,J$2,FALSE)=0,"",VLOOKUP($A153,'Pre-Assessment Estimator'!$A$10:$Z$227,J$2,FALSE))</f>
        <v/>
      </c>
      <c r="K153" s="446" t="str">
        <f>IF(VLOOKUP($A153,'Pre-Assessment Estimator'!$A$10:$Z$227,K$2,FALSE)=0,"",VLOOKUP($A153,'Pre-Assessment Estimator'!$A$10:$Z$227,K$2,FALSE))</f>
        <v/>
      </c>
      <c r="L153" s="447" t="str">
        <f>IF(VLOOKUP($A153,'Pre-Assessment Estimator'!$A$10:$Z$227,L$2,FALSE)=0,"",VLOOKUP($A153,'Pre-Assessment Estimator'!$A$10:$Z$227,L$2,FALSE))</f>
        <v/>
      </c>
      <c r="M153" s="448"/>
      <c r="N153" s="449" t="str">
        <f>IF(VLOOKUP($A153,'Pre-Assessment Estimator'!$A$10:$Z$227,N$2,FALSE)=0,"",VLOOKUP($A153,'Pre-Assessment Estimator'!$A$10:$Z$227,N$2,FALSE))</f>
        <v/>
      </c>
      <c r="O153" s="444">
        <f>VLOOKUP($A153,'Pre-Assessment Estimator'!$A$10:$Z$227,O$2,FALSE)</f>
        <v>0</v>
      </c>
      <c r="P153" s="443" t="str">
        <f>VLOOKUP($A153,'Pre-Assessment Estimator'!$A$10:$Z$227,P$2,FALSE)</f>
        <v>Very Good</v>
      </c>
      <c r="Q153" s="446" t="str">
        <f>IF(VLOOKUP($A153,'Pre-Assessment Estimator'!$A$10:$Z$227,Q$2,FALSE)=0,"",VLOOKUP($A153,'Pre-Assessment Estimator'!$A$10:$Z$227,Q$2,FALSE))</f>
        <v/>
      </c>
      <c r="R153" s="446" t="str">
        <f>IF(VLOOKUP($A153,'Pre-Assessment Estimator'!$A$10:$Z$227,R$2,FALSE)=0,"",VLOOKUP($A153,'Pre-Assessment Estimator'!$A$10:$Z$227,R$2,FALSE))</f>
        <v/>
      </c>
      <c r="S153" s="447" t="str">
        <f>IF(VLOOKUP($A153,'Pre-Assessment Estimator'!$A$10:$Z$227,S$2,FALSE)=0,"",VLOOKUP($A153,'Pre-Assessment Estimator'!$A$10:$Z$227,S$2,FALSE))</f>
        <v/>
      </c>
      <c r="T153" s="450"/>
      <c r="U153" s="449" t="str">
        <f>IF(VLOOKUP($A153,'Pre-Assessment Estimator'!$A$10:$Z$227,U$2,FALSE)=0,"",VLOOKUP($A153,'Pre-Assessment Estimator'!$A$10:$Z$227,U$2,FALSE))</f>
        <v/>
      </c>
      <c r="V153" s="444">
        <f>VLOOKUP($A153,'Pre-Assessment Estimator'!$A$10:$Z$227,V$2,FALSE)</f>
        <v>0</v>
      </c>
      <c r="W153" s="443" t="str">
        <f>VLOOKUP($A153,'Pre-Assessment Estimator'!$A$10:$Z$227,W$2,FALSE)</f>
        <v>Very Good</v>
      </c>
      <c r="X153" s="446" t="str">
        <f>IF(VLOOKUP($A153,'Pre-Assessment Estimator'!$A$10:$Z$227,X$2,FALSE)=0,"",VLOOKUP($A153,'Pre-Assessment Estimator'!$A$10:$Z$227,X$2,FALSE))</f>
        <v/>
      </c>
      <c r="Y153" s="446" t="str">
        <f>IF(VLOOKUP($A153,'Pre-Assessment Estimator'!$A$10:$Z$227,Y$2,FALSE)=0,"",VLOOKUP($A153,'Pre-Assessment Estimator'!$A$10:$Z$227,Y$2,FALSE))</f>
        <v/>
      </c>
      <c r="Z153" s="313" t="str">
        <f>IF(VLOOKUP($A153,'Pre-Assessment Estimator'!$A$10:$Z$227,Z$2,FALSE)=0,"",VLOOKUP($A153,'Pre-Assessment Estimator'!$A$10:$Z$227,Z$2,FALSE))</f>
        <v/>
      </c>
      <c r="AA153" s="544">
        <v>142</v>
      </c>
      <c r="AB153" s="446"/>
      <c r="AF153" s="13">
        <f t="shared" si="3"/>
        <v>1</v>
      </c>
    </row>
    <row r="154" spans="1:32">
      <c r="A154" s="652">
        <v>145</v>
      </c>
      <c r="B154" s="958" t="s">
        <v>442</v>
      </c>
      <c r="C154" s="958"/>
      <c r="D154" s="980" t="str">
        <f>VLOOKUP($A154,'Pre-Assessment Estimator'!$A$10:$Z$227,D$2,FALSE)</f>
        <v>Wst 01</v>
      </c>
      <c r="E154" s="983" t="str">
        <f>VLOOKUP($A154,'Pre-Assessment Estimator'!$A$10:$Z$227,E$2,FALSE)</f>
        <v>EU taxonomy requirement: criterion 4, ready for reuse &gt;70%</v>
      </c>
      <c r="F154" s="443" t="str">
        <f>VLOOKUP($A154,'Pre-Assessment Estimator'!$A$10:$Z$227,F$2,FALSE)</f>
        <v>Yes/No</v>
      </c>
      <c r="G154" s="449" t="str">
        <f>IF(VLOOKUP($A154,'Pre-Assessment Estimator'!$A$10:$Z$227,G$2,FALSE)=0,"",VLOOKUP($A154,'Pre-Assessment Estimator'!$A$10:$Z$227,G$2,FALSE))</f>
        <v/>
      </c>
      <c r="H154" s="948" t="str">
        <f>VLOOKUP($A154,'Pre-Assessment Estimator'!$A$10:$Z$227,H$2,FALSE)</f>
        <v>-</v>
      </c>
      <c r="I154" s="445" t="str">
        <f>VLOOKUP($A154,'Pre-Assessment Estimator'!$A$10:$Z$227,I$2,FALSE)</f>
        <v>Very Good</v>
      </c>
      <c r="J154" s="446" t="str">
        <f>IF(VLOOKUP($A154,'Pre-Assessment Estimator'!$A$10:$Z$227,J$2,FALSE)=0,"",VLOOKUP($A154,'Pre-Assessment Estimator'!$A$10:$Z$227,J$2,FALSE))</f>
        <v/>
      </c>
      <c r="K154" s="446" t="str">
        <f>IF(VLOOKUP($A154,'Pre-Assessment Estimator'!$A$10:$Z$227,K$2,FALSE)=0,"",VLOOKUP($A154,'Pre-Assessment Estimator'!$A$10:$Z$227,K$2,FALSE))</f>
        <v/>
      </c>
      <c r="L154" s="447" t="str">
        <f>IF(VLOOKUP($A154,'Pre-Assessment Estimator'!$A$10:$Z$227,L$2,FALSE)=0,"",VLOOKUP($A154,'Pre-Assessment Estimator'!$A$10:$Z$227,L$2,FALSE))</f>
        <v/>
      </c>
      <c r="M154" s="448"/>
      <c r="N154" s="449" t="str">
        <f>IF(VLOOKUP($A154,'Pre-Assessment Estimator'!$A$10:$Z$227,N$2,FALSE)=0,"",VLOOKUP($A154,'Pre-Assessment Estimator'!$A$10:$Z$227,N$2,FALSE))</f>
        <v/>
      </c>
      <c r="O154" s="444" t="str">
        <f>VLOOKUP($A154,'Pre-Assessment Estimator'!$A$10:$Z$227,O$2,FALSE)</f>
        <v>-</v>
      </c>
      <c r="P154" s="443" t="str">
        <f>VLOOKUP($A154,'Pre-Assessment Estimator'!$A$10:$Z$227,P$2,FALSE)</f>
        <v>Very Good</v>
      </c>
      <c r="Q154" s="446" t="str">
        <f>IF(VLOOKUP($A154,'Pre-Assessment Estimator'!$A$10:$Z$227,Q$2,FALSE)=0,"",VLOOKUP($A154,'Pre-Assessment Estimator'!$A$10:$Z$227,Q$2,FALSE))</f>
        <v/>
      </c>
      <c r="R154" s="446" t="str">
        <f>IF(VLOOKUP($A154,'Pre-Assessment Estimator'!$A$10:$Z$227,R$2,FALSE)=0,"",VLOOKUP($A154,'Pre-Assessment Estimator'!$A$10:$Z$227,R$2,FALSE))</f>
        <v/>
      </c>
      <c r="S154" s="447" t="str">
        <f>IF(VLOOKUP($A154,'Pre-Assessment Estimator'!$A$10:$Z$227,S$2,FALSE)=0,"",VLOOKUP($A154,'Pre-Assessment Estimator'!$A$10:$Z$227,S$2,FALSE))</f>
        <v/>
      </c>
      <c r="T154" s="450"/>
      <c r="U154" s="449" t="str">
        <f>IF(VLOOKUP($A154,'Pre-Assessment Estimator'!$A$10:$Z$227,U$2,FALSE)=0,"",VLOOKUP($A154,'Pre-Assessment Estimator'!$A$10:$Z$227,U$2,FALSE))</f>
        <v/>
      </c>
      <c r="V154" s="444" t="str">
        <f>VLOOKUP($A154,'Pre-Assessment Estimator'!$A$10:$Z$227,V$2,FALSE)</f>
        <v>-</v>
      </c>
      <c r="W154" s="443" t="str">
        <f>VLOOKUP($A154,'Pre-Assessment Estimator'!$A$10:$Z$227,W$2,FALSE)</f>
        <v>Very Good</v>
      </c>
      <c r="X154" s="446" t="str">
        <f>IF(VLOOKUP($A154,'Pre-Assessment Estimator'!$A$10:$Z$227,X$2,FALSE)=0,"",VLOOKUP($A154,'Pre-Assessment Estimator'!$A$10:$Z$227,X$2,FALSE))</f>
        <v/>
      </c>
      <c r="Y154" s="446" t="str">
        <f>IF(VLOOKUP($A154,'Pre-Assessment Estimator'!$A$10:$Z$227,Y$2,FALSE)=0,"",VLOOKUP($A154,'Pre-Assessment Estimator'!$A$10:$Z$227,Y$2,FALSE))</f>
        <v/>
      </c>
      <c r="Z154" s="313" t="str">
        <f>IF(VLOOKUP($A154,'Pre-Assessment Estimator'!$A$10:$Z$227,Z$2,FALSE)=0,"",VLOOKUP($A154,'Pre-Assessment Estimator'!$A$10:$Z$227,Z$2,FALSE))</f>
        <v/>
      </c>
      <c r="AA154" s="544">
        <v>143</v>
      </c>
      <c r="AB154" s="446"/>
      <c r="AF154" s="13">
        <f t="shared" si="3"/>
        <v>1</v>
      </c>
    </row>
    <row r="155" spans="1:32">
      <c r="A155" s="652">
        <v>146</v>
      </c>
      <c r="B155" s="958" t="s">
        <v>442</v>
      </c>
      <c r="C155" s="958"/>
      <c r="D155" s="979" t="str">
        <f>VLOOKUP($A155,'Pre-Assessment Estimator'!$A$10:$Z$227,D$2,FALSE)</f>
        <v>Wst 03a</v>
      </c>
      <c r="E155" s="979" t="str">
        <f>VLOOKUP($A155,'Pre-Assessment Estimator'!$A$10:$Z$227,E$2,FALSE)</f>
        <v>Wst 03a Operational waste</v>
      </c>
      <c r="F155" s="443">
        <f>VLOOKUP($A155,'Pre-Assessment Estimator'!$A$10:$Z$227,F$2,FALSE)</f>
        <v>1</v>
      </c>
      <c r="G155" s="449" t="str">
        <f>IF(VLOOKUP($A155,'Pre-Assessment Estimator'!$A$10:$Z$227,G$2,FALSE)=0,"",VLOOKUP($A155,'Pre-Assessment Estimator'!$A$10:$Z$227,G$2,FALSE))</f>
        <v/>
      </c>
      <c r="H155" s="948" t="str">
        <f>VLOOKUP($A155,'Pre-Assessment Estimator'!$A$10:$Z$227,H$2,FALSE)</f>
        <v>0 c. 0 %</v>
      </c>
      <c r="I155" s="445" t="str">
        <f>VLOOKUP($A155,'Pre-Assessment Estimator'!$A$10:$Z$227,I$2,FALSE)</f>
        <v>N/A</v>
      </c>
      <c r="J155" s="446" t="str">
        <f>IF(VLOOKUP($A155,'Pre-Assessment Estimator'!$A$10:$Z$227,J$2,FALSE)=0,"",VLOOKUP($A155,'Pre-Assessment Estimator'!$A$10:$Z$227,J$2,FALSE))</f>
        <v/>
      </c>
      <c r="K155" s="446" t="str">
        <f>IF(VLOOKUP($A155,'Pre-Assessment Estimator'!$A$10:$Z$227,K$2,FALSE)=0,"",VLOOKUP($A155,'Pre-Assessment Estimator'!$A$10:$Z$227,K$2,FALSE))</f>
        <v/>
      </c>
      <c r="L155" s="447" t="str">
        <f>IF(VLOOKUP($A155,'Pre-Assessment Estimator'!$A$10:$Z$227,L$2,FALSE)=0,"",VLOOKUP($A155,'Pre-Assessment Estimator'!$A$10:$Z$227,L$2,FALSE))</f>
        <v/>
      </c>
      <c r="M155" s="448"/>
      <c r="N155" s="449" t="str">
        <f>IF(VLOOKUP($A155,'Pre-Assessment Estimator'!$A$10:$Z$227,N$2,FALSE)=0,"",VLOOKUP($A155,'Pre-Assessment Estimator'!$A$10:$Z$227,N$2,FALSE))</f>
        <v/>
      </c>
      <c r="O155" s="444" t="str">
        <f>VLOOKUP($A155,'Pre-Assessment Estimator'!$A$10:$Z$227,O$2,FALSE)</f>
        <v>0 c. 0 %</v>
      </c>
      <c r="P155" s="443" t="str">
        <f>VLOOKUP($A155,'Pre-Assessment Estimator'!$A$10:$Z$227,P$2,FALSE)</f>
        <v>N/A</v>
      </c>
      <c r="Q155" s="446" t="str">
        <f>IF(VLOOKUP($A155,'Pre-Assessment Estimator'!$A$10:$Z$227,Q$2,FALSE)=0,"",VLOOKUP($A155,'Pre-Assessment Estimator'!$A$10:$Z$227,Q$2,FALSE))</f>
        <v/>
      </c>
      <c r="R155" s="446" t="str">
        <f>IF(VLOOKUP($A155,'Pre-Assessment Estimator'!$A$10:$Z$227,R$2,FALSE)=0,"",VLOOKUP($A155,'Pre-Assessment Estimator'!$A$10:$Z$227,R$2,FALSE))</f>
        <v/>
      </c>
      <c r="S155" s="447" t="str">
        <f>IF(VLOOKUP($A155,'Pre-Assessment Estimator'!$A$10:$Z$227,S$2,FALSE)=0,"",VLOOKUP($A155,'Pre-Assessment Estimator'!$A$10:$Z$227,S$2,FALSE))</f>
        <v/>
      </c>
      <c r="T155" s="450"/>
      <c r="U155" s="449" t="str">
        <f>IF(VLOOKUP($A155,'Pre-Assessment Estimator'!$A$10:$Z$227,U$2,FALSE)=0,"",VLOOKUP($A155,'Pre-Assessment Estimator'!$A$10:$Z$227,U$2,FALSE))</f>
        <v/>
      </c>
      <c r="V155" s="444" t="str">
        <f>VLOOKUP($A155,'Pre-Assessment Estimator'!$A$10:$Z$227,V$2,FALSE)</f>
        <v>0 c. 0 %</v>
      </c>
      <c r="W155" s="443" t="str">
        <f>VLOOKUP($A155,'Pre-Assessment Estimator'!$A$10:$Z$227,W$2,FALSE)</f>
        <v>N/A</v>
      </c>
      <c r="X155" s="446" t="str">
        <f>IF(VLOOKUP($A155,'Pre-Assessment Estimator'!$A$10:$Z$227,X$2,FALSE)=0,"",VLOOKUP($A155,'Pre-Assessment Estimator'!$A$10:$Z$227,X$2,FALSE))</f>
        <v/>
      </c>
      <c r="Y155" s="446" t="str">
        <f>IF(VLOOKUP($A155,'Pre-Assessment Estimator'!$A$10:$Z$227,Y$2,FALSE)=0,"",VLOOKUP($A155,'Pre-Assessment Estimator'!$A$10:$Z$227,Y$2,FALSE))</f>
        <v/>
      </c>
      <c r="Z155" s="313" t="str">
        <f>IF(VLOOKUP($A155,'Pre-Assessment Estimator'!$A$10:$Z$227,Z$2,FALSE)=0,"",VLOOKUP($A155,'Pre-Assessment Estimator'!$A$10:$Z$227,Z$2,FALSE))</f>
        <v/>
      </c>
      <c r="AA155" s="544">
        <v>144</v>
      </c>
      <c r="AB155" s="446"/>
      <c r="AF155" s="13">
        <f t="shared" si="3"/>
        <v>1</v>
      </c>
    </row>
    <row r="156" spans="1:32">
      <c r="A156" s="652">
        <v>147</v>
      </c>
      <c r="B156" s="958" t="s">
        <v>442</v>
      </c>
      <c r="C156" s="958"/>
      <c r="D156" s="980" t="str">
        <f>VLOOKUP($A156,'Pre-Assessment Estimator'!$A$10:$Z$227,D$2,FALSE)</f>
        <v>Wst 03a</v>
      </c>
      <c r="E156" s="981" t="str">
        <f>VLOOKUP($A156,'Pre-Assessment Estimator'!$A$10:$Z$227,E$2,FALSE)</f>
        <v>Operational waste</v>
      </c>
      <c r="F156" s="443">
        <f>VLOOKUP($A156,'Pre-Assessment Estimator'!$A$10:$Z$227,F$2,FALSE)</f>
        <v>1</v>
      </c>
      <c r="G156" s="449" t="str">
        <f>IF(VLOOKUP($A156,'Pre-Assessment Estimator'!$A$10:$Z$227,G$2,FALSE)=0,"",VLOOKUP($A156,'Pre-Assessment Estimator'!$A$10:$Z$227,G$2,FALSE))</f>
        <v/>
      </c>
      <c r="H156" s="948">
        <f>VLOOKUP($A156,'Pre-Assessment Estimator'!$A$10:$Z$227,H$2,FALSE)</f>
        <v>0</v>
      </c>
      <c r="I156" s="445" t="str">
        <f>VLOOKUP($A156,'Pre-Assessment Estimator'!$A$10:$Z$227,I$2,FALSE)</f>
        <v>Very Good</v>
      </c>
      <c r="J156" s="446" t="str">
        <f>IF(VLOOKUP($A156,'Pre-Assessment Estimator'!$A$10:$Z$227,J$2,FALSE)=0,"",VLOOKUP($A156,'Pre-Assessment Estimator'!$A$10:$Z$227,J$2,FALSE))</f>
        <v/>
      </c>
      <c r="K156" s="446" t="str">
        <f>IF(VLOOKUP($A156,'Pre-Assessment Estimator'!$A$10:$Z$227,K$2,FALSE)=0,"",VLOOKUP($A156,'Pre-Assessment Estimator'!$A$10:$Z$227,K$2,FALSE))</f>
        <v/>
      </c>
      <c r="L156" s="447" t="str">
        <f>IF(VLOOKUP($A156,'Pre-Assessment Estimator'!$A$10:$Z$227,L$2,FALSE)=0,"",VLOOKUP($A156,'Pre-Assessment Estimator'!$A$10:$Z$227,L$2,FALSE))</f>
        <v/>
      </c>
      <c r="M156" s="448"/>
      <c r="N156" s="449" t="str">
        <f>IF(VLOOKUP($A156,'Pre-Assessment Estimator'!$A$10:$Z$227,N$2,FALSE)=0,"",VLOOKUP($A156,'Pre-Assessment Estimator'!$A$10:$Z$227,N$2,FALSE))</f>
        <v/>
      </c>
      <c r="O156" s="444">
        <f>VLOOKUP($A156,'Pre-Assessment Estimator'!$A$10:$Z$227,O$2,FALSE)</f>
        <v>0</v>
      </c>
      <c r="P156" s="443" t="str">
        <f>VLOOKUP($A156,'Pre-Assessment Estimator'!$A$10:$Z$227,P$2,FALSE)</f>
        <v>Very Good</v>
      </c>
      <c r="Q156" s="446" t="str">
        <f>IF(VLOOKUP($A156,'Pre-Assessment Estimator'!$A$10:$Z$227,Q$2,FALSE)=0,"",VLOOKUP($A156,'Pre-Assessment Estimator'!$A$10:$Z$227,Q$2,FALSE))</f>
        <v/>
      </c>
      <c r="R156" s="446" t="str">
        <f>IF(VLOOKUP($A156,'Pre-Assessment Estimator'!$A$10:$Z$227,R$2,FALSE)=0,"",VLOOKUP($A156,'Pre-Assessment Estimator'!$A$10:$Z$227,R$2,FALSE))</f>
        <v/>
      </c>
      <c r="S156" s="447" t="str">
        <f>IF(VLOOKUP($A156,'Pre-Assessment Estimator'!$A$10:$Z$227,S$2,FALSE)=0,"",VLOOKUP($A156,'Pre-Assessment Estimator'!$A$10:$Z$227,S$2,FALSE))</f>
        <v/>
      </c>
      <c r="T156" s="450"/>
      <c r="U156" s="449" t="str">
        <f>IF(VLOOKUP($A156,'Pre-Assessment Estimator'!$A$10:$Z$227,U$2,FALSE)=0,"",VLOOKUP($A156,'Pre-Assessment Estimator'!$A$10:$Z$227,U$2,FALSE))</f>
        <v/>
      </c>
      <c r="V156" s="444">
        <f>VLOOKUP($A156,'Pre-Assessment Estimator'!$A$10:$Z$227,V$2,FALSE)</f>
        <v>0</v>
      </c>
      <c r="W156" s="443" t="str">
        <f>VLOOKUP($A156,'Pre-Assessment Estimator'!$A$10:$Z$227,W$2,FALSE)</f>
        <v>Very Good</v>
      </c>
      <c r="X156" s="446" t="str">
        <f>IF(VLOOKUP($A156,'Pre-Assessment Estimator'!$A$10:$Z$227,X$2,FALSE)=0,"",VLOOKUP($A156,'Pre-Assessment Estimator'!$A$10:$Z$227,X$2,FALSE))</f>
        <v/>
      </c>
      <c r="Y156" s="446" t="str">
        <f>IF(VLOOKUP($A156,'Pre-Assessment Estimator'!$A$10:$Z$227,Y$2,FALSE)=0,"",VLOOKUP($A156,'Pre-Assessment Estimator'!$A$10:$Z$227,Y$2,FALSE))</f>
        <v/>
      </c>
      <c r="Z156" s="313" t="str">
        <f>IF(VLOOKUP($A156,'Pre-Assessment Estimator'!$A$10:$Z$227,Z$2,FALSE)=0,"",VLOOKUP($A156,'Pre-Assessment Estimator'!$A$10:$Z$227,Z$2,FALSE))</f>
        <v/>
      </c>
      <c r="AA156" s="544">
        <v>145</v>
      </c>
      <c r="AB156" s="446"/>
      <c r="AF156" s="13">
        <f t="shared" si="3"/>
        <v>1</v>
      </c>
    </row>
    <row r="157" spans="1:32">
      <c r="A157" s="652">
        <v>148</v>
      </c>
      <c r="B157" s="958" t="s">
        <v>442</v>
      </c>
      <c r="C157" s="958"/>
      <c r="D157" s="979" t="str">
        <f>VLOOKUP($A157,'Pre-Assessment Estimator'!$A$10:$Z$227,D$2,FALSE)</f>
        <v>Wst 03b</v>
      </c>
      <c r="E157" s="979" t="str">
        <f>VLOOKUP($A157,'Pre-Assessment Estimator'!$A$10:$Z$227,E$2,FALSE)</f>
        <v>Wst 03b Operational waste</v>
      </c>
      <c r="F157" s="443">
        <f>VLOOKUP($A157,'Pre-Assessment Estimator'!$A$10:$Z$227,F$2,FALSE)</f>
        <v>0</v>
      </c>
      <c r="G157" s="449" t="str">
        <f>IF(VLOOKUP($A157,'Pre-Assessment Estimator'!$A$10:$Z$227,G$2,FALSE)=0,"",VLOOKUP($A157,'Pre-Assessment Estimator'!$A$10:$Z$227,G$2,FALSE))</f>
        <v/>
      </c>
      <c r="H157" s="948" t="str">
        <f>VLOOKUP($A157,'Pre-Assessment Estimator'!$A$10:$Z$227,H$2,FALSE)</f>
        <v>0 c. 0 %</v>
      </c>
      <c r="I157" s="445" t="str">
        <f>VLOOKUP($A157,'Pre-Assessment Estimator'!$A$10:$Z$227,I$2,FALSE)</f>
        <v>N/A</v>
      </c>
      <c r="J157" s="446" t="str">
        <f>IF(VLOOKUP($A157,'Pre-Assessment Estimator'!$A$10:$Z$227,J$2,FALSE)=0,"",VLOOKUP($A157,'Pre-Assessment Estimator'!$A$10:$Z$227,J$2,FALSE))</f>
        <v/>
      </c>
      <c r="K157" s="446" t="str">
        <f>IF(VLOOKUP($A157,'Pre-Assessment Estimator'!$A$10:$Z$227,K$2,FALSE)=0,"",VLOOKUP($A157,'Pre-Assessment Estimator'!$A$10:$Z$227,K$2,FALSE))</f>
        <v/>
      </c>
      <c r="L157" s="447" t="str">
        <f>IF(VLOOKUP($A157,'Pre-Assessment Estimator'!$A$10:$Z$227,L$2,FALSE)=0,"",VLOOKUP($A157,'Pre-Assessment Estimator'!$A$10:$Z$227,L$2,FALSE))</f>
        <v/>
      </c>
      <c r="M157" s="448"/>
      <c r="N157" s="449" t="str">
        <f>IF(VLOOKUP($A157,'Pre-Assessment Estimator'!$A$10:$Z$227,N$2,FALSE)=0,"",VLOOKUP($A157,'Pre-Assessment Estimator'!$A$10:$Z$227,N$2,FALSE))</f>
        <v/>
      </c>
      <c r="O157" s="444" t="str">
        <f>VLOOKUP($A157,'Pre-Assessment Estimator'!$A$10:$Z$227,O$2,FALSE)</f>
        <v>0 c. 0 %</v>
      </c>
      <c r="P157" s="443" t="str">
        <f>VLOOKUP($A157,'Pre-Assessment Estimator'!$A$10:$Z$227,P$2,FALSE)</f>
        <v>N/A</v>
      </c>
      <c r="Q157" s="446" t="str">
        <f>IF(VLOOKUP($A157,'Pre-Assessment Estimator'!$A$10:$Z$227,Q$2,FALSE)=0,"",VLOOKUP($A157,'Pre-Assessment Estimator'!$A$10:$Z$227,Q$2,FALSE))</f>
        <v/>
      </c>
      <c r="R157" s="446" t="str">
        <f>IF(VLOOKUP($A157,'Pre-Assessment Estimator'!$A$10:$Z$227,R$2,FALSE)=0,"",VLOOKUP($A157,'Pre-Assessment Estimator'!$A$10:$Z$227,R$2,FALSE))</f>
        <v/>
      </c>
      <c r="S157" s="447" t="str">
        <f>IF(VLOOKUP($A157,'Pre-Assessment Estimator'!$A$10:$Z$227,S$2,FALSE)=0,"",VLOOKUP($A157,'Pre-Assessment Estimator'!$A$10:$Z$227,S$2,FALSE))</f>
        <v/>
      </c>
      <c r="T157" s="450"/>
      <c r="U157" s="449" t="str">
        <f>IF(VLOOKUP($A157,'Pre-Assessment Estimator'!$A$10:$Z$227,U$2,FALSE)=0,"",VLOOKUP($A157,'Pre-Assessment Estimator'!$A$10:$Z$227,U$2,FALSE))</f>
        <v/>
      </c>
      <c r="V157" s="444" t="str">
        <f>VLOOKUP($A157,'Pre-Assessment Estimator'!$A$10:$Z$227,V$2,FALSE)</f>
        <v>0 c. 0 %</v>
      </c>
      <c r="W157" s="443" t="str">
        <f>VLOOKUP($A157,'Pre-Assessment Estimator'!$A$10:$Z$227,W$2,FALSE)</f>
        <v>N/A</v>
      </c>
      <c r="X157" s="446" t="str">
        <f>IF(VLOOKUP($A157,'Pre-Assessment Estimator'!$A$10:$Z$227,X$2,FALSE)=0,"",VLOOKUP($A157,'Pre-Assessment Estimator'!$A$10:$Z$227,X$2,FALSE))</f>
        <v/>
      </c>
      <c r="Y157" s="446" t="str">
        <f>IF(VLOOKUP($A157,'Pre-Assessment Estimator'!$A$10:$Z$227,Y$2,FALSE)=0,"",VLOOKUP($A157,'Pre-Assessment Estimator'!$A$10:$Z$227,Y$2,FALSE))</f>
        <v/>
      </c>
      <c r="Z157" s="313" t="str">
        <f>IF(VLOOKUP($A157,'Pre-Assessment Estimator'!$A$10:$Z$227,Z$2,FALSE)=0,"",VLOOKUP($A157,'Pre-Assessment Estimator'!$A$10:$Z$227,Z$2,FALSE))</f>
        <v/>
      </c>
      <c r="AA157" s="544">
        <v>146</v>
      </c>
      <c r="AB157" s="446"/>
      <c r="AF157" s="13">
        <f t="shared" si="3"/>
        <v>2</v>
      </c>
    </row>
    <row r="158" spans="1:32">
      <c r="A158" s="652">
        <v>149</v>
      </c>
      <c r="B158" s="958" t="s">
        <v>442</v>
      </c>
      <c r="C158" s="958"/>
      <c r="D158" s="980" t="str">
        <f>VLOOKUP($A158,'Pre-Assessment Estimator'!$A$10:$Z$227,D$2,FALSE)</f>
        <v>Wst 03b</v>
      </c>
      <c r="E158" s="981" t="str">
        <f>VLOOKUP($A158,'Pre-Assessment Estimator'!$A$10:$Z$227,E$2,FALSE)</f>
        <v>Sorting of waste</v>
      </c>
      <c r="F158" s="443">
        <f>VLOOKUP($A158,'Pre-Assessment Estimator'!$A$10:$Z$227,F$2,FALSE)</f>
        <v>0</v>
      </c>
      <c r="G158" s="449" t="str">
        <f>IF(VLOOKUP($A158,'Pre-Assessment Estimator'!$A$10:$Z$227,G$2,FALSE)=0,"",VLOOKUP($A158,'Pre-Assessment Estimator'!$A$10:$Z$227,G$2,FALSE))</f>
        <v/>
      </c>
      <c r="H158" s="948">
        <f>VLOOKUP($A158,'Pre-Assessment Estimator'!$A$10:$Z$227,H$2,FALSE)</f>
        <v>0</v>
      </c>
      <c r="I158" s="445" t="str">
        <f>VLOOKUP($A158,'Pre-Assessment Estimator'!$A$10:$Z$227,I$2,FALSE)</f>
        <v>N/A</v>
      </c>
      <c r="J158" s="446" t="str">
        <f>IF(VLOOKUP($A158,'Pre-Assessment Estimator'!$A$10:$Z$227,J$2,FALSE)=0,"",VLOOKUP($A158,'Pre-Assessment Estimator'!$A$10:$Z$227,J$2,FALSE))</f>
        <v/>
      </c>
      <c r="K158" s="446" t="str">
        <f>IF(VLOOKUP($A158,'Pre-Assessment Estimator'!$A$10:$Z$227,K$2,FALSE)=0,"",VLOOKUP($A158,'Pre-Assessment Estimator'!$A$10:$Z$227,K$2,FALSE))</f>
        <v/>
      </c>
      <c r="L158" s="447" t="str">
        <f>IF(VLOOKUP($A158,'Pre-Assessment Estimator'!$A$10:$Z$227,L$2,FALSE)=0,"",VLOOKUP($A158,'Pre-Assessment Estimator'!$A$10:$Z$227,L$2,FALSE))</f>
        <v/>
      </c>
      <c r="M158" s="448"/>
      <c r="N158" s="449" t="str">
        <f>IF(VLOOKUP($A158,'Pre-Assessment Estimator'!$A$10:$Z$227,N$2,FALSE)=0,"",VLOOKUP($A158,'Pre-Assessment Estimator'!$A$10:$Z$227,N$2,FALSE))</f>
        <v/>
      </c>
      <c r="O158" s="444">
        <f>VLOOKUP($A158,'Pre-Assessment Estimator'!$A$10:$Z$227,O$2,FALSE)</f>
        <v>0</v>
      </c>
      <c r="P158" s="443" t="str">
        <f>VLOOKUP($A158,'Pre-Assessment Estimator'!$A$10:$Z$227,P$2,FALSE)</f>
        <v>N/A</v>
      </c>
      <c r="Q158" s="446" t="str">
        <f>IF(VLOOKUP($A158,'Pre-Assessment Estimator'!$A$10:$Z$227,Q$2,FALSE)=0,"",VLOOKUP($A158,'Pre-Assessment Estimator'!$A$10:$Z$227,Q$2,FALSE))</f>
        <v/>
      </c>
      <c r="R158" s="446" t="str">
        <f>IF(VLOOKUP($A158,'Pre-Assessment Estimator'!$A$10:$Z$227,R$2,FALSE)=0,"",VLOOKUP($A158,'Pre-Assessment Estimator'!$A$10:$Z$227,R$2,FALSE))</f>
        <v/>
      </c>
      <c r="S158" s="447" t="str">
        <f>IF(VLOOKUP($A158,'Pre-Assessment Estimator'!$A$10:$Z$227,S$2,FALSE)=0,"",VLOOKUP($A158,'Pre-Assessment Estimator'!$A$10:$Z$227,S$2,FALSE))</f>
        <v/>
      </c>
      <c r="T158" s="450"/>
      <c r="U158" s="449" t="str">
        <f>IF(VLOOKUP($A158,'Pre-Assessment Estimator'!$A$10:$Z$227,U$2,FALSE)=0,"",VLOOKUP($A158,'Pre-Assessment Estimator'!$A$10:$Z$227,U$2,FALSE))</f>
        <v/>
      </c>
      <c r="V158" s="444">
        <f>VLOOKUP($A158,'Pre-Assessment Estimator'!$A$10:$Z$227,V$2,FALSE)</f>
        <v>0</v>
      </c>
      <c r="W158" s="443" t="str">
        <f>VLOOKUP($A158,'Pre-Assessment Estimator'!$A$10:$Z$227,W$2,FALSE)</f>
        <v>N/A</v>
      </c>
      <c r="X158" s="446" t="str">
        <f>IF(VLOOKUP($A158,'Pre-Assessment Estimator'!$A$10:$Z$227,X$2,FALSE)=0,"",VLOOKUP($A158,'Pre-Assessment Estimator'!$A$10:$Z$227,X$2,FALSE))</f>
        <v/>
      </c>
      <c r="Y158" s="446" t="str">
        <f>IF(VLOOKUP($A158,'Pre-Assessment Estimator'!$A$10:$Z$227,Y$2,FALSE)=0,"",VLOOKUP($A158,'Pre-Assessment Estimator'!$A$10:$Z$227,Y$2,FALSE))</f>
        <v/>
      </c>
      <c r="Z158" s="313" t="str">
        <f>IF(VLOOKUP($A158,'Pre-Assessment Estimator'!$A$10:$Z$227,Z$2,FALSE)=0,"",VLOOKUP($A158,'Pre-Assessment Estimator'!$A$10:$Z$227,Z$2,FALSE))</f>
        <v/>
      </c>
      <c r="AA158" s="544">
        <v>147</v>
      </c>
      <c r="AB158" s="446" t="str">
        <f>IF(VLOOKUP($A158,'Pre-Assessment Estimator'!$A$10:$AB$227,AB$2,FALSE)=0,"",VLOOKUP($A158,'Pre-Assessment Estimator'!$A$10:$AB$227,AB$2,FALSE))</f>
        <v/>
      </c>
      <c r="AF158" s="13">
        <f t="shared" si="3"/>
        <v>2</v>
      </c>
    </row>
    <row r="159" spans="1:32">
      <c r="A159" s="652">
        <v>150</v>
      </c>
      <c r="B159" s="958" t="s">
        <v>442</v>
      </c>
      <c r="C159" s="958"/>
      <c r="D159" s="979" t="str">
        <f>VLOOKUP($A159,'Pre-Assessment Estimator'!$A$10:$Z$227,D$2,FALSE)</f>
        <v>Wst 04</v>
      </c>
      <c r="E159" s="979" t="str">
        <f>VLOOKUP($A159,'Pre-Assessment Estimator'!$A$10:$Z$227,E$2,FALSE)</f>
        <v>Wst 04 Speculative finishes</v>
      </c>
      <c r="F159" s="443">
        <f>VLOOKUP($A159,'Pre-Assessment Estimator'!$A$10:$Z$227,F$2,FALSE)</f>
        <v>1</v>
      </c>
      <c r="G159" s="449" t="str">
        <f>IF(VLOOKUP($A159,'Pre-Assessment Estimator'!$A$10:$Z$227,G$2,FALSE)=0,"",VLOOKUP($A159,'Pre-Assessment Estimator'!$A$10:$Z$227,G$2,FALSE))</f>
        <v/>
      </c>
      <c r="H159" s="948" t="str">
        <f>VLOOKUP($A159,'Pre-Assessment Estimator'!$A$10:$Z$227,H$2,FALSE)</f>
        <v>0 c. 0 %</v>
      </c>
      <c r="I159" s="445" t="str">
        <f>VLOOKUP($A159,'Pre-Assessment Estimator'!$A$10:$Z$227,I$2,FALSE)</f>
        <v>N/A</v>
      </c>
      <c r="J159" s="446" t="str">
        <f>IF(VLOOKUP($A159,'Pre-Assessment Estimator'!$A$10:$Z$227,J$2,FALSE)=0,"",VLOOKUP($A159,'Pre-Assessment Estimator'!$A$10:$Z$227,J$2,FALSE))</f>
        <v/>
      </c>
      <c r="K159" s="446" t="str">
        <f>IF(VLOOKUP($A159,'Pre-Assessment Estimator'!$A$10:$Z$227,K$2,FALSE)=0,"",VLOOKUP($A159,'Pre-Assessment Estimator'!$A$10:$Z$227,K$2,FALSE))</f>
        <v/>
      </c>
      <c r="L159" s="447" t="str">
        <f>IF(VLOOKUP($A159,'Pre-Assessment Estimator'!$A$10:$Z$227,L$2,FALSE)=0,"",VLOOKUP($A159,'Pre-Assessment Estimator'!$A$10:$Z$227,L$2,FALSE))</f>
        <v/>
      </c>
      <c r="M159" s="448"/>
      <c r="N159" s="449" t="str">
        <f>IF(VLOOKUP($A159,'Pre-Assessment Estimator'!$A$10:$Z$227,N$2,FALSE)=0,"",VLOOKUP($A159,'Pre-Assessment Estimator'!$A$10:$Z$227,N$2,FALSE))</f>
        <v/>
      </c>
      <c r="O159" s="444" t="str">
        <f>VLOOKUP($A159,'Pre-Assessment Estimator'!$A$10:$Z$227,O$2,FALSE)</f>
        <v>0 c. 0 %</v>
      </c>
      <c r="P159" s="443" t="str">
        <f>VLOOKUP($A159,'Pre-Assessment Estimator'!$A$10:$Z$227,P$2,FALSE)</f>
        <v>N/A</v>
      </c>
      <c r="Q159" s="446" t="str">
        <f>IF(VLOOKUP($A159,'Pre-Assessment Estimator'!$A$10:$Z$227,Q$2,FALSE)=0,"",VLOOKUP($A159,'Pre-Assessment Estimator'!$A$10:$Z$227,Q$2,FALSE))</f>
        <v/>
      </c>
      <c r="R159" s="446" t="str">
        <f>IF(VLOOKUP($A159,'Pre-Assessment Estimator'!$A$10:$Z$227,R$2,FALSE)=0,"",VLOOKUP($A159,'Pre-Assessment Estimator'!$A$10:$Z$227,R$2,FALSE))</f>
        <v/>
      </c>
      <c r="S159" s="447" t="str">
        <f>IF(VLOOKUP($A159,'Pre-Assessment Estimator'!$A$10:$Z$227,S$2,FALSE)=0,"",VLOOKUP($A159,'Pre-Assessment Estimator'!$A$10:$Z$227,S$2,FALSE))</f>
        <v/>
      </c>
      <c r="T159" s="450"/>
      <c r="U159" s="449" t="str">
        <f>IF(VLOOKUP($A159,'Pre-Assessment Estimator'!$A$10:$Z$227,U$2,FALSE)=0,"",VLOOKUP($A159,'Pre-Assessment Estimator'!$A$10:$Z$227,U$2,FALSE))</f>
        <v/>
      </c>
      <c r="V159" s="444" t="str">
        <f>VLOOKUP($A159,'Pre-Assessment Estimator'!$A$10:$Z$227,V$2,FALSE)</f>
        <v>0 c. 0 %</v>
      </c>
      <c r="W159" s="443" t="str">
        <f>VLOOKUP($A159,'Pre-Assessment Estimator'!$A$10:$Z$227,W$2,FALSE)</f>
        <v>N/A</v>
      </c>
      <c r="X159" s="446" t="str">
        <f>IF(VLOOKUP($A159,'Pre-Assessment Estimator'!$A$10:$Z$227,X$2,FALSE)=0,"",VLOOKUP($A159,'Pre-Assessment Estimator'!$A$10:$Z$227,X$2,FALSE))</f>
        <v/>
      </c>
      <c r="Y159" s="446" t="str">
        <f>IF(VLOOKUP($A159,'Pre-Assessment Estimator'!$A$10:$Z$227,Y$2,FALSE)=0,"",VLOOKUP($A159,'Pre-Assessment Estimator'!$A$10:$Z$227,Y$2,FALSE))</f>
        <v/>
      </c>
      <c r="Z159" s="313" t="str">
        <f>IF(VLOOKUP($A159,'Pre-Assessment Estimator'!$A$10:$Z$227,Z$2,FALSE)=0,"",VLOOKUP($A159,'Pre-Assessment Estimator'!$A$10:$Z$227,Z$2,FALSE))</f>
        <v/>
      </c>
      <c r="AA159" s="544">
        <v>148</v>
      </c>
      <c r="AB159" s="454" t="str">
        <f>IF(VLOOKUP($A159,'Pre-Assessment Estimator'!$A$10:$AB$227,AB$2,FALSE)=0,"",VLOOKUP($A159,'Pre-Assessment Estimator'!$A$10:$AB$227,AB$2,FALSE))</f>
        <v/>
      </c>
      <c r="AF159" s="13">
        <f t="shared" si="3"/>
        <v>1</v>
      </c>
    </row>
    <row r="160" spans="1:32">
      <c r="A160" s="652">
        <v>151</v>
      </c>
      <c r="B160" s="958" t="s">
        <v>461</v>
      </c>
      <c r="C160" s="958"/>
      <c r="D160" s="980" t="str">
        <f>VLOOKUP($A160,'Pre-Assessment Estimator'!$A$10:$Z$227,D$2,FALSE)</f>
        <v>Wst 04</v>
      </c>
      <c r="E160" s="981" t="str">
        <f>VLOOKUP($A160,'Pre-Assessment Estimator'!$A$10:$Z$227,E$2,FALSE)</f>
        <v xml:space="preserve">User involvement surface finishes </v>
      </c>
      <c r="F160" s="443">
        <f>VLOOKUP($A160,'Pre-Assessment Estimator'!$A$10:$Z$227,F$2,FALSE)</f>
        <v>1</v>
      </c>
      <c r="G160" s="449" t="str">
        <f>IF(VLOOKUP($A160,'Pre-Assessment Estimator'!$A$10:$Z$227,G$2,FALSE)=0,"",VLOOKUP($A160,'Pre-Assessment Estimator'!$A$10:$Z$227,G$2,FALSE))</f>
        <v/>
      </c>
      <c r="H160" s="948">
        <f>VLOOKUP($A160,'Pre-Assessment Estimator'!$A$10:$Z$227,H$2,FALSE)</f>
        <v>0</v>
      </c>
      <c r="I160" s="445" t="str">
        <f>VLOOKUP($A160,'Pre-Assessment Estimator'!$A$10:$Z$227,I$2,FALSE)</f>
        <v>N/A</v>
      </c>
      <c r="J160" s="446" t="str">
        <f>IF(VLOOKUP($A160,'Pre-Assessment Estimator'!$A$10:$Z$227,J$2,FALSE)=0,"",VLOOKUP($A160,'Pre-Assessment Estimator'!$A$10:$Z$227,J$2,FALSE))</f>
        <v/>
      </c>
      <c r="K160" s="446" t="str">
        <f>IF(VLOOKUP($A160,'Pre-Assessment Estimator'!$A$10:$Z$227,K$2,FALSE)=0,"",VLOOKUP($A160,'Pre-Assessment Estimator'!$A$10:$Z$227,K$2,FALSE))</f>
        <v/>
      </c>
      <c r="L160" s="447" t="str">
        <f>IF(VLOOKUP($A160,'Pre-Assessment Estimator'!$A$10:$Z$227,L$2,FALSE)=0,"",VLOOKUP($A160,'Pre-Assessment Estimator'!$A$10:$Z$227,L$2,FALSE))</f>
        <v/>
      </c>
      <c r="M160" s="448"/>
      <c r="N160" s="449" t="str">
        <f>IF(VLOOKUP($A160,'Pre-Assessment Estimator'!$A$10:$Z$227,N$2,FALSE)=0,"",VLOOKUP($A160,'Pre-Assessment Estimator'!$A$10:$Z$227,N$2,FALSE))</f>
        <v/>
      </c>
      <c r="O160" s="444">
        <f>VLOOKUP($A160,'Pre-Assessment Estimator'!$A$10:$Z$227,O$2,FALSE)</f>
        <v>0</v>
      </c>
      <c r="P160" s="443" t="str">
        <f>VLOOKUP($A160,'Pre-Assessment Estimator'!$A$10:$Z$227,P$2,FALSE)</f>
        <v>N/A</v>
      </c>
      <c r="Q160" s="446" t="str">
        <f>IF(VLOOKUP($A160,'Pre-Assessment Estimator'!$A$10:$Z$227,Q$2,FALSE)=0,"",VLOOKUP($A160,'Pre-Assessment Estimator'!$A$10:$Z$227,Q$2,FALSE))</f>
        <v/>
      </c>
      <c r="R160" s="446" t="str">
        <f>IF(VLOOKUP($A160,'Pre-Assessment Estimator'!$A$10:$Z$227,R$2,FALSE)=0,"",VLOOKUP($A160,'Pre-Assessment Estimator'!$A$10:$Z$227,R$2,FALSE))</f>
        <v/>
      </c>
      <c r="S160" s="447" t="str">
        <f>IF(VLOOKUP($A160,'Pre-Assessment Estimator'!$A$10:$Z$227,S$2,FALSE)=0,"",VLOOKUP($A160,'Pre-Assessment Estimator'!$A$10:$Z$227,S$2,FALSE))</f>
        <v/>
      </c>
      <c r="T160" s="450"/>
      <c r="U160" s="449" t="str">
        <f>IF(VLOOKUP($A160,'Pre-Assessment Estimator'!$A$10:$Z$227,U$2,FALSE)=0,"",VLOOKUP($A160,'Pre-Assessment Estimator'!$A$10:$Z$227,U$2,FALSE))</f>
        <v/>
      </c>
      <c r="V160" s="444">
        <f>VLOOKUP($A160,'Pre-Assessment Estimator'!$A$10:$Z$227,V$2,FALSE)</f>
        <v>0</v>
      </c>
      <c r="W160" s="443" t="str">
        <f>VLOOKUP($A160,'Pre-Assessment Estimator'!$A$10:$Z$227,W$2,FALSE)</f>
        <v>N/A</v>
      </c>
      <c r="X160" s="446" t="str">
        <f>IF(VLOOKUP($A160,'Pre-Assessment Estimator'!$A$10:$Z$227,X$2,FALSE)=0,"",VLOOKUP($A160,'Pre-Assessment Estimator'!$A$10:$Z$227,X$2,FALSE))</f>
        <v/>
      </c>
      <c r="Y160" s="446" t="str">
        <f>IF(VLOOKUP($A160,'Pre-Assessment Estimator'!$A$10:$Z$227,Y$2,FALSE)=0,"",VLOOKUP($A160,'Pre-Assessment Estimator'!$A$10:$Z$227,Y$2,FALSE))</f>
        <v/>
      </c>
      <c r="Z160" s="313" t="str">
        <f>IF(VLOOKUP($A160,'Pre-Assessment Estimator'!$A$10:$Z$227,Z$2,FALSE)=0,"",VLOOKUP($A160,'Pre-Assessment Estimator'!$A$10:$Z$227,Z$2,FALSE))</f>
        <v/>
      </c>
      <c r="AA160" s="544">
        <v>149</v>
      </c>
      <c r="AB160" s="545" t="str">
        <f>IF(VLOOKUP($A160,'Pre-Assessment Estimator'!$A$10:$AB$227,AB$2,FALSE)=0,"",VLOOKUP($A160,'Pre-Assessment Estimator'!$A$10:$AB$227,AB$2,FALSE))</f>
        <v/>
      </c>
      <c r="AF160" s="13">
        <f t="shared" si="3"/>
        <v>1</v>
      </c>
    </row>
    <row r="161" spans="1:32" ht="30" customHeight="1" thickBot="1">
      <c r="A161" s="652">
        <v>152</v>
      </c>
      <c r="B161" s="958" t="s">
        <v>461</v>
      </c>
      <c r="C161" s="958"/>
      <c r="D161" s="982"/>
      <c r="E161" s="982" t="str">
        <f>VLOOKUP($A161,'Pre-Assessment Estimator'!$A$10:$Z$227,E$2,FALSE)</f>
        <v>Total performance waste</v>
      </c>
      <c r="F161" s="451">
        <f>VLOOKUP($A161,'Pre-Assessment Estimator'!$A$10:$Z$227,F$2,FALSE)</f>
        <v>7</v>
      </c>
      <c r="G161" s="453" t="str">
        <f>IF(VLOOKUP($A161,'Pre-Assessment Estimator'!$A$10:$Z$227,G$2,FALSE)=0,"",VLOOKUP($A161,'Pre-Assessment Estimator'!$A$10:$Z$227,G$2,FALSE))</f>
        <v/>
      </c>
      <c r="H161" s="452">
        <f>VLOOKUP($A161,'Pre-Assessment Estimator'!$A$10:$Z$227,H$2,FALSE)</f>
        <v>0</v>
      </c>
      <c r="I161" s="451" t="str">
        <f>VLOOKUP($A161,'Pre-Assessment Estimator'!$A$10:$Z$227,I$2,FALSE)</f>
        <v>Credits achieved: 0</v>
      </c>
      <c r="J161" s="930" t="str">
        <f>IF(VLOOKUP($A161,'Pre-Assessment Estimator'!$A$10:$Z$227,J$2,FALSE)=0,"",VLOOKUP($A161,'Pre-Assessment Estimator'!$A$10:$Z$227,J$2,FALSE))</f>
        <v/>
      </c>
      <c r="K161" s="930" t="str">
        <f>IF(VLOOKUP($A161,'Pre-Assessment Estimator'!$A$10:$Z$227,K$2,FALSE)=0,"",VLOOKUP($A161,'Pre-Assessment Estimator'!$A$10:$Z$227,K$2,FALSE))</f>
        <v/>
      </c>
      <c r="L161" s="949" t="str">
        <f>IF(VLOOKUP($A161,'Pre-Assessment Estimator'!$A$10:$Z$227,L$2,FALSE)=0,"",VLOOKUP($A161,'Pre-Assessment Estimator'!$A$10:$Z$227,L$2,FALSE))</f>
        <v/>
      </c>
      <c r="M161" s="950"/>
      <c r="N161" s="453" t="str">
        <f>IF(VLOOKUP($A161,'Pre-Assessment Estimator'!$A$10:$Z$227,N$2,FALSE)=0,"",VLOOKUP($A161,'Pre-Assessment Estimator'!$A$10:$Z$227,N$2,FALSE))</f>
        <v/>
      </c>
      <c r="O161" s="452">
        <f>VLOOKUP($A161,'Pre-Assessment Estimator'!$A$10:$Z$227,O$2,FALSE)</f>
        <v>0</v>
      </c>
      <c r="P161" s="451" t="str">
        <f>VLOOKUP($A161,'Pre-Assessment Estimator'!$A$10:$Z$227,P$2,FALSE)</f>
        <v>Credits achieved: 0</v>
      </c>
      <c r="Q161" s="930" t="str">
        <f>IF(VLOOKUP($A161,'Pre-Assessment Estimator'!$A$10:$Z$227,Q$2,FALSE)=0,"",VLOOKUP($A161,'Pre-Assessment Estimator'!$A$10:$Z$227,Q$2,FALSE))</f>
        <v/>
      </c>
      <c r="R161" s="930" t="str">
        <f>IF(VLOOKUP($A161,'Pre-Assessment Estimator'!$A$10:$Z$227,R$2,FALSE)=0,"",VLOOKUP($A161,'Pre-Assessment Estimator'!$A$10:$Z$227,R$2,FALSE))</f>
        <v/>
      </c>
      <c r="S161" s="949" t="str">
        <f>IF(VLOOKUP($A161,'Pre-Assessment Estimator'!$A$10:$Z$227,S$2,FALSE)=0,"",VLOOKUP($A161,'Pre-Assessment Estimator'!$A$10:$Z$227,S$2,FALSE))</f>
        <v/>
      </c>
      <c r="T161" s="951"/>
      <c r="U161" s="453" t="str">
        <f>IF(VLOOKUP($A161,'Pre-Assessment Estimator'!$A$10:$Z$227,U$2,FALSE)=0,"",VLOOKUP($A161,'Pre-Assessment Estimator'!$A$10:$Z$227,U$2,FALSE))</f>
        <v/>
      </c>
      <c r="V161" s="452">
        <f>VLOOKUP($A161,'Pre-Assessment Estimator'!$A$10:$Z$227,V$2,FALSE)</f>
        <v>0</v>
      </c>
      <c r="W161" s="451" t="str">
        <f>VLOOKUP($A161,'Pre-Assessment Estimator'!$A$10:$Z$227,W$2,FALSE)</f>
        <v>Credits achieved: 0</v>
      </c>
      <c r="X161" s="930" t="str">
        <f>IF(VLOOKUP($A161,'Pre-Assessment Estimator'!$A$10:$Z$227,X$2,FALSE)=0,"",VLOOKUP($A161,'Pre-Assessment Estimator'!$A$10:$Z$227,X$2,FALSE))</f>
        <v/>
      </c>
      <c r="Y161" s="930" t="str">
        <f>IF(VLOOKUP($A161,'Pre-Assessment Estimator'!$A$10:$Z$227,Y$2,FALSE)=0,"",VLOOKUP($A161,'Pre-Assessment Estimator'!$A$10:$Z$227,Y$2,FALSE))</f>
        <v/>
      </c>
      <c r="Z161" s="952" t="str">
        <f>IF(VLOOKUP($A161,'Pre-Assessment Estimator'!$A$10:$Z$227,Z$2,FALSE)=0,"",VLOOKUP($A161,'Pre-Assessment Estimator'!$A$10:$Z$227,Z$2,FALSE))</f>
        <v/>
      </c>
      <c r="AA161" s="544">
        <v>150</v>
      </c>
      <c r="AB161" s="446" t="str">
        <f>IF(VLOOKUP($A161,'Pre-Assessment Estimator'!$A$10:$AB$227,AB$2,FALSE)=0,"",VLOOKUP($A161,'Pre-Assessment Estimator'!$A$10:$AB$227,AB$2,FALSE))</f>
        <v/>
      </c>
      <c r="AF161" s="13">
        <f t="shared" si="3"/>
        <v>1</v>
      </c>
    </row>
    <row r="162" spans="1:32">
      <c r="A162" s="652">
        <v>153</v>
      </c>
      <c r="B162" s="958" t="s">
        <v>461</v>
      </c>
      <c r="C162" s="958"/>
      <c r="D162" s="454"/>
      <c r="E162" s="454"/>
      <c r="F162" s="455"/>
      <c r="G162" s="455"/>
      <c r="H162" s="455"/>
      <c r="I162" s="455"/>
      <c r="J162" s="454"/>
      <c r="K162" s="455"/>
      <c r="L162" s="454"/>
      <c r="M162" s="448"/>
      <c r="N162" s="455"/>
      <c r="O162" s="455"/>
      <c r="P162" s="455"/>
      <c r="Q162" s="454"/>
      <c r="R162" s="455"/>
      <c r="S162" s="454"/>
      <c r="T162" s="450"/>
      <c r="U162" s="455"/>
      <c r="V162" s="455"/>
      <c r="W162" s="455"/>
      <c r="X162" s="454"/>
      <c r="Y162" s="455"/>
      <c r="Z162" s="291"/>
      <c r="AA162" s="544">
        <v>151</v>
      </c>
      <c r="AB162" s="446"/>
      <c r="AF162" s="13">
        <f t="shared" si="3"/>
        <v>1</v>
      </c>
    </row>
    <row r="163" spans="1:32" ht="18.75">
      <c r="A163" s="652">
        <v>154</v>
      </c>
      <c r="B163" s="958" t="s">
        <v>461</v>
      </c>
      <c r="C163" s="958"/>
      <c r="D163" s="456"/>
      <c r="E163" s="456" t="s">
        <v>1083</v>
      </c>
      <c r="F163" s="439"/>
      <c r="G163" s="439"/>
      <c r="H163" s="439"/>
      <c r="I163" s="439"/>
      <c r="J163" s="440"/>
      <c r="K163" s="439"/>
      <c r="L163" s="440"/>
      <c r="M163" s="448"/>
      <c r="N163" s="439"/>
      <c r="O163" s="439"/>
      <c r="P163" s="439"/>
      <c r="Q163" s="440"/>
      <c r="R163" s="439"/>
      <c r="S163" s="440"/>
      <c r="T163" s="450"/>
      <c r="U163" s="439"/>
      <c r="V163" s="439"/>
      <c r="W163" s="439"/>
      <c r="X163" s="440"/>
      <c r="Y163" s="439"/>
      <c r="Z163" s="341"/>
      <c r="AA163" s="544">
        <v>152</v>
      </c>
      <c r="AB163" s="446"/>
      <c r="AF163" s="13">
        <f t="shared" si="3"/>
        <v>1</v>
      </c>
    </row>
    <row r="164" spans="1:32">
      <c r="A164" s="652">
        <v>155</v>
      </c>
      <c r="B164" s="958" t="s">
        <v>461</v>
      </c>
      <c r="C164" s="958"/>
      <c r="D164" s="979" t="str">
        <f>VLOOKUP($A164,'Pre-Assessment Estimator'!$A$10:$Z$227,D$2,FALSE)</f>
        <v>LE 01</v>
      </c>
      <c r="E164" s="979" t="str">
        <f>VLOOKUP($A164,'Pre-Assessment Estimator'!$A$10:$Z$227,E$2,FALSE)</f>
        <v>LE 01 Site selection</v>
      </c>
      <c r="F164" s="443">
        <f>VLOOKUP($A164,'Pre-Assessment Estimator'!$A$10:$Z$227,F$2,FALSE)</f>
        <v>2</v>
      </c>
      <c r="G164" s="449" t="str">
        <f>IF(VLOOKUP($A164,'Pre-Assessment Estimator'!$A$10:$Z$227,G$2,FALSE)=0,"",VLOOKUP($A164,'Pre-Assessment Estimator'!$A$10:$Z$227,G$2,FALSE))</f>
        <v/>
      </c>
      <c r="H164" s="948" t="str">
        <f>VLOOKUP($A164,'Pre-Assessment Estimator'!$A$10:$Z$227,H$2,FALSE)</f>
        <v>0 c. 0 %</v>
      </c>
      <c r="I164" s="445" t="str">
        <f>VLOOKUP($A164,'Pre-Assessment Estimator'!$A$10:$Z$227,I$2,FALSE)</f>
        <v>N/A</v>
      </c>
      <c r="J164" s="446" t="str">
        <f>IF(VLOOKUP($A164,'Pre-Assessment Estimator'!$A$10:$Z$227,J$2,FALSE)=0,"",VLOOKUP($A164,'Pre-Assessment Estimator'!$A$10:$Z$227,J$2,FALSE))</f>
        <v/>
      </c>
      <c r="K164" s="446" t="str">
        <f>IF(VLOOKUP($A164,'Pre-Assessment Estimator'!$A$10:$Z$227,K$2,FALSE)=0,"",VLOOKUP($A164,'Pre-Assessment Estimator'!$A$10:$Z$227,K$2,FALSE))</f>
        <v/>
      </c>
      <c r="L164" s="447" t="str">
        <f>IF(VLOOKUP($A164,'Pre-Assessment Estimator'!$A$10:$Z$227,L$2,FALSE)=0,"",VLOOKUP($A164,'Pre-Assessment Estimator'!$A$10:$Z$227,L$2,FALSE))</f>
        <v/>
      </c>
      <c r="M164" s="448"/>
      <c r="N164" s="449" t="str">
        <f>IF(VLOOKUP($A164,'Pre-Assessment Estimator'!$A$10:$Z$227,N$2,FALSE)=0,"",VLOOKUP($A164,'Pre-Assessment Estimator'!$A$10:$Z$227,N$2,FALSE))</f>
        <v/>
      </c>
      <c r="O164" s="444" t="str">
        <f>VLOOKUP($A164,'Pre-Assessment Estimator'!$A$10:$Z$227,O$2,FALSE)</f>
        <v>0 c. 0 %</v>
      </c>
      <c r="P164" s="443" t="str">
        <f>VLOOKUP($A164,'Pre-Assessment Estimator'!$A$10:$Z$227,P$2,FALSE)</f>
        <v>N/A</v>
      </c>
      <c r="Q164" s="446" t="str">
        <f>IF(VLOOKUP($A164,'Pre-Assessment Estimator'!$A$10:$Z$227,Q$2,FALSE)=0,"",VLOOKUP($A164,'Pre-Assessment Estimator'!$A$10:$Z$227,Q$2,FALSE))</f>
        <v/>
      </c>
      <c r="R164" s="446" t="str">
        <f>IF(VLOOKUP($A164,'Pre-Assessment Estimator'!$A$10:$Z$227,R$2,FALSE)=0,"",VLOOKUP($A164,'Pre-Assessment Estimator'!$A$10:$Z$227,R$2,FALSE))</f>
        <v/>
      </c>
      <c r="S164" s="447" t="str">
        <f>IF(VLOOKUP($A164,'Pre-Assessment Estimator'!$A$10:$Z$227,S$2,FALSE)=0,"",VLOOKUP($A164,'Pre-Assessment Estimator'!$A$10:$Z$227,S$2,FALSE))</f>
        <v/>
      </c>
      <c r="T164" s="450"/>
      <c r="U164" s="449" t="str">
        <f>IF(VLOOKUP($A164,'Pre-Assessment Estimator'!$A$10:$Z$227,U$2,FALSE)=0,"",VLOOKUP($A164,'Pre-Assessment Estimator'!$A$10:$Z$227,U$2,FALSE))</f>
        <v/>
      </c>
      <c r="V164" s="444" t="str">
        <f>VLOOKUP($A164,'Pre-Assessment Estimator'!$A$10:$Z$227,V$2,FALSE)</f>
        <v>0 c. 0 %</v>
      </c>
      <c r="W164" s="443" t="str">
        <f>VLOOKUP($A164,'Pre-Assessment Estimator'!$A$10:$Z$227,W$2,FALSE)</f>
        <v>N/A</v>
      </c>
      <c r="X164" s="446" t="str">
        <f>IF(VLOOKUP($A164,'Pre-Assessment Estimator'!$A$10:$Z$227,X$2,FALSE)=0,"",VLOOKUP($A164,'Pre-Assessment Estimator'!$A$10:$Z$227,X$2,FALSE))</f>
        <v/>
      </c>
      <c r="Y164" s="446" t="str">
        <f>IF(VLOOKUP($A164,'Pre-Assessment Estimator'!$A$10:$Z$227,Y$2,FALSE)=0,"",VLOOKUP($A164,'Pre-Assessment Estimator'!$A$10:$Z$227,Y$2,FALSE))</f>
        <v/>
      </c>
      <c r="Z164" s="313" t="str">
        <f>IF(VLOOKUP($A164,'Pre-Assessment Estimator'!$A$10:$Z$227,Z$2,FALSE)=0,"",VLOOKUP($A164,'Pre-Assessment Estimator'!$A$10:$Z$227,Z$2,FALSE))</f>
        <v/>
      </c>
      <c r="AA164" s="544">
        <v>153</v>
      </c>
      <c r="AB164" s="446"/>
      <c r="AF164" s="13">
        <f t="shared" si="3"/>
        <v>1</v>
      </c>
    </row>
    <row r="165" spans="1:32">
      <c r="A165" s="652">
        <v>156</v>
      </c>
      <c r="B165" s="958" t="s">
        <v>461</v>
      </c>
      <c r="C165" s="958"/>
      <c r="D165" s="980" t="str">
        <f>VLOOKUP($A165,'Pre-Assessment Estimator'!$A$10:$Z$227,D$2,FALSE)</f>
        <v>LE 01</v>
      </c>
      <c r="E165" s="981" t="str">
        <f>VLOOKUP($A165,'Pre-Assessment Estimator'!$A$10:$Z$227,E$2,FALSE)</f>
        <v>Previously occupied land</v>
      </c>
      <c r="F165" s="443">
        <f>VLOOKUP($A165,'Pre-Assessment Estimator'!$A$10:$Z$227,F$2,FALSE)</f>
        <v>2</v>
      </c>
      <c r="G165" s="449" t="str">
        <f>IF(VLOOKUP($A165,'Pre-Assessment Estimator'!$A$10:$Z$227,G$2,FALSE)=0,"",VLOOKUP($A165,'Pre-Assessment Estimator'!$A$10:$Z$227,G$2,FALSE))</f>
        <v/>
      </c>
      <c r="H165" s="948">
        <f>VLOOKUP($A165,'Pre-Assessment Estimator'!$A$10:$Z$227,H$2,FALSE)</f>
        <v>0</v>
      </c>
      <c r="I165" s="445" t="str">
        <f>VLOOKUP($A165,'Pre-Assessment Estimator'!$A$10:$Z$227,I$2,FALSE)</f>
        <v>N/A</v>
      </c>
      <c r="J165" s="446" t="str">
        <f>IF(VLOOKUP($A165,'Pre-Assessment Estimator'!$A$10:$Z$227,J$2,FALSE)=0,"",VLOOKUP($A165,'Pre-Assessment Estimator'!$A$10:$Z$227,J$2,FALSE))</f>
        <v/>
      </c>
      <c r="K165" s="446" t="str">
        <f>IF(VLOOKUP($A165,'Pre-Assessment Estimator'!$A$10:$Z$227,K$2,FALSE)=0,"",VLOOKUP($A165,'Pre-Assessment Estimator'!$A$10:$Z$227,K$2,FALSE))</f>
        <v/>
      </c>
      <c r="L165" s="447" t="str">
        <f>IF(VLOOKUP($A165,'Pre-Assessment Estimator'!$A$10:$Z$227,L$2,FALSE)=0,"",VLOOKUP($A165,'Pre-Assessment Estimator'!$A$10:$Z$227,L$2,FALSE))</f>
        <v/>
      </c>
      <c r="M165" s="448"/>
      <c r="N165" s="449" t="str">
        <f>IF(VLOOKUP($A165,'Pre-Assessment Estimator'!$A$10:$Z$227,N$2,FALSE)=0,"",VLOOKUP($A165,'Pre-Assessment Estimator'!$A$10:$Z$227,N$2,FALSE))</f>
        <v/>
      </c>
      <c r="O165" s="444">
        <f>VLOOKUP($A165,'Pre-Assessment Estimator'!$A$10:$Z$227,O$2,FALSE)</f>
        <v>0</v>
      </c>
      <c r="P165" s="443" t="str">
        <f>VLOOKUP($A165,'Pre-Assessment Estimator'!$A$10:$Z$227,P$2,FALSE)</f>
        <v>N/A</v>
      </c>
      <c r="Q165" s="446" t="str">
        <f>IF(VLOOKUP($A165,'Pre-Assessment Estimator'!$A$10:$Z$227,Q$2,FALSE)=0,"",VLOOKUP($A165,'Pre-Assessment Estimator'!$A$10:$Z$227,Q$2,FALSE))</f>
        <v/>
      </c>
      <c r="R165" s="446" t="str">
        <f>IF(VLOOKUP($A165,'Pre-Assessment Estimator'!$A$10:$Z$227,R$2,FALSE)=0,"",VLOOKUP($A165,'Pre-Assessment Estimator'!$A$10:$Z$227,R$2,FALSE))</f>
        <v/>
      </c>
      <c r="S165" s="447" t="str">
        <f>IF(VLOOKUP($A165,'Pre-Assessment Estimator'!$A$10:$Z$227,S$2,FALSE)=0,"",VLOOKUP($A165,'Pre-Assessment Estimator'!$A$10:$Z$227,S$2,FALSE))</f>
        <v/>
      </c>
      <c r="T165" s="450"/>
      <c r="U165" s="449" t="str">
        <f>IF(VLOOKUP($A165,'Pre-Assessment Estimator'!$A$10:$Z$227,U$2,FALSE)=0,"",VLOOKUP($A165,'Pre-Assessment Estimator'!$A$10:$Z$227,U$2,FALSE))</f>
        <v/>
      </c>
      <c r="V165" s="444">
        <f>VLOOKUP($A165,'Pre-Assessment Estimator'!$A$10:$Z$227,V$2,FALSE)</f>
        <v>0</v>
      </c>
      <c r="W165" s="443" t="str">
        <f>VLOOKUP($A165,'Pre-Assessment Estimator'!$A$10:$Z$227,W$2,FALSE)</f>
        <v>N/A</v>
      </c>
      <c r="X165" s="446" t="str">
        <f>IF(VLOOKUP($A165,'Pre-Assessment Estimator'!$A$10:$Z$227,X$2,FALSE)=0,"",VLOOKUP($A165,'Pre-Assessment Estimator'!$A$10:$Z$227,X$2,FALSE))</f>
        <v/>
      </c>
      <c r="Y165" s="446" t="str">
        <f>IF(VLOOKUP($A165,'Pre-Assessment Estimator'!$A$10:$Z$227,Y$2,FALSE)=0,"",VLOOKUP($A165,'Pre-Assessment Estimator'!$A$10:$Z$227,Y$2,FALSE))</f>
        <v/>
      </c>
      <c r="Z165" s="313" t="str">
        <f>IF(VLOOKUP($A165,'Pre-Assessment Estimator'!$A$10:$Z$227,Z$2,FALSE)=0,"",VLOOKUP($A165,'Pre-Assessment Estimator'!$A$10:$Z$227,Z$2,FALSE))</f>
        <v/>
      </c>
      <c r="AA165" s="544">
        <v>154</v>
      </c>
      <c r="AB165" s="446"/>
      <c r="AF165" s="13">
        <f t="shared" si="3"/>
        <v>1</v>
      </c>
    </row>
    <row r="166" spans="1:32" ht="30">
      <c r="A166" s="652">
        <v>157</v>
      </c>
      <c r="B166" s="958" t="s">
        <v>461</v>
      </c>
      <c r="C166" s="958"/>
      <c r="D166" s="980" t="str">
        <f>VLOOKUP($A166,'Pre-Assessment Estimator'!$A$10:$Z$227,D$2,FALSE)</f>
        <v>LE 01</v>
      </c>
      <c r="E166" s="981" t="str">
        <f>VLOOKUP($A166,'Pre-Assessment Estimator'!$A$10:$Z$227,E$2,FALSE)</f>
        <v>Minimum req: agricultural area / forest (EU taxonomy requirement: criterion 2)</v>
      </c>
      <c r="F166" s="443" t="str">
        <f>VLOOKUP($A166,'Pre-Assessment Estimator'!$A$10:$Z$227,F$2,FALSE)</f>
        <v>Yes/No</v>
      </c>
      <c r="G166" s="449" t="str">
        <f>IF(VLOOKUP($A166,'Pre-Assessment Estimator'!$A$10:$Z$227,G$2,FALSE)=0,"",VLOOKUP($A166,'Pre-Assessment Estimator'!$A$10:$Z$227,G$2,FALSE))</f>
        <v/>
      </c>
      <c r="H166" s="948" t="str">
        <f>VLOOKUP($A166,'Pre-Assessment Estimator'!$A$10:$Z$227,H$2,FALSE)</f>
        <v>-</v>
      </c>
      <c r="I166" s="445" t="str">
        <f>VLOOKUP($A166,'Pre-Assessment Estimator'!$A$10:$Z$227,I$2,FALSE)</f>
        <v>Very Good</v>
      </c>
      <c r="J166" s="446" t="str">
        <f>IF(VLOOKUP($A166,'Pre-Assessment Estimator'!$A$10:$Z$227,J$2,FALSE)=0,"",VLOOKUP($A166,'Pre-Assessment Estimator'!$A$10:$Z$227,J$2,FALSE))</f>
        <v/>
      </c>
      <c r="K166" s="446" t="str">
        <f>IF(VLOOKUP($A166,'Pre-Assessment Estimator'!$A$10:$Z$227,K$2,FALSE)=0,"",VLOOKUP($A166,'Pre-Assessment Estimator'!$A$10:$Z$227,K$2,FALSE))</f>
        <v/>
      </c>
      <c r="L166" s="447" t="str">
        <f>IF(VLOOKUP($A166,'Pre-Assessment Estimator'!$A$10:$Z$227,L$2,FALSE)=0,"",VLOOKUP($A166,'Pre-Assessment Estimator'!$A$10:$Z$227,L$2,FALSE))</f>
        <v/>
      </c>
      <c r="M166" s="448"/>
      <c r="N166" s="449" t="str">
        <f>IF(VLOOKUP($A166,'Pre-Assessment Estimator'!$A$10:$Z$227,N$2,FALSE)=0,"",VLOOKUP($A166,'Pre-Assessment Estimator'!$A$10:$Z$227,N$2,FALSE))</f>
        <v/>
      </c>
      <c r="O166" s="444" t="str">
        <f>VLOOKUP($A166,'Pre-Assessment Estimator'!$A$10:$Z$227,O$2,FALSE)</f>
        <v>-</v>
      </c>
      <c r="P166" s="443" t="str">
        <f>VLOOKUP($A166,'Pre-Assessment Estimator'!$A$10:$Z$227,P$2,FALSE)</f>
        <v>Very Good</v>
      </c>
      <c r="Q166" s="446" t="str">
        <f>IF(VLOOKUP($A166,'Pre-Assessment Estimator'!$A$10:$Z$227,Q$2,FALSE)=0,"",VLOOKUP($A166,'Pre-Assessment Estimator'!$A$10:$Z$227,Q$2,FALSE))</f>
        <v/>
      </c>
      <c r="R166" s="446" t="str">
        <f>IF(VLOOKUP($A166,'Pre-Assessment Estimator'!$A$10:$Z$227,R$2,FALSE)=0,"",VLOOKUP($A166,'Pre-Assessment Estimator'!$A$10:$Z$227,R$2,FALSE))</f>
        <v/>
      </c>
      <c r="S166" s="447" t="str">
        <f>IF(VLOOKUP($A166,'Pre-Assessment Estimator'!$A$10:$Z$227,S$2,FALSE)=0,"",VLOOKUP($A166,'Pre-Assessment Estimator'!$A$10:$Z$227,S$2,FALSE))</f>
        <v/>
      </c>
      <c r="T166" s="450"/>
      <c r="U166" s="449" t="str">
        <f>IF(VLOOKUP($A166,'Pre-Assessment Estimator'!$A$10:$Z$227,U$2,FALSE)=0,"",VLOOKUP($A166,'Pre-Assessment Estimator'!$A$10:$Z$227,U$2,FALSE))</f>
        <v/>
      </c>
      <c r="V166" s="444" t="str">
        <f>VLOOKUP($A166,'Pre-Assessment Estimator'!$A$10:$Z$227,V$2,FALSE)</f>
        <v>-</v>
      </c>
      <c r="W166" s="443" t="str">
        <f>VLOOKUP($A166,'Pre-Assessment Estimator'!$A$10:$Z$227,W$2,FALSE)</f>
        <v>Very Good</v>
      </c>
      <c r="X166" s="446" t="str">
        <f>IF(VLOOKUP($A166,'Pre-Assessment Estimator'!$A$10:$Z$227,X$2,FALSE)=0,"",VLOOKUP($A166,'Pre-Assessment Estimator'!$A$10:$Z$227,X$2,FALSE))</f>
        <v/>
      </c>
      <c r="Y166" s="446" t="str">
        <f>IF(VLOOKUP($A166,'Pre-Assessment Estimator'!$A$10:$Z$227,Y$2,FALSE)=0,"",VLOOKUP($A166,'Pre-Assessment Estimator'!$A$10:$Z$227,Y$2,FALSE))</f>
        <v/>
      </c>
      <c r="Z166" s="313" t="str">
        <f>IF(VLOOKUP($A166,'Pre-Assessment Estimator'!$A$10:$Z$227,Z$2,FALSE)=0,"",VLOOKUP($A166,'Pre-Assessment Estimator'!$A$10:$Z$227,Z$2,FALSE))</f>
        <v/>
      </c>
      <c r="AA166" s="544">
        <v>155</v>
      </c>
      <c r="AB166" s="446"/>
      <c r="AF166" s="13">
        <f t="shared" si="3"/>
        <v>1</v>
      </c>
    </row>
    <row r="167" spans="1:32">
      <c r="A167" s="652">
        <v>158</v>
      </c>
      <c r="B167" s="958" t="s">
        <v>461</v>
      </c>
      <c r="C167" s="958"/>
      <c r="D167" s="979" t="str">
        <f>VLOOKUP($A167,'Pre-Assessment Estimator'!$A$10:$Z$227,D$2,FALSE)</f>
        <v>LE 02</v>
      </c>
      <c r="E167" s="979" t="str">
        <f>VLOOKUP($A167,'Pre-Assessment Estimator'!$A$10:$Z$227,E$2,FALSE)</f>
        <v>LE 02 Ecological risks and opportunities</v>
      </c>
      <c r="F167" s="443">
        <f>VLOOKUP($A167,'Pre-Assessment Estimator'!$A$10:$Z$227,F$2,FALSE)</f>
        <v>2</v>
      </c>
      <c r="G167" s="449" t="str">
        <f>IF(VLOOKUP($A167,'Pre-Assessment Estimator'!$A$10:$Z$227,G$2,FALSE)=0,"",VLOOKUP($A167,'Pre-Assessment Estimator'!$A$10:$Z$227,G$2,FALSE))</f>
        <v/>
      </c>
      <c r="H167" s="948" t="str">
        <f>VLOOKUP($A167,'Pre-Assessment Estimator'!$A$10:$Z$227,H$2,FALSE)</f>
        <v>0 c. 0 %</v>
      </c>
      <c r="I167" s="445" t="str">
        <f>VLOOKUP($A167,'Pre-Assessment Estimator'!$A$10:$Z$227,I$2,FALSE)</f>
        <v>N/A</v>
      </c>
      <c r="J167" s="446" t="str">
        <f>IF(VLOOKUP($A167,'Pre-Assessment Estimator'!$A$10:$Z$227,J$2,FALSE)=0,"",VLOOKUP($A167,'Pre-Assessment Estimator'!$A$10:$Z$227,J$2,FALSE))</f>
        <v/>
      </c>
      <c r="K167" s="446" t="str">
        <f>IF(VLOOKUP($A167,'Pre-Assessment Estimator'!$A$10:$Z$227,K$2,FALSE)=0,"",VLOOKUP($A167,'Pre-Assessment Estimator'!$A$10:$Z$227,K$2,FALSE))</f>
        <v/>
      </c>
      <c r="L167" s="447" t="str">
        <f>IF(VLOOKUP($A167,'Pre-Assessment Estimator'!$A$10:$Z$227,L$2,FALSE)=0,"",VLOOKUP($A167,'Pre-Assessment Estimator'!$A$10:$Z$227,L$2,FALSE))</f>
        <v/>
      </c>
      <c r="M167" s="448"/>
      <c r="N167" s="449" t="str">
        <f>IF(VLOOKUP($A167,'Pre-Assessment Estimator'!$A$10:$Z$227,N$2,FALSE)=0,"",VLOOKUP($A167,'Pre-Assessment Estimator'!$A$10:$Z$227,N$2,FALSE))</f>
        <v/>
      </c>
      <c r="O167" s="444" t="str">
        <f>VLOOKUP($A167,'Pre-Assessment Estimator'!$A$10:$Z$227,O$2,FALSE)</f>
        <v>0 c. 0 %</v>
      </c>
      <c r="P167" s="443" t="str">
        <f>VLOOKUP($A167,'Pre-Assessment Estimator'!$A$10:$Z$227,P$2,FALSE)</f>
        <v>N/A</v>
      </c>
      <c r="Q167" s="446" t="str">
        <f>IF(VLOOKUP($A167,'Pre-Assessment Estimator'!$A$10:$Z$227,Q$2,FALSE)=0,"",VLOOKUP($A167,'Pre-Assessment Estimator'!$A$10:$Z$227,Q$2,FALSE))</f>
        <v/>
      </c>
      <c r="R167" s="446" t="str">
        <f>IF(VLOOKUP($A167,'Pre-Assessment Estimator'!$A$10:$Z$227,R$2,FALSE)=0,"",VLOOKUP($A167,'Pre-Assessment Estimator'!$A$10:$Z$227,R$2,FALSE))</f>
        <v/>
      </c>
      <c r="S167" s="447" t="str">
        <f>IF(VLOOKUP($A167,'Pre-Assessment Estimator'!$A$10:$Z$227,S$2,FALSE)=0,"",VLOOKUP($A167,'Pre-Assessment Estimator'!$A$10:$Z$227,S$2,FALSE))</f>
        <v/>
      </c>
      <c r="T167" s="450"/>
      <c r="U167" s="449" t="str">
        <f>IF(VLOOKUP($A167,'Pre-Assessment Estimator'!$A$10:$Z$227,U$2,FALSE)=0,"",VLOOKUP($A167,'Pre-Assessment Estimator'!$A$10:$Z$227,U$2,FALSE))</f>
        <v/>
      </c>
      <c r="V167" s="444" t="str">
        <f>VLOOKUP($A167,'Pre-Assessment Estimator'!$A$10:$Z$227,V$2,FALSE)</f>
        <v>0 c. 0 %</v>
      </c>
      <c r="W167" s="443" t="str">
        <f>VLOOKUP($A167,'Pre-Assessment Estimator'!$A$10:$Z$227,W$2,FALSE)</f>
        <v>N/A</v>
      </c>
      <c r="X167" s="446" t="str">
        <f>IF(VLOOKUP($A167,'Pre-Assessment Estimator'!$A$10:$Z$227,X$2,FALSE)=0,"",VLOOKUP($A167,'Pre-Assessment Estimator'!$A$10:$Z$227,X$2,FALSE))</f>
        <v/>
      </c>
      <c r="Y167" s="446" t="str">
        <f>IF(VLOOKUP($A167,'Pre-Assessment Estimator'!$A$10:$Z$227,Y$2,FALSE)=0,"",VLOOKUP($A167,'Pre-Assessment Estimator'!$A$10:$Z$227,Y$2,FALSE))</f>
        <v/>
      </c>
      <c r="Z167" s="313" t="str">
        <f>IF(VLOOKUP($A167,'Pre-Assessment Estimator'!$A$10:$Z$227,Z$2,FALSE)=0,"",VLOOKUP($A167,'Pre-Assessment Estimator'!$A$10:$Z$227,Z$2,FALSE))</f>
        <v/>
      </c>
      <c r="AA167" s="544">
        <v>156</v>
      </c>
      <c r="AB167" s="446"/>
      <c r="AF167" s="13">
        <f t="shared" si="3"/>
        <v>1</v>
      </c>
    </row>
    <row r="168" spans="1:32">
      <c r="A168" s="652">
        <v>159</v>
      </c>
      <c r="B168" s="958" t="s">
        <v>461</v>
      </c>
      <c r="C168" s="958"/>
      <c r="D168" s="980" t="str">
        <f>VLOOKUP($A168,'Pre-Assessment Estimator'!$A$10:$Z$227,D$2,FALSE)</f>
        <v>LE 02</v>
      </c>
      <c r="E168" s="981" t="str">
        <f>VLOOKUP($A168,'Pre-Assessment Estimator'!$A$10:$Z$227,E$2,FALSE)</f>
        <v>Pre-requisite: statutory obligations fulfilled</v>
      </c>
      <c r="F168" s="443" t="str">
        <f>VLOOKUP($A168,'Pre-Assessment Estimator'!$A$10:$Z$227,F$2,FALSE)</f>
        <v>Yes/No</v>
      </c>
      <c r="G168" s="449" t="str">
        <f>IF(VLOOKUP($A168,'Pre-Assessment Estimator'!$A$10:$Z$227,G$2,FALSE)=0,"",VLOOKUP($A168,'Pre-Assessment Estimator'!$A$10:$Z$227,G$2,FALSE))</f>
        <v/>
      </c>
      <c r="H168" s="948" t="str">
        <f>VLOOKUP($A168,'Pre-Assessment Estimator'!$A$10:$Z$227,H$2,FALSE)</f>
        <v>-</v>
      </c>
      <c r="I168" s="445" t="str">
        <f>VLOOKUP($A168,'Pre-Assessment Estimator'!$A$10:$Z$227,I$2,FALSE)</f>
        <v>N/A</v>
      </c>
      <c r="J168" s="446" t="str">
        <f>IF(VLOOKUP($A168,'Pre-Assessment Estimator'!$A$10:$Z$227,J$2,FALSE)=0,"",VLOOKUP($A168,'Pre-Assessment Estimator'!$A$10:$Z$227,J$2,FALSE))</f>
        <v/>
      </c>
      <c r="K168" s="446" t="str">
        <f>IF(VLOOKUP($A168,'Pre-Assessment Estimator'!$A$10:$Z$227,K$2,FALSE)=0,"",VLOOKUP($A168,'Pre-Assessment Estimator'!$A$10:$Z$227,K$2,FALSE))</f>
        <v/>
      </c>
      <c r="L168" s="447" t="str">
        <f>IF(VLOOKUP($A168,'Pre-Assessment Estimator'!$A$10:$Z$227,L$2,FALSE)=0,"",VLOOKUP($A168,'Pre-Assessment Estimator'!$A$10:$Z$227,L$2,FALSE))</f>
        <v/>
      </c>
      <c r="M168" s="448"/>
      <c r="N168" s="449" t="str">
        <f>IF(VLOOKUP($A168,'Pre-Assessment Estimator'!$A$10:$Z$227,N$2,FALSE)=0,"",VLOOKUP($A168,'Pre-Assessment Estimator'!$A$10:$Z$227,N$2,FALSE))</f>
        <v/>
      </c>
      <c r="O168" s="444" t="str">
        <f>VLOOKUP($A168,'Pre-Assessment Estimator'!$A$10:$Z$227,O$2,FALSE)</f>
        <v>-</v>
      </c>
      <c r="P168" s="443" t="str">
        <f>VLOOKUP($A168,'Pre-Assessment Estimator'!$A$10:$Z$227,P$2,FALSE)</f>
        <v>N/A</v>
      </c>
      <c r="Q168" s="446" t="str">
        <f>IF(VLOOKUP($A168,'Pre-Assessment Estimator'!$A$10:$Z$227,Q$2,FALSE)=0,"",VLOOKUP($A168,'Pre-Assessment Estimator'!$A$10:$Z$227,Q$2,FALSE))</f>
        <v/>
      </c>
      <c r="R168" s="446" t="str">
        <f>IF(VLOOKUP($A168,'Pre-Assessment Estimator'!$A$10:$Z$227,R$2,FALSE)=0,"",VLOOKUP($A168,'Pre-Assessment Estimator'!$A$10:$Z$227,R$2,FALSE))</f>
        <v/>
      </c>
      <c r="S168" s="447" t="str">
        <f>IF(VLOOKUP($A168,'Pre-Assessment Estimator'!$A$10:$Z$227,S$2,FALSE)=0,"",VLOOKUP($A168,'Pre-Assessment Estimator'!$A$10:$Z$227,S$2,FALSE))</f>
        <v/>
      </c>
      <c r="T168" s="450"/>
      <c r="U168" s="449" t="str">
        <f>IF(VLOOKUP($A168,'Pre-Assessment Estimator'!$A$10:$Z$227,U$2,FALSE)=0,"",VLOOKUP($A168,'Pre-Assessment Estimator'!$A$10:$Z$227,U$2,FALSE))</f>
        <v/>
      </c>
      <c r="V168" s="444" t="str">
        <f>VLOOKUP($A168,'Pre-Assessment Estimator'!$A$10:$Z$227,V$2,FALSE)</f>
        <v>-</v>
      </c>
      <c r="W168" s="443" t="str">
        <f>VLOOKUP($A168,'Pre-Assessment Estimator'!$A$10:$Z$227,W$2,FALSE)</f>
        <v>N/A</v>
      </c>
      <c r="X168" s="446" t="str">
        <f>IF(VLOOKUP($A168,'Pre-Assessment Estimator'!$A$10:$Z$227,X$2,FALSE)=0,"",VLOOKUP($A168,'Pre-Assessment Estimator'!$A$10:$Z$227,X$2,FALSE))</f>
        <v/>
      </c>
      <c r="Y168" s="446" t="str">
        <f>IF(VLOOKUP($A168,'Pre-Assessment Estimator'!$A$10:$Z$227,Y$2,FALSE)=0,"",VLOOKUP($A168,'Pre-Assessment Estimator'!$A$10:$Z$227,Y$2,FALSE))</f>
        <v/>
      </c>
      <c r="Z168" s="313" t="str">
        <f>IF(VLOOKUP($A168,'Pre-Assessment Estimator'!$A$10:$Z$227,Z$2,FALSE)=0,"",VLOOKUP($A168,'Pre-Assessment Estimator'!$A$10:$Z$227,Z$2,FALSE))</f>
        <v/>
      </c>
      <c r="AA168" s="544">
        <v>157</v>
      </c>
      <c r="AB168" s="446"/>
      <c r="AF168" s="13">
        <f t="shared" si="3"/>
        <v>1</v>
      </c>
    </row>
    <row r="169" spans="1:32">
      <c r="A169" s="652">
        <v>160</v>
      </c>
      <c r="B169" s="958" t="s">
        <v>461</v>
      </c>
      <c r="C169" s="958"/>
      <c r="D169" s="980" t="str">
        <f>VLOOKUP($A169,'Pre-Assessment Estimator'!$A$10:$Z$227,D$2,FALSE)</f>
        <v>LE 02</v>
      </c>
      <c r="E169" s="981" t="str">
        <f>VLOOKUP($A169,'Pre-Assessment Estimator'!$A$10:$Z$227,E$2,FALSE)</f>
        <v>Survey and evaluation (EU taxonomy requirement: criterion 2-4)</v>
      </c>
      <c r="F169" s="443">
        <f>VLOOKUP($A169,'Pre-Assessment Estimator'!$A$10:$Z$227,F$2,FALSE)</f>
        <v>1</v>
      </c>
      <c r="G169" s="449" t="str">
        <f>IF(VLOOKUP($A169,'Pre-Assessment Estimator'!$A$10:$Z$227,G$2,FALSE)=0,"",VLOOKUP($A169,'Pre-Assessment Estimator'!$A$10:$Z$227,G$2,FALSE))</f>
        <v/>
      </c>
      <c r="H169" s="948">
        <f>VLOOKUP($A169,'Pre-Assessment Estimator'!$A$10:$Z$227,H$2,FALSE)</f>
        <v>0</v>
      </c>
      <c r="I169" s="445" t="str">
        <f>VLOOKUP($A169,'Pre-Assessment Estimator'!$A$10:$Z$227,I$2,FALSE)</f>
        <v>Good</v>
      </c>
      <c r="J169" s="446" t="str">
        <f>IF(VLOOKUP($A169,'Pre-Assessment Estimator'!$A$10:$Z$227,J$2,FALSE)=0,"",VLOOKUP($A169,'Pre-Assessment Estimator'!$A$10:$Z$227,J$2,FALSE))</f>
        <v/>
      </c>
      <c r="K169" s="446" t="str">
        <f>IF(VLOOKUP($A169,'Pre-Assessment Estimator'!$A$10:$Z$227,K$2,FALSE)=0,"",VLOOKUP($A169,'Pre-Assessment Estimator'!$A$10:$Z$227,K$2,FALSE))</f>
        <v/>
      </c>
      <c r="L169" s="447" t="str">
        <f>IF(VLOOKUP($A169,'Pre-Assessment Estimator'!$A$10:$Z$227,L$2,FALSE)=0,"",VLOOKUP($A169,'Pre-Assessment Estimator'!$A$10:$Z$227,L$2,FALSE))</f>
        <v/>
      </c>
      <c r="M169" s="448"/>
      <c r="N169" s="449" t="str">
        <f>IF(VLOOKUP($A169,'Pre-Assessment Estimator'!$A$10:$Z$227,N$2,FALSE)=0,"",VLOOKUP($A169,'Pre-Assessment Estimator'!$A$10:$Z$227,N$2,FALSE))</f>
        <v/>
      </c>
      <c r="O169" s="444">
        <f>VLOOKUP($A169,'Pre-Assessment Estimator'!$A$10:$Z$227,O$2,FALSE)</f>
        <v>0</v>
      </c>
      <c r="P169" s="443" t="str">
        <f>VLOOKUP($A169,'Pre-Assessment Estimator'!$A$10:$Z$227,P$2,FALSE)</f>
        <v>Good</v>
      </c>
      <c r="Q169" s="446" t="str">
        <f>IF(VLOOKUP($A169,'Pre-Assessment Estimator'!$A$10:$Z$227,Q$2,FALSE)=0,"",VLOOKUP($A169,'Pre-Assessment Estimator'!$A$10:$Z$227,Q$2,FALSE))</f>
        <v/>
      </c>
      <c r="R169" s="446" t="str">
        <f>IF(VLOOKUP($A169,'Pre-Assessment Estimator'!$A$10:$Z$227,R$2,FALSE)=0,"",VLOOKUP($A169,'Pre-Assessment Estimator'!$A$10:$Z$227,R$2,FALSE))</f>
        <v/>
      </c>
      <c r="S169" s="447" t="str">
        <f>IF(VLOOKUP($A169,'Pre-Assessment Estimator'!$A$10:$Z$227,S$2,FALSE)=0,"",VLOOKUP($A169,'Pre-Assessment Estimator'!$A$10:$Z$227,S$2,FALSE))</f>
        <v/>
      </c>
      <c r="T169" s="450"/>
      <c r="U169" s="449" t="str">
        <f>IF(VLOOKUP($A169,'Pre-Assessment Estimator'!$A$10:$Z$227,U$2,FALSE)=0,"",VLOOKUP($A169,'Pre-Assessment Estimator'!$A$10:$Z$227,U$2,FALSE))</f>
        <v/>
      </c>
      <c r="V169" s="444">
        <f>VLOOKUP($A169,'Pre-Assessment Estimator'!$A$10:$Z$227,V$2,FALSE)</f>
        <v>0</v>
      </c>
      <c r="W169" s="443" t="str">
        <f>VLOOKUP($A169,'Pre-Assessment Estimator'!$A$10:$Z$227,W$2,FALSE)</f>
        <v>Good</v>
      </c>
      <c r="X169" s="446" t="str">
        <f>IF(VLOOKUP($A169,'Pre-Assessment Estimator'!$A$10:$Z$227,X$2,FALSE)=0,"",VLOOKUP($A169,'Pre-Assessment Estimator'!$A$10:$Z$227,X$2,FALSE))</f>
        <v/>
      </c>
      <c r="Y169" s="446" t="str">
        <f>IF(VLOOKUP($A169,'Pre-Assessment Estimator'!$A$10:$Z$227,Y$2,FALSE)=0,"",VLOOKUP($A169,'Pre-Assessment Estimator'!$A$10:$Z$227,Y$2,FALSE))</f>
        <v/>
      </c>
      <c r="Z169" s="313" t="str">
        <f>IF(VLOOKUP($A169,'Pre-Assessment Estimator'!$A$10:$Z$227,Z$2,FALSE)=0,"",VLOOKUP($A169,'Pre-Assessment Estimator'!$A$10:$Z$227,Z$2,FALSE))</f>
        <v/>
      </c>
      <c r="AA169" s="544">
        <v>158</v>
      </c>
      <c r="AB169" s="446"/>
      <c r="AF169" s="13">
        <f t="shared" si="3"/>
        <v>1</v>
      </c>
    </row>
    <row r="170" spans="1:32">
      <c r="A170" s="652">
        <v>161</v>
      </c>
      <c r="B170" s="958" t="s">
        <v>461</v>
      </c>
      <c r="C170" s="958"/>
      <c r="D170" s="980" t="str">
        <f>VLOOKUP($A170,'Pre-Assessment Estimator'!$A$10:$Z$227,D$2,FALSE)</f>
        <v>LE 02</v>
      </c>
      <c r="E170" s="981" t="str">
        <f>VLOOKUP($A170,'Pre-Assessment Estimator'!$A$10:$Z$227,E$2,FALSE)</f>
        <v>Determin ecological possibilities</v>
      </c>
      <c r="F170" s="443">
        <f>VLOOKUP($A170,'Pre-Assessment Estimator'!$A$10:$Z$227,F$2,FALSE)</f>
        <v>1</v>
      </c>
      <c r="G170" s="449" t="str">
        <f>IF(VLOOKUP($A170,'Pre-Assessment Estimator'!$A$10:$Z$227,G$2,FALSE)=0,"",VLOOKUP($A170,'Pre-Assessment Estimator'!$A$10:$Z$227,G$2,FALSE))</f>
        <v/>
      </c>
      <c r="H170" s="948">
        <f>VLOOKUP($A170,'Pre-Assessment Estimator'!$A$10:$Z$227,H$2,FALSE)</f>
        <v>0</v>
      </c>
      <c r="I170" s="445" t="str">
        <f>VLOOKUP($A170,'Pre-Assessment Estimator'!$A$10:$Z$227,I$2,FALSE)</f>
        <v>N/A</v>
      </c>
      <c r="J170" s="446" t="str">
        <f>IF(VLOOKUP($A170,'Pre-Assessment Estimator'!$A$10:$Z$227,J$2,FALSE)=0,"",VLOOKUP($A170,'Pre-Assessment Estimator'!$A$10:$Z$227,J$2,FALSE))</f>
        <v/>
      </c>
      <c r="K170" s="446" t="str">
        <f>IF(VLOOKUP($A170,'Pre-Assessment Estimator'!$A$10:$Z$227,K$2,FALSE)=0,"",VLOOKUP($A170,'Pre-Assessment Estimator'!$A$10:$Z$227,K$2,FALSE))</f>
        <v/>
      </c>
      <c r="L170" s="447" t="str">
        <f>IF(VLOOKUP($A170,'Pre-Assessment Estimator'!$A$10:$Z$227,L$2,FALSE)=0,"",VLOOKUP($A170,'Pre-Assessment Estimator'!$A$10:$Z$227,L$2,FALSE))</f>
        <v/>
      </c>
      <c r="M170" s="448"/>
      <c r="N170" s="449" t="str">
        <f>IF(VLOOKUP($A170,'Pre-Assessment Estimator'!$A$10:$Z$227,N$2,FALSE)=0,"",VLOOKUP($A170,'Pre-Assessment Estimator'!$A$10:$Z$227,N$2,FALSE))</f>
        <v/>
      </c>
      <c r="O170" s="444">
        <f>VLOOKUP($A170,'Pre-Assessment Estimator'!$A$10:$Z$227,O$2,FALSE)</f>
        <v>0</v>
      </c>
      <c r="P170" s="443" t="str">
        <f>VLOOKUP($A170,'Pre-Assessment Estimator'!$A$10:$Z$227,P$2,FALSE)</f>
        <v>N/A</v>
      </c>
      <c r="Q170" s="446" t="str">
        <f>IF(VLOOKUP($A170,'Pre-Assessment Estimator'!$A$10:$Z$227,Q$2,FALSE)=0,"",VLOOKUP($A170,'Pre-Assessment Estimator'!$A$10:$Z$227,Q$2,FALSE))</f>
        <v/>
      </c>
      <c r="R170" s="446" t="str">
        <f>IF(VLOOKUP($A170,'Pre-Assessment Estimator'!$A$10:$Z$227,R$2,FALSE)=0,"",VLOOKUP($A170,'Pre-Assessment Estimator'!$A$10:$Z$227,R$2,FALSE))</f>
        <v/>
      </c>
      <c r="S170" s="447" t="str">
        <f>IF(VLOOKUP($A170,'Pre-Assessment Estimator'!$A$10:$Z$227,S$2,FALSE)=0,"",VLOOKUP($A170,'Pre-Assessment Estimator'!$A$10:$Z$227,S$2,FALSE))</f>
        <v/>
      </c>
      <c r="T170" s="450"/>
      <c r="U170" s="449" t="str">
        <f>IF(VLOOKUP($A170,'Pre-Assessment Estimator'!$A$10:$Z$227,U$2,FALSE)=0,"",VLOOKUP($A170,'Pre-Assessment Estimator'!$A$10:$Z$227,U$2,FALSE))</f>
        <v/>
      </c>
      <c r="V170" s="444">
        <f>VLOOKUP($A170,'Pre-Assessment Estimator'!$A$10:$Z$227,V$2,FALSE)</f>
        <v>0</v>
      </c>
      <c r="W170" s="443" t="str">
        <f>VLOOKUP($A170,'Pre-Assessment Estimator'!$A$10:$Z$227,W$2,FALSE)</f>
        <v>N/A</v>
      </c>
      <c r="X170" s="446" t="str">
        <f>IF(VLOOKUP($A170,'Pre-Assessment Estimator'!$A$10:$Z$227,X$2,FALSE)=0,"",VLOOKUP($A170,'Pre-Assessment Estimator'!$A$10:$Z$227,X$2,FALSE))</f>
        <v/>
      </c>
      <c r="Y170" s="446" t="str">
        <f>IF(VLOOKUP($A170,'Pre-Assessment Estimator'!$A$10:$Z$227,Y$2,FALSE)=0,"",VLOOKUP($A170,'Pre-Assessment Estimator'!$A$10:$Z$227,Y$2,FALSE))</f>
        <v/>
      </c>
      <c r="Z170" s="313" t="str">
        <f>IF(VLOOKUP($A170,'Pre-Assessment Estimator'!$A$10:$Z$227,Z$2,FALSE)=0,"",VLOOKUP($A170,'Pre-Assessment Estimator'!$A$10:$Z$227,Z$2,FALSE))</f>
        <v/>
      </c>
      <c r="AA170" s="544">
        <v>159</v>
      </c>
      <c r="AB170" s="446"/>
      <c r="AF170" s="13">
        <f t="shared" si="3"/>
        <v>1</v>
      </c>
    </row>
    <row r="171" spans="1:32">
      <c r="A171" s="652">
        <v>162</v>
      </c>
      <c r="B171" s="958" t="s">
        <v>461</v>
      </c>
      <c r="C171" s="958"/>
      <c r="D171" s="979" t="str">
        <f>VLOOKUP($A171,'Pre-Assessment Estimator'!$A$10:$Z$227,D$2,FALSE)</f>
        <v>LE 03</v>
      </c>
      <c r="E171" s="979" t="str">
        <f>VLOOKUP($A171,'Pre-Assessment Estimator'!$A$10:$Z$227,E$2,FALSE)</f>
        <v>LE 03 Managing impacts on ecology</v>
      </c>
      <c r="F171" s="443">
        <f>VLOOKUP($A171,'Pre-Assessment Estimator'!$A$10:$Z$227,F$2,FALSE)</f>
        <v>3</v>
      </c>
      <c r="G171" s="449" t="str">
        <f>IF(VLOOKUP($A171,'Pre-Assessment Estimator'!$A$10:$Z$227,G$2,FALSE)=0,"",VLOOKUP($A171,'Pre-Assessment Estimator'!$A$10:$Z$227,G$2,FALSE))</f>
        <v/>
      </c>
      <c r="H171" s="948" t="str">
        <f>VLOOKUP($A171,'Pre-Assessment Estimator'!$A$10:$Z$227,H$2,FALSE)</f>
        <v>0 c. 0 %</v>
      </c>
      <c r="I171" s="445" t="str">
        <f>VLOOKUP($A171,'Pre-Assessment Estimator'!$A$10:$Z$227,I$2,FALSE)</f>
        <v>N/A</v>
      </c>
      <c r="J171" s="446" t="str">
        <f>IF(VLOOKUP($A171,'Pre-Assessment Estimator'!$A$10:$Z$227,J$2,FALSE)=0,"",VLOOKUP($A171,'Pre-Assessment Estimator'!$A$10:$Z$227,J$2,FALSE))</f>
        <v/>
      </c>
      <c r="K171" s="446" t="str">
        <f>IF(VLOOKUP($A171,'Pre-Assessment Estimator'!$A$10:$Z$227,K$2,FALSE)=0,"",VLOOKUP($A171,'Pre-Assessment Estimator'!$A$10:$Z$227,K$2,FALSE))</f>
        <v/>
      </c>
      <c r="L171" s="447" t="str">
        <f>IF(VLOOKUP($A171,'Pre-Assessment Estimator'!$A$10:$Z$227,L$2,FALSE)=0,"",VLOOKUP($A171,'Pre-Assessment Estimator'!$A$10:$Z$227,L$2,FALSE))</f>
        <v/>
      </c>
      <c r="M171" s="448"/>
      <c r="N171" s="449" t="str">
        <f>IF(VLOOKUP($A171,'Pre-Assessment Estimator'!$A$10:$Z$227,N$2,FALSE)=0,"",VLOOKUP($A171,'Pre-Assessment Estimator'!$A$10:$Z$227,N$2,FALSE))</f>
        <v/>
      </c>
      <c r="O171" s="444" t="str">
        <f>VLOOKUP($A171,'Pre-Assessment Estimator'!$A$10:$Z$227,O$2,FALSE)</f>
        <v>0 c. 0 %</v>
      </c>
      <c r="P171" s="443" t="str">
        <f>VLOOKUP($A171,'Pre-Assessment Estimator'!$A$10:$Z$227,P$2,FALSE)</f>
        <v>N/A</v>
      </c>
      <c r="Q171" s="446" t="str">
        <f>IF(VLOOKUP($A171,'Pre-Assessment Estimator'!$A$10:$Z$227,Q$2,FALSE)=0,"",VLOOKUP($A171,'Pre-Assessment Estimator'!$A$10:$Z$227,Q$2,FALSE))</f>
        <v/>
      </c>
      <c r="R171" s="446" t="str">
        <f>IF(VLOOKUP($A171,'Pre-Assessment Estimator'!$A$10:$Z$227,R$2,FALSE)=0,"",VLOOKUP($A171,'Pre-Assessment Estimator'!$A$10:$Z$227,R$2,FALSE))</f>
        <v/>
      </c>
      <c r="S171" s="447" t="str">
        <f>IF(VLOOKUP($A171,'Pre-Assessment Estimator'!$A$10:$Z$227,S$2,FALSE)=0,"",VLOOKUP($A171,'Pre-Assessment Estimator'!$A$10:$Z$227,S$2,FALSE))</f>
        <v/>
      </c>
      <c r="T171" s="450"/>
      <c r="U171" s="449" t="str">
        <f>IF(VLOOKUP($A171,'Pre-Assessment Estimator'!$A$10:$Z$227,U$2,FALSE)=0,"",VLOOKUP($A171,'Pre-Assessment Estimator'!$A$10:$Z$227,U$2,FALSE))</f>
        <v/>
      </c>
      <c r="V171" s="444" t="str">
        <f>VLOOKUP($A171,'Pre-Assessment Estimator'!$A$10:$Z$227,V$2,FALSE)</f>
        <v>0 c. 0 %</v>
      </c>
      <c r="W171" s="443" t="str">
        <f>VLOOKUP($A171,'Pre-Assessment Estimator'!$A$10:$Z$227,W$2,FALSE)</f>
        <v>N/A</v>
      </c>
      <c r="X171" s="446" t="str">
        <f>IF(VLOOKUP($A171,'Pre-Assessment Estimator'!$A$10:$Z$227,X$2,FALSE)=0,"",VLOOKUP($A171,'Pre-Assessment Estimator'!$A$10:$Z$227,X$2,FALSE))</f>
        <v/>
      </c>
      <c r="Y171" s="446" t="str">
        <f>IF(VLOOKUP($A171,'Pre-Assessment Estimator'!$A$10:$Z$227,Y$2,FALSE)=0,"",VLOOKUP($A171,'Pre-Assessment Estimator'!$A$10:$Z$227,Y$2,FALSE))</f>
        <v/>
      </c>
      <c r="Z171" s="313" t="str">
        <f>IF(VLOOKUP($A171,'Pre-Assessment Estimator'!$A$10:$Z$227,Z$2,FALSE)=0,"",VLOOKUP($A171,'Pre-Assessment Estimator'!$A$10:$Z$227,Z$2,FALSE))</f>
        <v/>
      </c>
      <c r="AA171" s="544">
        <v>160</v>
      </c>
      <c r="AB171" s="446"/>
      <c r="AF171" s="13">
        <f t="shared" si="3"/>
        <v>1</v>
      </c>
    </row>
    <row r="172" spans="1:32">
      <c r="A172" s="652">
        <v>163</v>
      </c>
      <c r="B172" s="958" t="s">
        <v>461</v>
      </c>
      <c r="C172" s="958"/>
      <c r="D172" s="980" t="str">
        <f>VLOOKUP($A172,'Pre-Assessment Estimator'!$A$10:$Z$227,D$2,FALSE)</f>
        <v>LE 03</v>
      </c>
      <c r="E172" s="981" t="str">
        <f>VLOOKUP($A172,'Pre-Assessment Estimator'!$A$10:$Z$227,E$2,FALSE)</f>
        <v>Pre-requisite: ecological risks and opportunities</v>
      </c>
      <c r="F172" s="443" t="str">
        <f>VLOOKUP($A172,'Pre-Assessment Estimator'!$A$10:$Z$227,F$2,FALSE)</f>
        <v>Yes/No</v>
      </c>
      <c r="G172" s="449" t="str">
        <f>IF(VLOOKUP($A172,'Pre-Assessment Estimator'!$A$10:$Z$227,G$2,FALSE)=0,"",VLOOKUP($A172,'Pre-Assessment Estimator'!$A$10:$Z$227,G$2,FALSE))</f>
        <v/>
      </c>
      <c r="H172" s="948" t="str">
        <f>VLOOKUP($A172,'Pre-Assessment Estimator'!$A$10:$Z$227,H$2,FALSE)</f>
        <v>No</v>
      </c>
      <c r="I172" s="445" t="str">
        <f>VLOOKUP($A172,'Pre-Assessment Estimator'!$A$10:$Z$227,I$2,FALSE)</f>
        <v>N/A</v>
      </c>
      <c r="J172" s="446" t="str">
        <f>IF(VLOOKUP($A172,'Pre-Assessment Estimator'!$A$10:$Z$227,J$2,FALSE)=0,"",VLOOKUP($A172,'Pre-Assessment Estimator'!$A$10:$Z$227,J$2,FALSE))</f>
        <v/>
      </c>
      <c r="K172" s="446" t="str">
        <f>IF(VLOOKUP($A172,'Pre-Assessment Estimator'!$A$10:$Z$227,K$2,FALSE)=0,"",VLOOKUP($A172,'Pre-Assessment Estimator'!$A$10:$Z$227,K$2,FALSE))</f>
        <v/>
      </c>
      <c r="L172" s="447" t="str">
        <f>IF(VLOOKUP($A172,'Pre-Assessment Estimator'!$A$10:$Z$227,L$2,FALSE)=0,"",VLOOKUP($A172,'Pre-Assessment Estimator'!$A$10:$Z$227,L$2,FALSE))</f>
        <v/>
      </c>
      <c r="M172" s="448"/>
      <c r="N172" s="449" t="str">
        <f>IF(VLOOKUP($A172,'Pre-Assessment Estimator'!$A$10:$Z$227,N$2,FALSE)=0,"",VLOOKUP($A172,'Pre-Assessment Estimator'!$A$10:$Z$227,N$2,FALSE))</f>
        <v/>
      </c>
      <c r="O172" s="444" t="str">
        <f>VLOOKUP($A172,'Pre-Assessment Estimator'!$A$10:$Z$227,O$2,FALSE)</f>
        <v>No</v>
      </c>
      <c r="P172" s="443" t="str">
        <f>VLOOKUP($A172,'Pre-Assessment Estimator'!$A$10:$Z$227,P$2,FALSE)</f>
        <v>N/A</v>
      </c>
      <c r="Q172" s="446" t="str">
        <f>IF(VLOOKUP($A172,'Pre-Assessment Estimator'!$A$10:$Z$227,Q$2,FALSE)=0,"",VLOOKUP($A172,'Pre-Assessment Estimator'!$A$10:$Z$227,Q$2,FALSE))</f>
        <v/>
      </c>
      <c r="R172" s="446" t="str">
        <f>IF(VLOOKUP($A172,'Pre-Assessment Estimator'!$A$10:$Z$227,R$2,FALSE)=0,"",VLOOKUP($A172,'Pre-Assessment Estimator'!$A$10:$Z$227,R$2,FALSE))</f>
        <v/>
      </c>
      <c r="S172" s="447" t="str">
        <f>IF(VLOOKUP($A172,'Pre-Assessment Estimator'!$A$10:$Z$227,S$2,FALSE)=0,"",VLOOKUP($A172,'Pre-Assessment Estimator'!$A$10:$Z$227,S$2,FALSE))</f>
        <v/>
      </c>
      <c r="T172" s="450"/>
      <c r="U172" s="449" t="str">
        <f>IF(VLOOKUP($A172,'Pre-Assessment Estimator'!$A$10:$Z$227,U$2,FALSE)=0,"",VLOOKUP($A172,'Pre-Assessment Estimator'!$A$10:$Z$227,U$2,FALSE))</f>
        <v/>
      </c>
      <c r="V172" s="444" t="str">
        <f>VLOOKUP($A172,'Pre-Assessment Estimator'!$A$10:$Z$227,V$2,FALSE)</f>
        <v>No</v>
      </c>
      <c r="W172" s="443" t="str">
        <f>VLOOKUP($A172,'Pre-Assessment Estimator'!$A$10:$Z$227,W$2,FALSE)</f>
        <v>N/A</v>
      </c>
      <c r="X172" s="446" t="str">
        <f>IF(VLOOKUP($A172,'Pre-Assessment Estimator'!$A$10:$Z$227,X$2,FALSE)=0,"",VLOOKUP($A172,'Pre-Assessment Estimator'!$A$10:$Z$227,X$2,FALSE))</f>
        <v/>
      </c>
      <c r="Y172" s="446" t="str">
        <f>IF(VLOOKUP($A172,'Pre-Assessment Estimator'!$A$10:$Z$227,Y$2,FALSE)=0,"",VLOOKUP($A172,'Pre-Assessment Estimator'!$A$10:$Z$227,Y$2,FALSE))</f>
        <v/>
      </c>
      <c r="Z172" s="313" t="str">
        <f>IF(VLOOKUP($A172,'Pre-Assessment Estimator'!$A$10:$Z$227,Z$2,FALSE)=0,"",VLOOKUP($A172,'Pre-Assessment Estimator'!$A$10:$Z$227,Z$2,FALSE))</f>
        <v/>
      </c>
      <c r="AA172" s="544">
        <v>161</v>
      </c>
      <c r="AB172" s="446"/>
      <c r="AF172" s="13">
        <f t="shared" si="3"/>
        <v>1</v>
      </c>
    </row>
    <row r="173" spans="1:32">
      <c r="A173" s="652">
        <v>164</v>
      </c>
      <c r="B173" s="958" t="s">
        <v>461</v>
      </c>
      <c r="C173" s="958"/>
      <c r="D173" s="980" t="str">
        <f>VLOOKUP($A173,'Pre-Assessment Estimator'!$A$10:$Z$227,D$2,FALSE)</f>
        <v>LE 03</v>
      </c>
      <c r="E173" s="981" t="str">
        <f>VLOOKUP($A173,'Pre-Assessment Estimator'!$A$10:$Z$227,E$2,FALSE)</f>
        <v>Planning and measures on site</v>
      </c>
      <c r="F173" s="443">
        <f>VLOOKUP($A173,'Pre-Assessment Estimator'!$A$10:$Z$227,F$2,FALSE)</f>
        <v>1</v>
      </c>
      <c r="G173" s="449" t="str">
        <f>IF(VLOOKUP($A173,'Pre-Assessment Estimator'!$A$10:$Z$227,G$2,FALSE)=0,"",VLOOKUP($A173,'Pre-Assessment Estimator'!$A$10:$Z$227,G$2,FALSE))</f>
        <v/>
      </c>
      <c r="H173" s="948">
        <f>VLOOKUP($A173,'Pre-Assessment Estimator'!$A$10:$Z$227,H$2,FALSE)</f>
        <v>0</v>
      </c>
      <c r="I173" s="445" t="str">
        <f>VLOOKUP($A173,'Pre-Assessment Estimator'!$A$10:$Z$227,I$2,FALSE)</f>
        <v>N/A</v>
      </c>
      <c r="J173" s="446" t="str">
        <f>IF(VLOOKUP($A173,'Pre-Assessment Estimator'!$A$10:$Z$227,J$2,FALSE)=0,"",VLOOKUP($A173,'Pre-Assessment Estimator'!$A$10:$Z$227,J$2,FALSE))</f>
        <v/>
      </c>
      <c r="K173" s="446" t="str">
        <f>IF(VLOOKUP($A173,'Pre-Assessment Estimator'!$A$10:$Z$227,K$2,FALSE)=0,"",VLOOKUP($A173,'Pre-Assessment Estimator'!$A$10:$Z$227,K$2,FALSE))</f>
        <v/>
      </c>
      <c r="L173" s="447" t="str">
        <f>IF(VLOOKUP($A173,'Pre-Assessment Estimator'!$A$10:$Z$227,L$2,FALSE)=0,"",VLOOKUP($A173,'Pre-Assessment Estimator'!$A$10:$Z$227,L$2,FALSE))</f>
        <v/>
      </c>
      <c r="M173" s="448"/>
      <c r="N173" s="449" t="str">
        <f>IF(VLOOKUP($A173,'Pre-Assessment Estimator'!$A$10:$Z$227,N$2,FALSE)=0,"",VLOOKUP($A173,'Pre-Assessment Estimator'!$A$10:$Z$227,N$2,FALSE))</f>
        <v/>
      </c>
      <c r="O173" s="444">
        <f>VLOOKUP($A173,'Pre-Assessment Estimator'!$A$10:$Z$227,O$2,FALSE)</f>
        <v>0</v>
      </c>
      <c r="P173" s="443" t="str">
        <f>VLOOKUP($A173,'Pre-Assessment Estimator'!$A$10:$Z$227,P$2,FALSE)</f>
        <v>N/A</v>
      </c>
      <c r="Q173" s="446" t="str">
        <f>IF(VLOOKUP($A173,'Pre-Assessment Estimator'!$A$10:$Z$227,Q$2,FALSE)=0,"",VLOOKUP($A173,'Pre-Assessment Estimator'!$A$10:$Z$227,Q$2,FALSE))</f>
        <v/>
      </c>
      <c r="R173" s="446" t="str">
        <f>IF(VLOOKUP($A173,'Pre-Assessment Estimator'!$A$10:$Z$227,R$2,FALSE)=0,"",VLOOKUP($A173,'Pre-Assessment Estimator'!$A$10:$Z$227,R$2,FALSE))</f>
        <v/>
      </c>
      <c r="S173" s="447" t="str">
        <f>IF(VLOOKUP($A173,'Pre-Assessment Estimator'!$A$10:$Z$227,S$2,FALSE)=0,"",VLOOKUP($A173,'Pre-Assessment Estimator'!$A$10:$Z$227,S$2,FALSE))</f>
        <v/>
      </c>
      <c r="T173" s="450"/>
      <c r="U173" s="449" t="str">
        <f>IF(VLOOKUP($A173,'Pre-Assessment Estimator'!$A$10:$Z$227,U$2,FALSE)=0,"",VLOOKUP($A173,'Pre-Assessment Estimator'!$A$10:$Z$227,U$2,FALSE))</f>
        <v/>
      </c>
      <c r="V173" s="444">
        <f>VLOOKUP($A173,'Pre-Assessment Estimator'!$A$10:$Z$227,V$2,FALSE)</f>
        <v>0</v>
      </c>
      <c r="W173" s="443" t="str">
        <f>VLOOKUP($A173,'Pre-Assessment Estimator'!$A$10:$Z$227,W$2,FALSE)</f>
        <v>N/A</v>
      </c>
      <c r="X173" s="446" t="str">
        <f>IF(VLOOKUP($A173,'Pre-Assessment Estimator'!$A$10:$Z$227,X$2,FALSE)=0,"",VLOOKUP($A173,'Pre-Assessment Estimator'!$A$10:$Z$227,X$2,FALSE))</f>
        <v/>
      </c>
      <c r="Y173" s="446" t="str">
        <f>IF(VLOOKUP($A173,'Pre-Assessment Estimator'!$A$10:$Z$227,Y$2,FALSE)=0,"",VLOOKUP($A173,'Pre-Assessment Estimator'!$A$10:$Z$227,Y$2,FALSE))</f>
        <v/>
      </c>
      <c r="Z173" s="313" t="str">
        <f>IF(VLOOKUP($A173,'Pre-Assessment Estimator'!$A$10:$Z$227,Z$2,FALSE)=0,"",VLOOKUP($A173,'Pre-Assessment Estimator'!$A$10:$Z$227,Z$2,FALSE))</f>
        <v/>
      </c>
      <c r="AA173" s="544">
        <v>161</v>
      </c>
      <c r="AB173" s="446"/>
      <c r="AF173" s="13">
        <f t="shared" ref="AF173" si="4">IF(F173="",1,IF(F173=0,2,1))</f>
        <v>1</v>
      </c>
    </row>
    <row r="174" spans="1:32">
      <c r="A174" s="652">
        <v>165</v>
      </c>
      <c r="B174" s="958" t="s">
        <v>461</v>
      </c>
      <c r="C174" s="958"/>
      <c r="D174" s="980" t="str">
        <f>VLOOKUP($A174,'Pre-Assessment Estimator'!$A$10:$Z$227,D$2,FALSE)</f>
        <v>LE 03</v>
      </c>
      <c r="E174" s="981" t="str">
        <f>VLOOKUP($A174,'Pre-Assessment Estimator'!$A$10:$Z$227,E$2,FALSE)</f>
        <v>Managing negative impacts</v>
      </c>
      <c r="F174" s="443">
        <f>VLOOKUP($A174,'Pre-Assessment Estimator'!$A$10:$Z$227,F$2,FALSE)</f>
        <v>2</v>
      </c>
      <c r="G174" s="449" t="str">
        <f>IF(VLOOKUP($A174,'Pre-Assessment Estimator'!$A$10:$Z$227,G$2,FALSE)=0,"",VLOOKUP($A174,'Pre-Assessment Estimator'!$A$10:$Z$227,G$2,FALSE))</f>
        <v/>
      </c>
      <c r="H174" s="948">
        <f>VLOOKUP($A174,'Pre-Assessment Estimator'!$A$10:$Z$227,H$2,FALSE)</f>
        <v>0</v>
      </c>
      <c r="I174" s="445" t="str">
        <f>VLOOKUP($A174,'Pre-Assessment Estimator'!$A$10:$Z$227,I$2,FALSE)</f>
        <v>N/A</v>
      </c>
      <c r="J174" s="446" t="str">
        <f>IF(VLOOKUP($A174,'Pre-Assessment Estimator'!$A$10:$Z$227,J$2,FALSE)=0,"",VLOOKUP($A174,'Pre-Assessment Estimator'!$A$10:$Z$227,J$2,FALSE))</f>
        <v/>
      </c>
      <c r="K174" s="446" t="str">
        <f>IF(VLOOKUP($A174,'Pre-Assessment Estimator'!$A$10:$Z$227,K$2,FALSE)=0,"",VLOOKUP($A174,'Pre-Assessment Estimator'!$A$10:$Z$227,K$2,FALSE))</f>
        <v/>
      </c>
      <c r="L174" s="447" t="str">
        <f>IF(VLOOKUP($A174,'Pre-Assessment Estimator'!$A$10:$Z$227,L$2,FALSE)=0,"",VLOOKUP($A174,'Pre-Assessment Estimator'!$A$10:$Z$227,L$2,FALSE))</f>
        <v/>
      </c>
      <c r="M174" s="448"/>
      <c r="N174" s="449" t="str">
        <f>IF(VLOOKUP($A174,'Pre-Assessment Estimator'!$A$10:$Z$227,N$2,FALSE)=0,"",VLOOKUP($A174,'Pre-Assessment Estimator'!$A$10:$Z$227,N$2,FALSE))</f>
        <v/>
      </c>
      <c r="O174" s="444">
        <f>VLOOKUP($A174,'Pre-Assessment Estimator'!$A$10:$Z$227,O$2,FALSE)</f>
        <v>0</v>
      </c>
      <c r="P174" s="443" t="str">
        <f>VLOOKUP($A174,'Pre-Assessment Estimator'!$A$10:$Z$227,P$2,FALSE)</f>
        <v>N/A</v>
      </c>
      <c r="Q174" s="446" t="str">
        <f>IF(VLOOKUP($A174,'Pre-Assessment Estimator'!$A$10:$Z$227,Q$2,FALSE)=0,"",VLOOKUP($A174,'Pre-Assessment Estimator'!$A$10:$Z$227,Q$2,FALSE))</f>
        <v/>
      </c>
      <c r="R174" s="446" t="str">
        <f>IF(VLOOKUP($A174,'Pre-Assessment Estimator'!$A$10:$Z$227,R$2,FALSE)=0,"",VLOOKUP($A174,'Pre-Assessment Estimator'!$A$10:$Z$227,R$2,FALSE))</f>
        <v/>
      </c>
      <c r="S174" s="447" t="str">
        <f>IF(VLOOKUP($A174,'Pre-Assessment Estimator'!$A$10:$Z$227,S$2,FALSE)=0,"",VLOOKUP($A174,'Pre-Assessment Estimator'!$A$10:$Z$227,S$2,FALSE))</f>
        <v/>
      </c>
      <c r="T174" s="450"/>
      <c r="U174" s="449" t="str">
        <f>IF(VLOOKUP($A174,'Pre-Assessment Estimator'!$A$10:$Z$227,U$2,FALSE)=0,"",VLOOKUP($A174,'Pre-Assessment Estimator'!$A$10:$Z$227,U$2,FALSE))</f>
        <v/>
      </c>
      <c r="V174" s="444">
        <f>VLOOKUP($A174,'Pre-Assessment Estimator'!$A$10:$Z$227,V$2,FALSE)</f>
        <v>0</v>
      </c>
      <c r="W174" s="443" t="str">
        <f>VLOOKUP($A174,'Pre-Assessment Estimator'!$A$10:$Z$227,W$2,FALSE)</f>
        <v>N/A</v>
      </c>
      <c r="X174" s="446" t="str">
        <f>IF(VLOOKUP($A174,'Pre-Assessment Estimator'!$A$10:$Z$227,X$2,FALSE)=0,"",VLOOKUP($A174,'Pre-Assessment Estimator'!$A$10:$Z$227,X$2,FALSE))</f>
        <v/>
      </c>
      <c r="Y174" s="446" t="str">
        <f>IF(VLOOKUP($A174,'Pre-Assessment Estimator'!$A$10:$Z$227,Y$2,FALSE)=0,"",VLOOKUP($A174,'Pre-Assessment Estimator'!$A$10:$Z$227,Y$2,FALSE))</f>
        <v/>
      </c>
      <c r="Z174" s="313" t="str">
        <f>IF(VLOOKUP($A174,'Pre-Assessment Estimator'!$A$10:$Z$227,Z$2,FALSE)=0,"",VLOOKUP($A174,'Pre-Assessment Estimator'!$A$10:$Z$227,Z$2,FALSE))</f>
        <v/>
      </c>
      <c r="AA174" s="544">
        <v>162</v>
      </c>
      <c r="AB174" s="446"/>
      <c r="AF174" s="13">
        <f t="shared" si="3"/>
        <v>1</v>
      </c>
    </row>
    <row r="175" spans="1:32">
      <c r="A175" s="652">
        <v>166</v>
      </c>
      <c r="B175" s="958" t="s">
        <v>461</v>
      </c>
      <c r="C175" s="958"/>
      <c r="D175" s="979" t="str">
        <f>VLOOKUP($A175,'Pre-Assessment Estimator'!$A$10:$Z$227,D$2,FALSE)</f>
        <v>LE 04</v>
      </c>
      <c r="E175" s="979" t="str">
        <f>VLOOKUP($A175,'Pre-Assessment Estimator'!$A$10:$Z$227,E$2,FALSE)</f>
        <v>LE 04 Ecological change and enhancement</v>
      </c>
      <c r="F175" s="443">
        <f>VLOOKUP($A175,'Pre-Assessment Estimator'!$A$10:$Z$227,F$2,FALSE)</f>
        <v>4</v>
      </c>
      <c r="G175" s="449" t="str">
        <f>IF(VLOOKUP($A175,'Pre-Assessment Estimator'!$A$10:$Z$227,G$2,FALSE)=0,"",VLOOKUP($A175,'Pre-Assessment Estimator'!$A$10:$Z$227,G$2,FALSE))</f>
        <v/>
      </c>
      <c r="H175" s="948" t="str">
        <f>VLOOKUP($A175,'Pre-Assessment Estimator'!$A$10:$Z$227,H$2,FALSE)</f>
        <v>0 c. 0 %</v>
      </c>
      <c r="I175" s="445" t="str">
        <f>VLOOKUP($A175,'Pre-Assessment Estimator'!$A$10:$Z$227,I$2,FALSE)</f>
        <v>N/A</v>
      </c>
      <c r="J175" s="446" t="str">
        <f>IF(VLOOKUP($A175,'Pre-Assessment Estimator'!$A$10:$Z$227,J$2,FALSE)=0,"",VLOOKUP($A175,'Pre-Assessment Estimator'!$A$10:$Z$227,J$2,FALSE))</f>
        <v/>
      </c>
      <c r="K175" s="446" t="str">
        <f>IF(VLOOKUP($A175,'Pre-Assessment Estimator'!$A$10:$Z$227,K$2,FALSE)=0,"",VLOOKUP($A175,'Pre-Assessment Estimator'!$A$10:$Z$227,K$2,FALSE))</f>
        <v/>
      </c>
      <c r="L175" s="447" t="str">
        <f>IF(VLOOKUP($A175,'Pre-Assessment Estimator'!$A$10:$Z$227,L$2,FALSE)=0,"",VLOOKUP($A175,'Pre-Assessment Estimator'!$A$10:$Z$227,L$2,FALSE))</f>
        <v/>
      </c>
      <c r="M175" s="448"/>
      <c r="N175" s="449" t="str">
        <f>IF(VLOOKUP($A175,'Pre-Assessment Estimator'!$A$10:$Z$227,N$2,FALSE)=0,"",VLOOKUP($A175,'Pre-Assessment Estimator'!$A$10:$Z$227,N$2,FALSE))</f>
        <v/>
      </c>
      <c r="O175" s="444" t="str">
        <f>VLOOKUP($A175,'Pre-Assessment Estimator'!$A$10:$Z$227,O$2,FALSE)</f>
        <v>0 c. 0 %</v>
      </c>
      <c r="P175" s="443" t="str">
        <f>VLOOKUP($A175,'Pre-Assessment Estimator'!$A$10:$Z$227,P$2,FALSE)</f>
        <v>N/A</v>
      </c>
      <c r="Q175" s="446" t="str">
        <f>IF(VLOOKUP($A175,'Pre-Assessment Estimator'!$A$10:$Z$227,Q$2,FALSE)=0,"",VLOOKUP($A175,'Pre-Assessment Estimator'!$A$10:$Z$227,Q$2,FALSE))</f>
        <v/>
      </c>
      <c r="R175" s="446" t="str">
        <f>IF(VLOOKUP($A175,'Pre-Assessment Estimator'!$A$10:$Z$227,R$2,FALSE)=0,"",VLOOKUP($A175,'Pre-Assessment Estimator'!$A$10:$Z$227,R$2,FALSE))</f>
        <v/>
      </c>
      <c r="S175" s="447" t="str">
        <f>IF(VLOOKUP($A175,'Pre-Assessment Estimator'!$A$10:$Z$227,S$2,FALSE)=0,"",VLOOKUP($A175,'Pre-Assessment Estimator'!$A$10:$Z$227,S$2,FALSE))</f>
        <v/>
      </c>
      <c r="T175" s="450"/>
      <c r="U175" s="449" t="str">
        <f>IF(VLOOKUP($A175,'Pre-Assessment Estimator'!$A$10:$Z$227,U$2,FALSE)=0,"",VLOOKUP($A175,'Pre-Assessment Estimator'!$A$10:$Z$227,U$2,FALSE))</f>
        <v/>
      </c>
      <c r="V175" s="444" t="str">
        <f>VLOOKUP($A175,'Pre-Assessment Estimator'!$A$10:$Z$227,V$2,FALSE)</f>
        <v>0 c. 0 %</v>
      </c>
      <c r="W175" s="443" t="str">
        <f>VLOOKUP($A175,'Pre-Assessment Estimator'!$A$10:$Z$227,W$2,FALSE)</f>
        <v>N/A</v>
      </c>
      <c r="X175" s="446" t="str">
        <f>IF(VLOOKUP($A175,'Pre-Assessment Estimator'!$A$10:$Z$227,X$2,FALSE)=0,"",VLOOKUP($A175,'Pre-Assessment Estimator'!$A$10:$Z$227,X$2,FALSE))</f>
        <v/>
      </c>
      <c r="Y175" s="446" t="str">
        <f>IF(VLOOKUP($A175,'Pre-Assessment Estimator'!$A$10:$Z$227,Y$2,FALSE)=0,"",VLOOKUP($A175,'Pre-Assessment Estimator'!$A$10:$Z$227,Y$2,FALSE))</f>
        <v/>
      </c>
      <c r="Z175" s="313" t="str">
        <f>IF(VLOOKUP($A175,'Pre-Assessment Estimator'!$A$10:$Z$227,Z$2,FALSE)=0,"",VLOOKUP($A175,'Pre-Assessment Estimator'!$A$10:$Z$227,Z$2,FALSE))</f>
        <v/>
      </c>
      <c r="AA175" s="544">
        <v>163</v>
      </c>
      <c r="AB175" s="446"/>
      <c r="AF175" s="13">
        <f t="shared" si="3"/>
        <v>1</v>
      </c>
    </row>
    <row r="176" spans="1:32">
      <c r="A176" s="652">
        <v>167</v>
      </c>
      <c r="B176" s="958" t="s">
        <v>461</v>
      </c>
      <c r="C176" s="958"/>
      <c r="D176" s="980" t="str">
        <f>VLOOKUP($A176,'Pre-Assessment Estimator'!$A$10:$Z$227,D$2,FALSE)</f>
        <v>LE 04</v>
      </c>
      <c r="E176" s="981" t="str">
        <f>VLOOKUP($A176,'Pre-Assessment Estimator'!$A$10:$Z$227,E$2,FALSE)</f>
        <v>Pre-requisite: managing negative impacts on ecology</v>
      </c>
      <c r="F176" s="443" t="str">
        <f>VLOOKUP($A176,'Pre-Assessment Estimator'!$A$10:$Z$227,F$2,FALSE)</f>
        <v>Yes/No</v>
      </c>
      <c r="G176" s="449" t="str">
        <f>IF(VLOOKUP($A176,'Pre-Assessment Estimator'!$A$10:$Z$227,G$2,FALSE)=0,"",VLOOKUP($A176,'Pre-Assessment Estimator'!$A$10:$Z$227,G$2,FALSE))</f>
        <v/>
      </c>
      <c r="H176" s="948" t="str">
        <f>VLOOKUP($A176,'Pre-Assessment Estimator'!$A$10:$Z$227,H$2,FALSE)</f>
        <v>-</v>
      </c>
      <c r="I176" s="445" t="str">
        <f>VLOOKUP($A176,'Pre-Assessment Estimator'!$A$10:$Z$227,I$2,FALSE)</f>
        <v>N/A</v>
      </c>
      <c r="J176" s="446" t="str">
        <f>IF(VLOOKUP($A176,'Pre-Assessment Estimator'!$A$10:$Z$227,J$2,FALSE)=0,"",VLOOKUP($A176,'Pre-Assessment Estimator'!$A$10:$Z$227,J$2,FALSE))</f>
        <v/>
      </c>
      <c r="K176" s="446" t="str">
        <f>IF(VLOOKUP($A176,'Pre-Assessment Estimator'!$A$10:$Z$227,K$2,FALSE)=0,"",VLOOKUP($A176,'Pre-Assessment Estimator'!$A$10:$Z$227,K$2,FALSE))</f>
        <v/>
      </c>
      <c r="L176" s="447" t="str">
        <f>IF(VLOOKUP($A176,'Pre-Assessment Estimator'!$A$10:$Z$227,L$2,FALSE)=0,"",VLOOKUP($A176,'Pre-Assessment Estimator'!$A$10:$Z$227,L$2,FALSE))</f>
        <v/>
      </c>
      <c r="M176" s="448"/>
      <c r="N176" s="449" t="str">
        <f>IF(VLOOKUP($A176,'Pre-Assessment Estimator'!$A$10:$Z$227,N$2,FALSE)=0,"",VLOOKUP($A176,'Pre-Assessment Estimator'!$A$10:$Z$227,N$2,FALSE))</f>
        <v/>
      </c>
      <c r="O176" s="444" t="str">
        <f>VLOOKUP($A176,'Pre-Assessment Estimator'!$A$10:$Z$227,O$2,FALSE)</f>
        <v>-</v>
      </c>
      <c r="P176" s="443" t="str">
        <f>VLOOKUP($A176,'Pre-Assessment Estimator'!$A$10:$Z$227,P$2,FALSE)</f>
        <v>N/A</v>
      </c>
      <c r="Q176" s="446" t="str">
        <f>IF(VLOOKUP($A176,'Pre-Assessment Estimator'!$A$10:$Z$227,Q$2,FALSE)=0,"",VLOOKUP($A176,'Pre-Assessment Estimator'!$A$10:$Z$227,Q$2,FALSE))</f>
        <v/>
      </c>
      <c r="R176" s="446" t="str">
        <f>IF(VLOOKUP($A176,'Pre-Assessment Estimator'!$A$10:$Z$227,R$2,FALSE)=0,"",VLOOKUP($A176,'Pre-Assessment Estimator'!$A$10:$Z$227,R$2,FALSE))</f>
        <v/>
      </c>
      <c r="S176" s="447" t="str">
        <f>IF(VLOOKUP($A176,'Pre-Assessment Estimator'!$A$10:$Z$227,S$2,FALSE)=0,"",VLOOKUP($A176,'Pre-Assessment Estimator'!$A$10:$Z$227,S$2,FALSE))</f>
        <v/>
      </c>
      <c r="T176" s="450"/>
      <c r="U176" s="449" t="str">
        <f>IF(VLOOKUP($A176,'Pre-Assessment Estimator'!$A$10:$Z$227,U$2,FALSE)=0,"",VLOOKUP($A176,'Pre-Assessment Estimator'!$A$10:$Z$227,U$2,FALSE))</f>
        <v/>
      </c>
      <c r="V176" s="444" t="str">
        <f>VLOOKUP($A176,'Pre-Assessment Estimator'!$A$10:$Z$227,V$2,FALSE)</f>
        <v>-</v>
      </c>
      <c r="W176" s="443" t="str">
        <f>VLOOKUP($A176,'Pre-Assessment Estimator'!$A$10:$Z$227,W$2,FALSE)</f>
        <v>N/A</v>
      </c>
      <c r="X176" s="446" t="str">
        <f>IF(VLOOKUP($A176,'Pre-Assessment Estimator'!$A$10:$Z$227,X$2,FALSE)=0,"",VLOOKUP($A176,'Pre-Assessment Estimator'!$A$10:$Z$227,X$2,FALSE))</f>
        <v/>
      </c>
      <c r="Y176" s="446" t="str">
        <f>IF(VLOOKUP($A176,'Pre-Assessment Estimator'!$A$10:$Z$227,Y$2,FALSE)=0,"",VLOOKUP($A176,'Pre-Assessment Estimator'!$A$10:$Z$227,Y$2,FALSE))</f>
        <v/>
      </c>
      <c r="Z176" s="313" t="str">
        <f>IF(VLOOKUP($A176,'Pre-Assessment Estimator'!$A$10:$Z$227,Z$2,FALSE)=0,"",VLOOKUP($A176,'Pre-Assessment Estimator'!$A$10:$Z$227,Z$2,FALSE))</f>
        <v/>
      </c>
      <c r="AA176" s="544">
        <v>164</v>
      </c>
      <c r="AB176" s="446"/>
      <c r="AF176" s="13">
        <f t="shared" si="3"/>
        <v>1</v>
      </c>
    </row>
    <row r="177" spans="1:32">
      <c r="A177" s="652">
        <v>168</v>
      </c>
      <c r="B177" s="958" t="s">
        <v>461</v>
      </c>
      <c r="C177" s="958"/>
      <c r="D177" s="980" t="str">
        <f>VLOOKUP($A177,'Pre-Assessment Estimator'!$A$10:$Z$227,D$2,FALSE)</f>
        <v>LE 04</v>
      </c>
      <c r="E177" s="981" t="str">
        <f>VLOOKUP($A177,'Pre-Assessment Estimator'!$A$10:$Z$227,E$2,FALSE)</f>
        <v>Ecological enhancement</v>
      </c>
      <c r="F177" s="443">
        <f>VLOOKUP($A177,'Pre-Assessment Estimator'!$A$10:$Z$227,F$2,FALSE)</f>
        <v>1</v>
      </c>
      <c r="G177" s="449" t="str">
        <f>IF(VLOOKUP($A177,'Pre-Assessment Estimator'!$A$10:$Z$227,G$2,FALSE)=0,"",VLOOKUP($A177,'Pre-Assessment Estimator'!$A$10:$Z$227,G$2,FALSE))</f>
        <v/>
      </c>
      <c r="H177" s="948">
        <f>VLOOKUP($A177,'Pre-Assessment Estimator'!$A$10:$Z$227,H$2,FALSE)</f>
        <v>0</v>
      </c>
      <c r="I177" s="445" t="str">
        <f>VLOOKUP($A177,'Pre-Assessment Estimator'!$A$10:$Z$227,I$2,FALSE)</f>
        <v>Excellent</v>
      </c>
      <c r="J177" s="446" t="str">
        <f>IF(VLOOKUP($A177,'Pre-Assessment Estimator'!$A$10:$Z$227,J$2,FALSE)=0,"",VLOOKUP($A177,'Pre-Assessment Estimator'!$A$10:$Z$227,J$2,FALSE))</f>
        <v/>
      </c>
      <c r="K177" s="446" t="str">
        <f>IF(VLOOKUP($A177,'Pre-Assessment Estimator'!$A$10:$Z$227,K$2,FALSE)=0,"",VLOOKUP($A177,'Pre-Assessment Estimator'!$A$10:$Z$227,K$2,FALSE))</f>
        <v/>
      </c>
      <c r="L177" s="447" t="str">
        <f>IF(VLOOKUP($A177,'Pre-Assessment Estimator'!$A$10:$Z$227,L$2,FALSE)=0,"",VLOOKUP($A177,'Pre-Assessment Estimator'!$A$10:$Z$227,L$2,FALSE))</f>
        <v/>
      </c>
      <c r="M177" s="448"/>
      <c r="N177" s="449" t="str">
        <f>IF(VLOOKUP($A177,'Pre-Assessment Estimator'!$A$10:$Z$227,N$2,FALSE)=0,"",VLOOKUP($A177,'Pre-Assessment Estimator'!$A$10:$Z$227,N$2,FALSE))</f>
        <v/>
      </c>
      <c r="O177" s="444">
        <f>VLOOKUP($A177,'Pre-Assessment Estimator'!$A$10:$Z$227,O$2,FALSE)</f>
        <v>0</v>
      </c>
      <c r="P177" s="443" t="str">
        <f>VLOOKUP($A177,'Pre-Assessment Estimator'!$A$10:$Z$227,P$2,FALSE)</f>
        <v>Excellent</v>
      </c>
      <c r="Q177" s="446" t="str">
        <f>IF(VLOOKUP($A177,'Pre-Assessment Estimator'!$A$10:$Z$227,Q$2,FALSE)=0,"",VLOOKUP($A177,'Pre-Assessment Estimator'!$A$10:$Z$227,Q$2,FALSE))</f>
        <v/>
      </c>
      <c r="R177" s="446" t="str">
        <f>IF(VLOOKUP($A177,'Pre-Assessment Estimator'!$A$10:$Z$227,R$2,FALSE)=0,"",VLOOKUP($A177,'Pre-Assessment Estimator'!$A$10:$Z$227,R$2,FALSE))</f>
        <v/>
      </c>
      <c r="S177" s="447" t="str">
        <f>IF(VLOOKUP($A177,'Pre-Assessment Estimator'!$A$10:$Z$227,S$2,FALSE)=0,"",VLOOKUP($A177,'Pre-Assessment Estimator'!$A$10:$Z$227,S$2,FALSE))</f>
        <v/>
      </c>
      <c r="T177" s="450"/>
      <c r="U177" s="449" t="str">
        <f>IF(VLOOKUP($A177,'Pre-Assessment Estimator'!$A$10:$Z$227,U$2,FALSE)=0,"",VLOOKUP($A177,'Pre-Assessment Estimator'!$A$10:$Z$227,U$2,FALSE))</f>
        <v/>
      </c>
      <c r="V177" s="444">
        <f>VLOOKUP($A177,'Pre-Assessment Estimator'!$A$10:$Z$227,V$2,FALSE)</f>
        <v>0</v>
      </c>
      <c r="W177" s="443" t="str">
        <f>VLOOKUP($A177,'Pre-Assessment Estimator'!$A$10:$Z$227,W$2,FALSE)</f>
        <v>Excellent</v>
      </c>
      <c r="X177" s="446" t="str">
        <f>IF(VLOOKUP($A177,'Pre-Assessment Estimator'!$A$10:$Z$227,X$2,FALSE)=0,"",VLOOKUP($A177,'Pre-Assessment Estimator'!$A$10:$Z$227,X$2,FALSE))</f>
        <v/>
      </c>
      <c r="Y177" s="446" t="str">
        <f>IF(VLOOKUP($A177,'Pre-Assessment Estimator'!$A$10:$Z$227,Y$2,FALSE)=0,"",VLOOKUP($A177,'Pre-Assessment Estimator'!$A$10:$Z$227,Y$2,FALSE))</f>
        <v/>
      </c>
      <c r="Z177" s="313" t="str">
        <f>IF(VLOOKUP($A177,'Pre-Assessment Estimator'!$A$10:$Z$227,Z$2,FALSE)=0,"",VLOOKUP($A177,'Pre-Assessment Estimator'!$A$10:$Z$227,Z$2,FALSE))</f>
        <v/>
      </c>
      <c r="AA177" s="544">
        <v>165</v>
      </c>
      <c r="AB177" s="446"/>
      <c r="AF177" s="13">
        <f t="shared" si="3"/>
        <v>1</v>
      </c>
    </row>
    <row r="178" spans="1:32">
      <c r="A178" s="652">
        <v>169</v>
      </c>
      <c r="B178" s="958" t="s">
        <v>461</v>
      </c>
      <c r="C178" s="958"/>
      <c r="D178" s="980" t="str">
        <f>VLOOKUP($A178,'Pre-Assessment Estimator'!$A$10:$Z$227,D$2,FALSE)</f>
        <v>LE 04</v>
      </c>
      <c r="E178" s="981" t="str">
        <f>VLOOKUP($A178,'Pre-Assessment Estimator'!$A$10:$Z$227,E$2,FALSE)</f>
        <v>Calculation of change in biodiversity</v>
      </c>
      <c r="F178" s="443">
        <f>VLOOKUP($A178,'Pre-Assessment Estimator'!$A$10:$Z$227,F$2,FALSE)</f>
        <v>3</v>
      </c>
      <c r="G178" s="449" t="str">
        <f>IF(VLOOKUP($A178,'Pre-Assessment Estimator'!$A$10:$Z$227,G$2,FALSE)=0,"",VLOOKUP($A178,'Pre-Assessment Estimator'!$A$10:$Z$227,G$2,FALSE))</f>
        <v/>
      </c>
      <c r="H178" s="948">
        <f>VLOOKUP($A178,'Pre-Assessment Estimator'!$A$10:$Z$227,H$2,FALSE)</f>
        <v>0</v>
      </c>
      <c r="I178" s="445" t="str">
        <f>VLOOKUP($A178,'Pre-Assessment Estimator'!$A$10:$Z$227,I$2,FALSE)</f>
        <v>N/A</v>
      </c>
      <c r="J178" s="446" t="str">
        <f>IF(VLOOKUP($A178,'Pre-Assessment Estimator'!$A$10:$Z$227,J$2,FALSE)=0,"",VLOOKUP($A178,'Pre-Assessment Estimator'!$A$10:$Z$227,J$2,FALSE))</f>
        <v/>
      </c>
      <c r="K178" s="446" t="str">
        <f>IF(VLOOKUP($A178,'Pre-Assessment Estimator'!$A$10:$Z$227,K$2,FALSE)=0,"",VLOOKUP($A178,'Pre-Assessment Estimator'!$A$10:$Z$227,K$2,FALSE))</f>
        <v/>
      </c>
      <c r="L178" s="447" t="str">
        <f>IF(VLOOKUP($A178,'Pre-Assessment Estimator'!$A$10:$Z$227,L$2,FALSE)=0,"",VLOOKUP($A178,'Pre-Assessment Estimator'!$A$10:$Z$227,L$2,FALSE))</f>
        <v/>
      </c>
      <c r="M178" s="448"/>
      <c r="N178" s="449" t="str">
        <f>IF(VLOOKUP($A178,'Pre-Assessment Estimator'!$A$10:$Z$227,N$2,FALSE)=0,"",VLOOKUP($A178,'Pre-Assessment Estimator'!$A$10:$Z$227,N$2,FALSE))</f>
        <v/>
      </c>
      <c r="O178" s="444">
        <f>VLOOKUP($A178,'Pre-Assessment Estimator'!$A$10:$Z$227,O$2,FALSE)</f>
        <v>0</v>
      </c>
      <c r="P178" s="443" t="str">
        <f>VLOOKUP($A178,'Pre-Assessment Estimator'!$A$10:$Z$227,P$2,FALSE)</f>
        <v>N/A</v>
      </c>
      <c r="Q178" s="446" t="str">
        <f>IF(VLOOKUP($A178,'Pre-Assessment Estimator'!$A$10:$Z$227,Q$2,FALSE)=0,"",VLOOKUP($A178,'Pre-Assessment Estimator'!$A$10:$Z$227,Q$2,FALSE))</f>
        <v/>
      </c>
      <c r="R178" s="446" t="str">
        <f>IF(VLOOKUP($A178,'Pre-Assessment Estimator'!$A$10:$Z$227,R$2,FALSE)=0,"",VLOOKUP($A178,'Pre-Assessment Estimator'!$A$10:$Z$227,R$2,FALSE))</f>
        <v/>
      </c>
      <c r="S178" s="447" t="str">
        <f>IF(VLOOKUP($A178,'Pre-Assessment Estimator'!$A$10:$Z$227,S$2,FALSE)=0,"",VLOOKUP($A178,'Pre-Assessment Estimator'!$A$10:$Z$227,S$2,FALSE))</f>
        <v/>
      </c>
      <c r="T178" s="450"/>
      <c r="U178" s="449" t="str">
        <f>IF(VLOOKUP($A178,'Pre-Assessment Estimator'!$A$10:$Z$227,U$2,FALSE)=0,"",VLOOKUP($A178,'Pre-Assessment Estimator'!$A$10:$Z$227,U$2,FALSE))</f>
        <v/>
      </c>
      <c r="V178" s="444">
        <f>VLOOKUP($A178,'Pre-Assessment Estimator'!$A$10:$Z$227,V$2,FALSE)</f>
        <v>0</v>
      </c>
      <c r="W178" s="443" t="str">
        <f>VLOOKUP($A178,'Pre-Assessment Estimator'!$A$10:$Z$227,W$2,FALSE)</f>
        <v>N/A</v>
      </c>
      <c r="X178" s="446" t="str">
        <f>IF(VLOOKUP($A178,'Pre-Assessment Estimator'!$A$10:$Z$227,X$2,FALSE)=0,"",VLOOKUP($A178,'Pre-Assessment Estimator'!$A$10:$Z$227,X$2,FALSE))</f>
        <v/>
      </c>
      <c r="Y178" s="446" t="str">
        <f>IF(VLOOKUP($A178,'Pre-Assessment Estimator'!$A$10:$Z$227,Y$2,FALSE)=0,"",VLOOKUP($A178,'Pre-Assessment Estimator'!$A$10:$Z$227,Y$2,FALSE))</f>
        <v/>
      </c>
      <c r="Z178" s="313" t="str">
        <f>IF(VLOOKUP($A178,'Pre-Assessment Estimator'!$A$10:$Z$227,Z$2,FALSE)=0,"",VLOOKUP($A178,'Pre-Assessment Estimator'!$A$10:$Z$227,Z$2,FALSE))</f>
        <v/>
      </c>
      <c r="AA178" s="544">
        <v>166</v>
      </c>
      <c r="AB178" s="446" t="str">
        <f>IF(VLOOKUP($A178,'Pre-Assessment Estimator'!$A$10:$AB$227,AB$2,FALSE)=0,"",VLOOKUP($A178,'Pre-Assessment Estimator'!$A$10:$AB$227,AB$2,FALSE))</f>
        <v/>
      </c>
      <c r="AF178" s="13">
        <f t="shared" si="3"/>
        <v>1</v>
      </c>
    </row>
    <row r="179" spans="1:32">
      <c r="A179" s="652">
        <v>170</v>
      </c>
      <c r="B179" s="958" t="s">
        <v>461</v>
      </c>
      <c r="C179" s="958"/>
      <c r="D179" s="979" t="str">
        <f>VLOOKUP($A179,'Pre-Assessment Estimator'!$A$10:$Z$227,D$2,FALSE)</f>
        <v>LE 05</v>
      </c>
      <c r="E179" s="979" t="str">
        <f>VLOOKUP($A179,'Pre-Assessment Estimator'!$A$10:$Z$227,E$2,FALSE)</f>
        <v>LE 05 Long term ecology management and maintenance</v>
      </c>
      <c r="F179" s="443">
        <f>VLOOKUP($A179,'Pre-Assessment Estimator'!$A$10:$Z$227,F$2,FALSE)</f>
        <v>2</v>
      </c>
      <c r="G179" s="449" t="str">
        <f>IF(VLOOKUP($A179,'Pre-Assessment Estimator'!$A$10:$Z$227,G$2,FALSE)=0,"",VLOOKUP($A179,'Pre-Assessment Estimator'!$A$10:$Z$227,G$2,FALSE))</f>
        <v/>
      </c>
      <c r="H179" s="948" t="str">
        <f>VLOOKUP($A179,'Pre-Assessment Estimator'!$A$10:$Z$227,H$2,FALSE)</f>
        <v>0 c. 0 %</v>
      </c>
      <c r="I179" s="445" t="str">
        <f>VLOOKUP($A179,'Pre-Assessment Estimator'!$A$10:$Z$227,I$2,FALSE)</f>
        <v>N/A</v>
      </c>
      <c r="J179" s="446" t="str">
        <f>IF(VLOOKUP($A179,'Pre-Assessment Estimator'!$A$10:$Z$227,J$2,FALSE)=0,"",VLOOKUP($A179,'Pre-Assessment Estimator'!$A$10:$Z$227,J$2,FALSE))</f>
        <v/>
      </c>
      <c r="K179" s="446" t="str">
        <f>IF(VLOOKUP($A179,'Pre-Assessment Estimator'!$A$10:$Z$227,K$2,FALSE)=0,"",VLOOKUP($A179,'Pre-Assessment Estimator'!$A$10:$Z$227,K$2,FALSE))</f>
        <v/>
      </c>
      <c r="L179" s="447" t="str">
        <f>IF(VLOOKUP($A179,'Pre-Assessment Estimator'!$A$10:$Z$227,L$2,FALSE)=0,"",VLOOKUP($A179,'Pre-Assessment Estimator'!$A$10:$Z$227,L$2,FALSE))</f>
        <v/>
      </c>
      <c r="M179" s="448"/>
      <c r="N179" s="449" t="str">
        <f>IF(VLOOKUP($A179,'Pre-Assessment Estimator'!$A$10:$Z$227,N$2,FALSE)=0,"",VLOOKUP($A179,'Pre-Assessment Estimator'!$A$10:$Z$227,N$2,FALSE))</f>
        <v/>
      </c>
      <c r="O179" s="444" t="str">
        <f>VLOOKUP($A179,'Pre-Assessment Estimator'!$A$10:$Z$227,O$2,FALSE)</f>
        <v>0 c. 0 %</v>
      </c>
      <c r="P179" s="443" t="str">
        <f>VLOOKUP($A179,'Pre-Assessment Estimator'!$A$10:$Z$227,P$2,FALSE)</f>
        <v>N/A</v>
      </c>
      <c r="Q179" s="446" t="str">
        <f>IF(VLOOKUP($A179,'Pre-Assessment Estimator'!$A$10:$Z$227,Q$2,FALSE)=0,"",VLOOKUP($A179,'Pre-Assessment Estimator'!$A$10:$Z$227,Q$2,FALSE))</f>
        <v/>
      </c>
      <c r="R179" s="446" t="str">
        <f>IF(VLOOKUP($A179,'Pre-Assessment Estimator'!$A$10:$Z$227,R$2,FALSE)=0,"",VLOOKUP($A179,'Pre-Assessment Estimator'!$A$10:$Z$227,R$2,FALSE))</f>
        <v/>
      </c>
      <c r="S179" s="447" t="str">
        <f>IF(VLOOKUP($A179,'Pre-Assessment Estimator'!$A$10:$Z$227,S$2,FALSE)=0,"",VLOOKUP($A179,'Pre-Assessment Estimator'!$A$10:$Z$227,S$2,FALSE))</f>
        <v/>
      </c>
      <c r="T179" s="450"/>
      <c r="U179" s="449" t="str">
        <f>IF(VLOOKUP($A179,'Pre-Assessment Estimator'!$A$10:$Z$227,U$2,FALSE)=0,"",VLOOKUP($A179,'Pre-Assessment Estimator'!$A$10:$Z$227,U$2,FALSE))</f>
        <v/>
      </c>
      <c r="V179" s="444" t="str">
        <f>VLOOKUP($A179,'Pre-Assessment Estimator'!$A$10:$Z$227,V$2,FALSE)</f>
        <v>0 c. 0 %</v>
      </c>
      <c r="W179" s="443" t="str">
        <f>VLOOKUP($A179,'Pre-Assessment Estimator'!$A$10:$Z$227,W$2,FALSE)</f>
        <v>N/A</v>
      </c>
      <c r="X179" s="446" t="str">
        <f>IF(VLOOKUP($A179,'Pre-Assessment Estimator'!$A$10:$Z$227,X$2,FALSE)=0,"",VLOOKUP($A179,'Pre-Assessment Estimator'!$A$10:$Z$227,X$2,FALSE))</f>
        <v/>
      </c>
      <c r="Y179" s="446" t="str">
        <f>IF(VLOOKUP($A179,'Pre-Assessment Estimator'!$A$10:$Z$227,Y$2,FALSE)=0,"",VLOOKUP($A179,'Pre-Assessment Estimator'!$A$10:$Z$227,Y$2,FALSE))</f>
        <v/>
      </c>
      <c r="Z179" s="313" t="str">
        <f>IF(VLOOKUP($A179,'Pre-Assessment Estimator'!$A$10:$Z$227,Z$2,FALSE)=0,"",VLOOKUP($A179,'Pre-Assessment Estimator'!$A$10:$Z$227,Z$2,FALSE))</f>
        <v/>
      </c>
      <c r="AA179" s="544">
        <v>167</v>
      </c>
      <c r="AB179" s="446" t="str">
        <f>IF(VLOOKUP($A179,'Pre-Assessment Estimator'!$A$10:$AB$227,AB$2,FALSE)=0,"",VLOOKUP($A179,'Pre-Assessment Estimator'!$A$10:$AB$227,AB$2,FALSE))</f>
        <v/>
      </c>
      <c r="AF179" s="13">
        <f t="shared" si="3"/>
        <v>1</v>
      </c>
    </row>
    <row r="180" spans="1:32" ht="30">
      <c r="A180" s="652">
        <v>171</v>
      </c>
      <c r="B180" s="958" t="s">
        <v>461</v>
      </c>
      <c r="C180" s="958"/>
      <c r="D180" s="980" t="str">
        <f>VLOOKUP($A180,'Pre-Assessment Estimator'!$A$10:$Z$227,D$2,FALSE)</f>
        <v>LE 05</v>
      </c>
      <c r="E180" s="981" t="str">
        <f>VLOOKUP($A180,'Pre-Assessment Estimator'!$A$10:$Z$227,E$2,FALSE)</f>
        <v>Pre-requisite: statutory obligations, planning and site implementation</v>
      </c>
      <c r="F180" s="443" t="str">
        <f>VLOOKUP($A180,'Pre-Assessment Estimator'!$A$10:$Z$227,F$2,FALSE)</f>
        <v>Yes/No</v>
      </c>
      <c r="G180" s="449" t="str">
        <f>IF(VLOOKUP($A180,'Pre-Assessment Estimator'!$A$10:$Z$227,G$2,FALSE)=0,"",VLOOKUP($A180,'Pre-Assessment Estimator'!$A$10:$Z$227,G$2,FALSE))</f>
        <v/>
      </c>
      <c r="H180" s="948" t="str">
        <f>VLOOKUP($A180,'Pre-Assessment Estimator'!$A$10:$Z$227,H$2,FALSE)</f>
        <v>-</v>
      </c>
      <c r="I180" s="445" t="str">
        <f>VLOOKUP($A180,'Pre-Assessment Estimator'!$A$10:$Z$227,I$2,FALSE)</f>
        <v>N/A</v>
      </c>
      <c r="J180" s="446" t="str">
        <f>IF(VLOOKUP($A180,'Pre-Assessment Estimator'!$A$10:$Z$227,J$2,FALSE)=0,"",VLOOKUP($A180,'Pre-Assessment Estimator'!$A$10:$Z$227,J$2,FALSE))</f>
        <v/>
      </c>
      <c r="K180" s="446" t="str">
        <f>IF(VLOOKUP($A180,'Pre-Assessment Estimator'!$A$10:$Z$227,K$2,FALSE)=0,"",VLOOKUP($A180,'Pre-Assessment Estimator'!$A$10:$Z$227,K$2,FALSE))</f>
        <v/>
      </c>
      <c r="L180" s="447" t="str">
        <f>IF(VLOOKUP($A180,'Pre-Assessment Estimator'!$A$10:$Z$227,L$2,FALSE)=0,"",VLOOKUP($A180,'Pre-Assessment Estimator'!$A$10:$Z$227,L$2,FALSE))</f>
        <v/>
      </c>
      <c r="M180" s="448"/>
      <c r="N180" s="449" t="str">
        <f>IF(VLOOKUP($A180,'Pre-Assessment Estimator'!$A$10:$Z$227,N$2,FALSE)=0,"",VLOOKUP($A180,'Pre-Assessment Estimator'!$A$10:$Z$227,N$2,FALSE))</f>
        <v/>
      </c>
      <c r="O180" s="444" t="str">
        <f>VLOOKUP($A180,'Pre-Assessment Estimator'!$A$10:$Z$227,O$2,FALSE)</f>
        <v>-</v>
      </c>
      <c r="P180" s="443" t="str">
        <f>VLOOKUP($A180,'Pre-Assessment Estimator'!$A$10:$Z$227,P$2,FALSE)</f>
        <v>N/A</v>
      </c>
      <c r="Q180" s="446" t="str">
        <f>IF(VLOOKUP($A180,'Pre-Assessment Estimator'!$A$10:$Z$227,Q$2,FALSE)=0,"",VLOOKUP($A180,'Pre-Assessment Estimator'!$A$10:$Z$227,Q$2,FALSE))</f>
        <v/>
      </c>
      <c r="R180" s="446" t="str">
        <f>IF(VLOOKUP($A180,'Pre-Assessment Estimator'!$A$10:$Z$227,R$2,FALSE)=0,"",VLOOKUP($A180,'Pre-Assessment Estimator'!$A$10:$Z$227,R$2,FALSE))</f>
        <v/>
      </c>
      <c r="S180" s="447" t="str">
        <f>IF(VLOOKUP($A180,'Pre-Assessment Estimator'!$A$10:$Z$227,S$2,FALSE)=0,"",VLOOKUP($A180,'Pre-Assessment Estimator'!$A$10:$Z$227,S$2,FALSE))</f>
        <v/>
      </c>
      <c r="T180" s="450"/>
      <c r="U180" s="449" t="str">
        <f>IF(VLOOKUP($A180,'Pre-Assessment Estimator'!$A$10:$Z$227,U$2,FALSE)=0,"",VLOOKUP($A180,'Pre-Assessment Estimator'!$A$10:$Z$227,U$2,FALSE))</f>
        <v/>
      </c>
      <c r="V180" s="444" t="str">
        <f>VLOOKUP($A180,'Pre-Assessment Estimator'!$A$10:$Z$227,V$2,FALSE)</f>
        <v>-</v>
      </c>
      <c r="W180" s="443" t="str">
        <f>VLOOKUP($A180,'Pre-Assessment Estimator'!$A$10:$Z$227,W$2,FALSE)</f>
        <v>N/A</v>
      </c>
      <c r="X180" s="446" t="str">
        <f>IF(VLOOKUP($A180,'Pre-Assessment Estimator'!$A$10:$Z$227,X$2,FALSE)=0,"",VLOOKUP($A180,'Pre-Assessment Estimator'!$A$10:$Z$227,X$2,FALSE))</f>
        <v/>
      </c>
      <c r="Y180" s="446" t="str">
        <f>IF(VLOOKUP($A180,'Pre-Assessment Estimator'!$A$10:$Z$227,Y$2,FALSE)=0,"",VLOOKUP($A180,'Pre-Assessment Estimator'!$A$10:$Z$227,Y$2,FALSE))</f>
        <v/>
      </c>
      <c r="Z180" s="313" t="str">
        <f>IF(VLOOKUP($A180,'Pre-Assessment Estimator'!$A$10:$Z$227,Z$2,FALSE)=0,"",VLOOKUP($A180,'Pre-Assessment Estimator'!$A$10:$Z$227,Z$2,FALSE))</f>
        <v/>
      </c>
      <c r="AA180" s="544">
        <v>168</v>
      </c>
      <c r="AB180" s="446" t="str">
        <f>IF(VLOOKUP($A180,'Pre-Assessment Estimator'!$A$10:$AB$227,AB$2,FALSE)=0,"",VLOOKUP($A180,'Pre-Assessment Estimator'!$A$10:$AB$227,AB$2,FALSE))</f>
        <v/>
      </c>
      <c r="AF180" s="13">
        <f t="shared" si="3"/>
        <v>1</v>
      </c>
    </row>
    <row r="181" spans="1:32">
      <c r="A181" s="652">
        <v>172</v>
      </c>
      <c r="B181" s="958" t="s">
        <v>461</v>
      </c>
      <c r="C181" s="958"/>
      <c r="D181" s="980" t="str">
        <f>VLOOKUP($A181,'Pre-Assessment Estimator'!$A$10:$Z$227,D$2,FALSE)</f>
        <v>LE 05</v>
      </c>
      <c r="E181" s="981" t="str">
        <f>VLOOKUP($A181,'Pre-Assessment Estimator'!$A$10:$Z$227,E$2,FALSE)</f>
        <v>Management and maintenance throughout the project</v>
      </c>
      <c r="F181" s="443">
        <f>VLOOKUP($A181,'Pre-Assessment Estimator'!$A$10:$Z$227,F$2,FALSE)</f>
        <v>1</v>
      </c>
      <c r="G181" s="449" t="str">
        <f>IF(VLOOKUP($A181,'Pre-Assessment Estimator'!$A$10:$Z$227,G$2,FALSE)=0,"",VLOOKUP($A181,'Pre-Assessment Estimator'!$A$10:$Z$227,G$2,FALSE))</f>
        <v/>
      </c>
      <c r="H181" s="948">
        <f>VLOOKUP($A181,'Pre-Assessment Estimator'!$A$10:$Z$227,H$2,FALSE)</f>
        <v>0</v>
      </c>
      <c r="I181" s="445" t="str">
        <f>VLOOKUP($A181,'Pre-Assessment Estimator'!$A$10:$Z$227,I$2,FALSE)</f>
        <v>N/A</v>
      </c>
      <c r="J181" s="446" t="str">
        <f>IF(VLOOKUP($A181,'Pre-Assessment Estimator'!$A$10:$Z$227,J$2,FALSE)=0,"",VLOOKUP($A181,'Pre-Assessment Estimator'!$A$10:$Z$227,J$2,FALSE))</f>
        <v/>
      </c>
      <c r="K181" s="446" t="str">
        <f>IF(VLOOKUP($A181,'Pre-Assessment Estimator'!$A$10:$Z$227,K$2,FALSE)=0,"",VLOOKUP($A181,'Pre-Assessment Estimator'!$A$10:$Z$227,K$2,FALSE))</f>
        <v/>
      </c>
      <c r="L181" s="447" t="str">
        <f>IF(VLOOKUP($A181,'Pre-Assessment Estimator'!$A$10:$Z$227,L$2,FALSE)=0,"",VLOOKUP($A181,'Pre-Assessment Estimator'!$A$10:$Z$227,L$2,FALSE))</f>
        <v/>
      </c>
      <c r="M181" s="448"/>
      <c r="N181" s="449" t="str">
        <f>IF(VLOOKUP($A181,'Pre-Assessment Estimator'!$A$10:$Z$227,N$2,FALSE)=0,"",VLOOKUP($A181,'Pre-Assessment Estimator'!$A$10:$Z$227,N$2,FALSE))</f>
        <v/>
      </c>
      <c r="O181" s="444">
        <f>VLOOKUP($A181,'Pre-Assessment Estimator'!$A$10:$Z$227,O$2,FALSE)</f>
        <v>0</v>
      </c>
      <c r="P181" s="443" t="str">
        <f>VLOOKUP($A181,'Pre-Assessment Estimator'!$A$10:$Z$227,P$2,FALSE)</f>
        <v>N/A</v>
      </c>
      <c r="Q181" s="446" t="str">
        <f>IF(VLOOKUP($A181,'Pre-Assessment Estimator'!$A$10:$Z$227,Q$2,FALSE)=0,"",VLOOKUP($A181,'Pre-Assessment Estimator'!$A$10:$Z$227,Q$2,FALSE))</f>
        <v/>
      </c>
      <c r="R181" s="446" t="str">
        <f>IF(VLOOKUP($A181,'Pre-Assessment Estimator'!$A$10:$Z$227,R$2,FALSE)=0,"",VLOOKUP($A181,'Pre-Assessment Estimator'!$A$10:$Z$227,R$2,FALSE))</f>
        <v/>
      </c>
      <c r="S181" s="447" t="str">
        <f>IF(VLOOKUP($A181,'Pre-Assessment Estimator'!$A$10:$Z$227,S$2,FALSE)=0,"",VLOOKUP($A181,'Pre-Assessment Estimator'!$A$10:$Z$227,S$2,FALSE))</f>
        <v/>
      </c>
      <c r="T181" s="450"/>
      <c r="U181" s="449" t="str">
        <f>IF(VLOOKUP($A181,'Pre-Assessment Estimator'!$A$10:$Z$227,U$2,FALSE)=0,"",VLOOKUP($A181,'Pre-Assessment Estimator'!$A$10:$Z$227,U$2,FALSE))</f>
        <v/>
      </c>
      <c r="V181" s="444">
        <f>VLOOKUP($A181,'Pre-Assessment Estimator'!$A$10:$Z$227,V$2,FALSE)</f>
        <v>0</v>
      </c>
      <c r="W181" s="443" t="str">
        <f>VLOOKUP($A181,'Pre-Assessment Estimator'!$A$10:$Z$227,W$2,FALSE)</f>
        <v>N/A</v>
      </c>
      <c r="X181" s="446" t="str">
        <f>IF(VLOOKUP($A181,'Pre-Assessment Estimator'!$A$10:$Z$227,X$2,FALSE)=0,"",VLOOKUP($A181,'Pre-Assessment Estimator'!$A$10:$Z$227,X$2,FALSE))</f>
        <v/>
      </c>
      <c r="Y181" s="446" t="str">
        <f>IF(VLOOKUP($A181,'Pre-Assessment Estimator'!$A$10:$Z$227,Y$2,FALSE)=0,"",VLOOKUP($A181,'Pre-Assessment Estimator'!$A$10:$Z$227,Y$2,FALSE))</f>
        <v/>
      </c>
      <c r="Z181" s="313" t="str">
        <f>IF(VLOOKUP($A181,'Pre-Assessment Estimator'!$A$10:$Z$227,Z$2,FALSE)=0,"",VLOOKUP($A181,'Pre-Assessment Estimator'!$A$10:$Z$227,Z$2,FALSE))</f>
        <v/>
      </c>
      <c r="AA181" s="544">
        <v>169</v>
      </c>
      <c r="AB181" s="446"/>
      <c r="AF181" s="13">
        <f t="shared" si="3"/>
        <v>1</v>
      </c>
    </row>
    <row r="182" spans="1:32">
      <c r="A182" s="652">
        <v>173</v>
      </c>
      <c r="B182" s="958" t="s">
        <v>461</v>
      </c>
      <c r="C182" s="958"/>
      <c r="D182" s="980" t="str">
        <f>VLOOKUP($A182,'Pre-Assessment Estimator'!$A$10:$Z$227,D$2,FALSE)</f>
        <v>LE 05</v>
      </c>
      <c r="E182" s="981" t="str">
        <f>VLOOKUP($A182,'Pre-Assessment Estimator'!$A$10:$Z$227,E$2,FALSE)</f>
        <v>Landscape and ecology management plan</v>
      </c>
      <c r="F182" s="443">
        <f>VLOOKUP($A182,'Pre-Assessment Estimator'!$A$10:$Z$227,F$2,FALSE)</f>
        <v>1</v>
      </c>
      <c r="G182" s="449" t="str">
        <f>IF(VLOOKUP($A182,'Pre-Assessment Estimator'!$A$10:$Z$227,G$2,FALSE)=0,"",VLOOKUP($A182,'Pre-Assessment Estimator'!$A$10:$Z$227,G$2,FALSE))</f>
        <v/>
      </c>
      <c r="H182" s="948">
        <f>VLOOKUP($A182,'Pre-Assessment Estimator'!$A$10:$Z$227,H$2,FALSE)</f>
        <v>0</v>
      </c>
      <c r="I182" s="445" t="str">
        <f>VLOOKUP($A182,'Pre-Assessment Estimator'!$A$10:$Z$227,I$2,FALSE)</f>
        <v>N/A</v>
      </c>
      <c r="J182" s="446" t="str">
        <f>IF(VLOOKUP($A182,'Pre-Assessment Estimator'!$A$10:$Z$227,J$2,FALSE)=0,"",VLOOKUP($A182,'Pre-Assessment Estimator'!$A$10:$Z$227,J$2,FALSE))</f>
        <v/>
      </c>
      <c r="K182" s="446" t="str">
        <f>IF(VLOOKUP($A182,'Pre-Assessment Estimator'!$A$10:$Z$227,K$2,FALSE)=0,"",VLOOKUP($A182,'Pre-Assessment Estimator'!$A$10:$Z$227,K$2,FALSE))</f>
        <v/>
      </c>
      <c r="L182" s="447" t="str">
        <f>IF(VLOOKUP($A182,'Pre-Assessment Estimator'!$A$10:$Z$227,L$2,FALSE)=0,"",VLOOKUP($A182,'Pre-Assessment Estimator'!$A$10:$Z$227,L$2,FALSE))</f>
        <v/>
      </c>
      <c r="M182" s="448"/>
      <c r="N182" s="449" t="str">
        <f>IF(VLOOKUP($A182,'Pre-Assessment Estimator'!$A$10:$Z$227,N$2,FALSE)=0,"",VLOOKUP($A182,'Pre-Assessment Estimator'!$A$10:$Z$227,N$2,FALSE))</f>
        <v/>
      </c>
      <c r="O182" s="444">
        <f>VLOOKUP($A182,'Pre-Assessment Estimator'!$A$10:$Z$227,O$2,FALSE)</f>
        <v>0</v>
      </c>
      <c r="P182" s="443" t="str">
        <f>VLOOKUP($A182,'Pre-Assessment Estimator'!$A$10:$Z$227,P$2,FALSE)</f>
        <v>N/A</v>
      </c>
      <c r="Q182" s="446" t="str">
        <f>IF(VLOOKUP($A182,'Pre-Assessment Estimator'!$A$10:$Z$227,Q$2,FALSE)=0,"",VLOOKUP($A182,'Pre-Assessment Estimator'!$A$10:$Z$227,Q$2,FALSE))</f>
        <v/>
      </c>
      <c r="R182" s="446" t="str">
        <f>IF(VLOOKUP($A182,'Pre-Assessment Estimator'!$A$10:$Z$227,R$2,FALSE)=0,"",VLOOKUP($A182,'Pre-Assessment Estimator'!$A$10:$Z$227,R$2,FALSE))</f>
        <v/>
      </c>
      <c r="S182" s="447" t="str">
        <f>IF(VLOOKUP($A182,'Pre-Assessment Estimator'!$A$10:$Z$227,S$2,FALSE)=0,"",VLOOKUP($A182,'Pre-Assessment Estimator'!$A$10:$Z$227,S$2,FALSE))</f>
        <v/>
      </c>
      <c r="T182" s="450"/>
      <c r="U182" s="449" t="str">
        <f>IF(VLOOKUP($A182,'Pre-Assessment Estimator'!$A$10:$Z$227,U$2,FALSE)=0,"",VLOOKUP($A182,'Pre-Assessment Estimator'!$A$10:$Z$227,U$2,FALSE))</f>
        <v/>
      </c>
      <c r="V182" s="444">
        <f>VLOOKUP($A182,'Pre-Assessment Estimator'!$A$10:$Z$227,V$2,FALSE)</f>
        <v>0</v>
      </c>
      <c r="W182" s="443" t="str">
        <f>VLOOKUP($A182,'Pre-Assessment Estimator'!$A$10:$Z$227,W$2,FALSE)</f>
        <v>N/A</v>
      </c>
      <c r="X182" s="446" t="str">
        <f>IF(VLOOKUP($A182,'Pre-Assessment Estimator'!$A$10:$Z$227,X$2,FALSE)=0,"",VLOOKUP($A182,'Pre-Assessment Estimator'!$A$10:$Z$227,X$2,FALSE))</f>
        <v/>
      </c>
      <c r="Y182" s="446" t="str">
        <f>IF(VLOOKUP($A182,'Pre-Assessment Estimator'!$A$10:$Z$227,Y$2,FALSE)=0,"",VLOOKUP($A182,'Pre-Assessment Estimator'!$A$10:$Z$227,Y$2,FALSE))</f>
        <v/>
      </c>
      <c r="Z182" s="313" t="str">
        <f>IF(VLOOKUP($A182,'Pre-Assessment Estimator'!$A$10:$Z$227,Z$2,FALSE)=0,"",VLOOKUP($A182,'Pre-Assessment Estimator'!$A$10:$Z$227,Z$2,FALSE))</f>
        <v/>
      </c>
      <c r="AA182" s="544">
        <v>170</v>
      </c>
      <c r="AB182" s="446"/>
      <c r="AF182" s="13">
        <f t="shared" si="3"/>
        <v>1</v>
      </c>
    </row>
    <row r="183" spans="1:32">
      <c r="A183" s="652">
        <v>174</v>
      </c>
      <c r="B183" s="958" t="s">
        <v>461</v>
      </c>
      <c r="C183" s="958"/>
      <c r="D183" s="979" t="str">
        <f>VLOOKUP($A183,'Pre-Assessment Estimator'!$A$10:$Z$227,D$2,FALSE)</f>
        <v>LE 06</v>
      </c>
      <c r="E183" s="979" t="str">
        <f>VLOOKUP($A183,'Pre-Assessment Estimator'!$A$10:$Z$227,E$2,FALSE)</f>
        <v>LE 06 Climate adaption</v>
      </c>
      <c r="F183" s="443">
        <f>VLOOKUP($A183,'Pre-Assessment Estimator'!$A$10:$Z$227,F$2,FALSE)</f>
        <v>1</v>
      </c>
      <c r="G183" s="449" t="str">
        <f>IF(VLOOKUP($A183,'Pre-Assessment Estimator'!$A$10:$Z$227,G$2,FALSE)=0,"",VLOOKUP($A183,'Pre-Assessment Estimator'!$A$10:$Z$227,G$2,FALSE))</f>
        <v/>
      </c>
      <c r="H183" s="948" t="str">
        <f>VLOOKUP($A183,'Pre-Assessment Estimator'!$A$10:$Z$227,H$2,FALSE)</f>
        <v>0 c. 0 %</v>
      </c>
      <c r="I183" s="445" t="str">
        <f>VLOOKUP($A183,'Pre-Assessment Estimator'!$A$10:$Z$227,I$2,FALSE)</f>
        <v>N/A</v>
      </c>
      <c r="J183" s="446" t="str">
        <f>IF(VLOOKUP($A183,'Pre-Assessment Estimator'!$A$10:$Z$227,J$2,FALSE)=0,"",VLOOKUP($A183,'Pre-Assessment Estimator'!$A$10:$Z$227,J$2,FALSE))</f>
        <v/>
      </c>
      <c r="K183" s="446" t="str">
        <f>IF(VLOOKUP($A183,'Pre-Assessment Estimator'!$A$10:$Z$227,K$2,FALSE)=0,"",VLOOKUP($A183,'Pre-Assessment Estimator'!$A$10:$Z$227,K$2,FALSE))</f>
        <v/>
      </c>
      <c r="L183" s="447" t="str">
        <f>IF(VLOOKUP($A183,'Pre-Assessment Estimator'!$A$10:$Z$227,L$2,FALSE)=0,"",VLOOKUP($A183,'Pre-Assessment Estimator'!$A$10:$Z$227,L$2,FALSE))</f>
        <v/>
      </c>
      <c r="M183" s="448"/>
      <c r="N183" s="449" t="str">
        <f>IF(VLOOKUP($A183,'Pre-Assessment Estimator'!$A$10:$Z$227,N$2,FALSE)=0,"",VLOOKUP($A183,'Pre-Assessment Estimator'!$A$10:$Z$227,N$2,FALSE))</f>
        <v/>
      </c>
      <c r="O183" s="444" t="str">
        <f>VLOOKUP($A183,'Pre-Assessment Estimator'!$A$10:$Z$227,O$2,FALSE)</f>
        <v>0 c. 0 %</v>
      </c>
      <c r="P183" s="443" t="str">
        <f>VLOOKUP($A183,'Pre-Assessment Estimator'!$A$10:$Z$227,P$2,FALSE)</f>
        <v>N/A</v>
      </c>
      <c r="Q183" s="446" t="str">
        <f>IF(VLOOKUP($A183,'Pre-Assessment Estimator'!$A$10:$Z$227,Q$2,FALSE)=0,"",VLOOKUP($A183,'Pre-Assessment Estimator'!$A$10:$Z$227,Q$2,FALSE))</f>
        <v/>
      </c>
      <c r="R183" s="446" t="str">
        <f>IF(VLOOKUP($A183,'Pre-Assessment Estimator'!$A$10:$Z$227,R$2,FALSE)=0,"",VLOOKUP($A183,'Pre-Assessment Estimator'!$A$10:$Z$227,R$2,FALSE))</f>
        <v/>
      </c>
      <c r="S183" s="447" t="str">
        <f>IF(VLOOKUP($A183,'Pre-Assessment Estimator'!$A$10:$Z$227,S$2,FALSE)=0,"",VLOOKUP($A183,'Pre-Assessment Estimator'!$A$10:$Z$227,S$2,FALSE))</f>
        <v/>
      </c>
      <c r="T183" s="450"/>
      <c r="U183" s="449" t="str">
        <f>IF(VLOOKUP($A183,'Pre-Assessment Estimator'!$A$10:$Z$227,U$2,FALSE)=0,"",VLOOKUP($A183,'Pre-Assessment Estimator'!$A$10:$Z$227,U$2,FALSE))</f>
        <v/>
      </c>
      <c r="V183" s="444" t="str">
        <f>VLOOKUP($A183,'Pre-Assessment Estimator'!$A$10:$Z$227,V$2,FALSE)</f>
        <v>0 c. 0 %</v>
      </c>
      <c r="W183" s="443" t="str">
        <f>VLOOKUP($A183,'Pre-Assessment Estimator'!$A$10:$Z$227,W$2,FALSE)</f>
        <v>N/A</v>
      </c>
      <c r="X183" s="446" t="str">
        <f>IF(VLOOKUP($A183,'Pre-Assessment Estimator'!$A$10:$Z$227,X$2,FALSE)=0,"",VLOOKUP($A183,'Pre-Assessment Estimator'!$A$10:$Z$227,X$2,FALSE))</f>
        <v/>
      </c>
      <c r="Y183" s="446" t="str">
        <f>IF(VLOOKUP($A183,'Pre-Assessment Estimator'!$A$10:$Z$227,Y$2,FALSE)=0,"",VLOOKUP($A183,'Pre-Assessment Estimator'!$A$10:$Z$227,Y$2,FALSE))</f>
        <v/>
      </c>
      <c r="Z183" s="313" t="str">
        <f>IF(VLOOKUP($A183,'Pre-Assessment Estimator'!$A$10:$Z$227,Z$2,FALSE)=0,"",VLOOKUP($A183,'Pre-Assessment Estimator'!$A$10:$Z$227,Z$2,FALSE))</f>
        <v/>
      </c>
      <c r="AA183" s="544">
        <v>171</v>
      </c>
      <c r="AB183" s="446"/>
      <c r="AF183" s="13">
        <f t="shared" si="3"/>
        <v>1</v>
      </c>
    </row>
    <row r="184" spans="1:32">
      <c r="A184" s="652">
        <v>175</v>
      </c>
      <c r="B184" s="958" t="s">
        <v>461</v>
      </c>
      <c r="C184" s="958"/>
      <c r="D184" s="980" t="str">
        <f>VLOOKUP($A184,'Pre-Assessment Estimator'!$A$10:$Z$227,D$2,FALSE)</f>
        <v>LE 06</v>
      </c>
      <c r="E184" s="981" t="str">
        <f>VLOOKUP($A184,'Pre-Assessment Estimator'!$A$10:$Z$227,E$2,FALSE)</f>
        <v>Risk assessment (EU taxonomy requirement: criterion 1-6)</v>
      </c>
      <c r="F184" s="443">
        <f>VLOOKUP($A184,'Pre-Assessment Estimator'!$A$10:$Z$227,F$2,FALSE)</f>
        <v>1</v>
      </c>
      <c r="G184" s="449" t="str">
        <f>IF(VLOOKUP($A184,'Pre-Assessment Estimator'!$A$10:$Z$227,G$2,FALSE)=0,"",VLOOKUP($A184,'Pre-Assessment Estimator'!$A$10:$Z$227,G$2,FALSE))</f>
        <v/>
      </c>
      <c r="H184" s="948">
        <f>VLOOKUP($A184,'Pre-Assessment Estimator'!$A$10:$Z$227,H$2,FALSE)</f>
        <v>0</v>
      </c>
      <c r="I184" s="445" t="str">
        <f>VLOOKUP($A184,'Pre-Assessment Estimator'!$A$10:$Z$227,I$2,FALSE)</f>
        <v>Very Good</v>
      </c>
      <c r="J184" s="446" t="str">
        <f>IF(VLOOKUP($A184,'Pre-Assessment Estimator'!$A$10:$Z$227,J$2,FALSE)=0,"",VLOOKUP($A184,'Pre-Assessment Estimator'!$A$10:$Z$227,J$2,FALSE))</f>
        <v/>
      </c>
      <c r="K184" s="446" t="str">
        <f>IF(VLOOKUP($A184,'Pre-Assessment Estimator'!$A$10:$Z$227,K$2,FALSE)=0,"",VLOOKUP($A184,'Pre-Assessment Estimator'!$A$10:$Z$227,K$2,FALSE))</f>
        <v/>
      </c>
      <c r="L184" s="447" t="str">
        <f>IF(VLOOKUP($A184,'Pre-Assessment Estimator'!$A$10:$Z$227,L$2,FALSE)=0,"",VLOOKUP($A184,'Pre-Assessment Estimator'!$A$10:$Z$227,L$2,FALSE))</f>
        <v/>
      </c>
      <c r="M184" s="448"/>
      <c r="N184" s="449" t="str">
        <f>IF(VLOOKUP($A184,'Pre-Assessment Estimator'!$A$10:$Z$227,N$2,FALSE)=0,"",VLOOKUP($A184,'Pre-Assessment Estimator'!$A$10:$Z$227,N$2,FALSE))</f>
        <v/>
      </c>
      <c r="O184" s="444">
        <f>VLOOKUP($A184,'Pre-Assessment Estimator'!$A$10:$Z$227,O$2,FALSE)</f>
        <v>0</v>
      </c>
      <c r="P184" s="443" t="str">
        <f>VLOOKUP($A184,'Pre-Assessment Estimator'!$A$10:$Z$227,P$2,FALSE)</f>
        <v>Very Good</v>
      </c>
      <c r="Q184" s="446" t="str">
        <f>IF(VLOOKUP($A184,'Pre-Assessment Estimator'!$A$10:$Z$227,Q$2,FALSE)=0,"",VLOOKUP($A184,'Pre-Assessment Estimator'!$A$10:$Z$227,Q$2,FALSE))</f>
        <v/>
      </c>
      <c r="R184" s="446" t="str">
        <f>IF(VLOOKUP($A184,'Pre-Assessment Estimator'!$A$10:$Z$227,R$2,FALSE)=0,"",VLOOKUP($A184,'Pre-Assessment Estimator'!$A$10:$Z$227,R$2,FALSE))</f>
        <v/>
      </c>
      <c r="S184" s="447" t="str">
        <f>IF(VLOOKUP($A184,'Pre-Assessment Estimator'!$A$10:$Z$227,S$2,FALSE)=0,"",VLOOKUP($A184,'Pre-Assessment Estimator'!$A$10:$Z$227,S$2,FALSE))</f>
        <v/>
      </c>
      <c r="T184" s="450"/>
      <c r="U184" s="449" t="str">
        <f>IF(VLOOKUP($A184,'Pre-Assessment Estimator'!$A$10:$Z$227,U$2,FALSE)=0,"",VLOOKUP($A184,'Pre-Assessment Estimator'!$A$10:$Z$227,U$2,FALSE))</f>
        <v/>
      </c>
      <c r="V184" s="444">
        <f>VLOOKUP($A184,'Pre-Assessment Estimator'!$A$10:$Z$227,V$2,FALSE)</f>
        <v>0</v>
      </c>
      <c r="W184" s="443" t="str">
        <f>VLOOKUP($A184,'Pre-Assessment Estimator'!$A$10:$Z$227,W$2,FALSE)</f>
        <v>Very Good</v>
      </c>
      <c r="X184" s="446" t="str">
        <f>IF(VLOOKUP($A184,'Pre-Assessment Estimator'!$A$10:$Z$227,X$2,FALSE)=0,"",VLOOKUP($A184,'Pre-Assessment Estimator'!$A$10:$Z$227,X$2,FALSE))</f>
        <v/>
      </c>
      <c r="Y184" s="446" t="str">
        <f>IF(VLOOKUP($A184,'Pre-Assessment Estimator'!$A$10:$Z$227,Y$2,FALSE)=0,"",VLOOKUP($A184,'Pre-Assessment Estimator'!$A$10:$Z$227,Y$2,FALSE))</f>
        <v/>
      </c>
      <c r="Z184" s="313" t="str">
        <f>IF(VLOOKUP($A184,'Pre-Assessment Estimator'!$A$10:$Z$227,Z$2,FALSE)=0,"",VLOOKUP($A184,'Pre-Assessment Estimator'!$A$10:$Z$227,Z$2,FALSE))</f>
        <v/>
      </c>
      <c r="AA184" s="544">
        <v>172</v>
      </c>
      <c r="AB184" s="446"/>
      <c r="AF184" s="13">
        <f t="shared" si="3"/>
        <v>1</v>
      </c>
    </row>
    <row r="185" spans="1:32">
      <c r="A185" s="652">
        <v>176</v>
      </c>
      <c r="B185" s="958" t="s">
        <v>461</v>
      </c>
      <c r="C185" s="958"/>
      <c r="D185" s="979" t="str">
        <f>VLOOKUP($A185,'Pre-Assessment Estimator'!$A$10:$Z$227,D$2,FALSE)</f>
        <v>LE 07</v>
      </c>
      <c r="E185" s="979" t="str">
        <f>VLOOKUP($A185,'Pre-Assessment Estimator'!$A$10:$Z$227,E$2,FALSE)</f>
        <v>LE 07 Flooding and storm surge</v>
      </c>
      <c r="F185" s="443">
        <f>VLOOKUP($A185,'Pre-Assessment Estimator'!$A$10:$Z$227,F$2,FALSE)</f>
        <v>2</v>
      </c>
      <c r="G185" s="449" t="str">
        <f>IF(VLOOKUP($A185,'Pre-Assessment Estimator'!$A$10:$Z$227,G$2,FALSE)=0,"",VLOOKUP($A185,'Pre-Assessment Estimator'!$A$10:$Z$227,G$2,FALSE))</f>
        <v/>
      </c>
      <c r="H185" s="948" t="str">
        <f>VLOOKUP($A185,'Pre-Assessment Estimator'!$A$10:$Z$227,H$2,FALSE)</f>
        <v>0 c. 0 %</v>
      </c>
      <c r="I185" s="445" t="str">
        <f>VLOOKUP($A185,'Pre-Assessment Estimator'!$A$10:$Z$227,I$2,FALSE)</f>
        <v>N/A</v>
      </c>
      <c r="J185" s="446" t="str">
        <f>IF(VLOOKUP($A185,'Pre-Assessment Estimator'!$A$10:$Z$227,J$2,FALSE)=0,"",VLOOKUP($A185,'Pre-Assessment Estimator'!$A$10:$Z$227,J$2,FALSE))</f>
        <v/>
      </c>
      <c r="K185" s="446" t="str">
        <f>IF(VLOOKUP($A185,'Pre-Assessment Estimator'!$A$10:$Z$227,K$2,FALSE)=0,"",VLOOKUP($A185,'Pre-Assessment Estimator'!$A$10:$Z$227,K$2,FALSE))</f>
        <v/>
      </c>
      <c r="L185" s="447" t="str">
        <f>IF(VLOOKUP($A185,'Pre-Assessment Estimator'!$A$10:$Z$227,L$2,FALSE)=0,"",VLOOKUP($A185,'Pre-Assessment Estimator'!$A$10:$Z$227,L$2,FALSE))</f>
        <v/>
      </c>
      <c r="M185" s="448"/>
      <c r="N185" s="449" t="str">
        <f>IF(VLOOKUP($A185,'Pre-Assessment Estimator'!$A$10:$Z$227,N$2,FALSE)=0,"",VLOOKUP($A185,'Pre-Assessment Estimator'!$A$10:$Z$227,N$2,FALSE))</f>
        <v/>
      </c>
      <c r="O185" s="444" t="str">
        <f>VLOOKUP($A185,'Pre-Assessment Estimator'!$A$10:$Z$227,O$2,FALSE)</f>
        <v>0 c. 0 %</v>
      </c>
      <c r="P185" s="443" t="str">
        <f>VLOOKUP($A185,'Pre-Assessment Estimator'!$A$10:$Z$227,P$2,FALSE)</f>
        <v>N/A</v>
      </c>
      <c r="Q185" s="446" t="str">
        <f>IF(VLOOKUP($A185,'Pre-Assessment Estimator'!$A$10:$Z$227,Q$2,FALSE)=0,"",VLOOKUP($A185,'Pre-Assessment Estimator'!$A$10:$Z$227,Q$2,FALSE))</f>
        <v/>
      </c>
      <c r="R185" s="446" t="str">
        <f>IF(VLOOKUP($A185,'Pre-Assessment Estimator'!$A$10:$Z$227,R$2,FALSE)=0,"",VLOOKUP($A185,'Pre-Assessment Estimator'!$A$10:$Z$227,R$2,FALSE))</f>
        <v/>
      </c>
      <c r="S185" s="447" t="str">
        <f>IF(VLOOKUP($A185,'Pre-Assessment Estimator'!$A$10:$Z$227,S$2,FALSE)=0,"",VLOOKUP($A185,'Pre-Assessment Estimator'!$A$10:$Z$227,S$2,FALSE))</f>
        <v/>
      </c>
      <c r="T185" s="450"/>
      <c r="U185" s="449" t="str">
        <f>IF(VLOOKUP($A185,'Pre-Assessment Estimator'!$A$10:$Z$227,U$2,FALSE)=0,"",VLOOKUP($A185,'Pre-Assessment Estimator'!$A$10:$Z$227,U$2,FALSE))</f>
        <v/>
      </c>
      <c r="V185" s="444" t="str">
        <f>VLOOKUP($A185,'Pre-Assessment Estimator'!$A$10:$Z$227,V$2,FALSE)</f>
        <v>0 c. 0 %</v>
      </c>
      <c r="W185" s="443" t="str">
        <f>VLOOKUP($A185,'Pre-Assessment Estimator'!$A$10:$Z$227,W$2,FALSE)</f>
        <v>N/A</v>
      </c>
      <c r="X185" s="446" t="str">
        <f>IF(VLOOKUP($A185,'Pre-Assessment Estimator'!$A$10:$Z$227,X$2,FALSE)=0,"",VLOOKUP($A185,'Pre-Assessment Estimator'!$A$10:$Z$227,X$2,FALSE))</f>
        <v/>
      </c>
      <c r="Y185" s="446" t="str">
        <f>IF(VLOOKUP($A185,'Pre-Assessment Estimator'!$A$10:$Z$227,Y$2,FALSE)=0,"",VLOOKUP($A185,'Pre-Assessment Estimator'!$A$10:$Z$227,Y$2,FALSE))</f>
        <v/>
      </c>
      <c r="Z185" s="313" t="str">
        <f>IF(VLOOKUP($A185,'Pre-Assessment Estimator'!$A$10:$Z$227,Z$2,FALSE)=0,"",VLOOKUP($A185,'Pre-Assessment Estimator'!$A$10:$Z$227,Z$2,FALSE))</f>
        <v/>
      </c>
      <c r="AA185" s="544">
        <v>173</v>
      </c>
      <c r="AB185" s="446"/>
      <c r="AF185" s="13">
        <f t="shared" si="3"/>
        <v>1</v>
      </c>
    </row>
    <row r="186" spans="1:32">
      <c r="A186" s="652">
        <v>177</v>
      </c>
      <c r="B186" s="958" t="s">
        <v>461</v>
      </c>
      <c r="C186" s="958"/>
      <c r="D186" s="980" t="str">
        <f>VLOOKUP($A186,'Pre-Assessment Estimator'!$A$10:$Z$227,D$2,FALSE)</f>
        <v>LE 07</v>
      </c>
      <c r="E186" s="981" t="str">
        <f>VLOOKUP($A186,'Pre-Assessment Estimator'!$A$10:$Z$227,E$2,FALSE)</f>
        <v>Pre-requisite: flood risk assessment</v>
      </c>
      <c r="F186" s="443" t="str">
        <f>VLOOKUP($A186,'Pre-Assessment Estimator'!$A$10:$Z$227,F$2,FALSE)</f>
        <v>Yes/No</v>
      </c>
      <c r="G186" s="449" t="str">
        <f>IF(VLOOKUP($A186,'Pre-Assessment Estimator'!$A$10:$Z$227,G$2,FALSE)=0,"",VLOOKUP($A186,'Pre-Assessment Estimator'!$A$10:$Z$227,G$2,FALSE))</f>
        <v/>
      </c>
      <c r="H186" s="948" t="str">
        <f>VLOOKUP($A186,'Pre-Assessment Estimator'!$A$10:$Z$227,H$2,FALSE)</f>
        <v>-</v>
      </c>
      <c r="I186" s="445" t="str">
        <f>VLOOKUP($A186,'Pre-Assessment Estimator'!$A$10:$Z$227,I$2,FALSE)</f>
        <v>N/A</v>
      </c>
      <c r="J186" s="446" t="str">
        <f>IF(VLOOKUP($A186,'Pre-Assessment Estimator'!$A$10:$Z$227,J$2,FALSE)=0,"",VLOOKUP($A186,'Pre-Assessment Estimator'!$A$10:$Z$227,J$2,FALSE))</f>
        <v/>
      </c>
      <c r="K186" s="446" t="str">
        <f>IF(VLOOKUP($A186,'Pre-Assessment Estimator'!$A$10:$Z$227,K$2,FALSE)=0,"",VLOOKUP($A186,'Pre-Assessment Estimator'!$A$10:$Z$227,K$2,FALSE))</f>
        <v/>
      </c>
      <c r="L186" s="447" t="str">
        <f>IF(VLOOKUP($A186,'Pre-Assessment Estimator'!$A$10:$Z$227,L$2,FALSE)=0,"",VLOOKUP($A186,'Pre-Assessment Estimator'!$A$10:$Z$227,L$2,FALSE))</f>
        <v/>
      </c>
      <c r="M186" s="448"/>
      <c r="N186" s="449" t="str">
        <f>IF(VLOOKUP($A186,'Pre-Assessment Estimator'!$A$10:$Z$227,N$2,FALSE)=0,"",VLOOKUP($A186,'Pre-Assessment Estimator'!$A$10:$Z$227,N$2,FALSE))</f>
        <v/>
      </c>
      <c r="O186" s="444" t="str">
        <f>VLOOKUP($A186,'Pre-Assessment Estimator'!$A$10:$Z$227,O$2,FALSE)</f>
        <v>-</v>
      </c>
      <c r="P186" s="443" t="str">
        <f>VLOOKUP($A186,'Pre-Assessment Estimator'!$A$10:$Z$227,P$2,FALSE)</f>
        <v>N/A</v>
      </c>
      <c r="Q186" s="446" t="str">
        <f>IF(VLOOKUP($A186,'Pre-Assessment Estimator'!$A$10:$Z$227,Q$2,FALSE)=0,"",VLOOKUP($A186,'Pre-Assessment Estimator'!$A$10:$Z$227,Q$2,FALSE))</f>
        <v/>
      </c>
      <c r="R186" s="446" t="str">
        <f>IF(VLOOKUP($A186,'Pre-Assessment Estimator'!$A$10:$Z$227,R$2,FALSE)=0,"",VLOOKUP($A186,'Pre-Assessment Estimator'!$A$10:$Z$227,R$2,FALSE))</f>
        <v/>
      </c>
      <c r="S186" s="447" t="str">
        <f>IF(VLOOKUP($A186,'Pre-Assessment Estimator'!$A$10:$Z$227,S$2,FALSE)=0,"",VLOOKUP($A186,'Pre-Assessment Estimator'!$A$10:$Z$227,S$2,FALSE))</f>
        <v/>
      </c>
      <c r="T186" s="450"/>
      <c r="U186" s="449" t="str">
        <f>IF(VLOOKUP($A186,'Pre-Assessment Estimator'!$A$10:$Z$227,U$2,FALSE)=0,"",VLOOKUP($A186,'Pre-Assessment Estimator'!$A$10:$Z$227,U$2,FALSE))</f>
        <v/>
      </c>
      <c r="V186" s="444" t="str">
        <f>VLOOKUP($A186,'Pre-Assessment Estimator'!$A$10:$Z$227,V$2,FALSE)</f>
        <v>-</v>
      </c>
      <c r="W186" s="443" t="str">
        <f>VLOOKUP($A186,'Pre-Assessment Estimator'!$A$10:$Z$227,W$2,FALSE)</f>
        <v>N/A</v>
      </c>
      <c r="X186" s="446" t="str">
        <f>IF(VLOOKUP($A186,'Pre-Assessment Estimator'!$A$10:$Z$227,X$2,FALSE)=0,"",VLOOKUP($A186,'Pre-Assessment Estimator'!$A$10:$Z$227,X$2,FALSE))</f>
        <v/>
      </c>
      <c r="Y186" s="446" t="str">
        <f>IF(VLOOKUP($A186,'Pre-Assessment Estimator'!$A$10:$Z$227,Y$2,FALSE)=0,"",VLOOKUP($A186,'Pre-Assessment Estimator'!$A$10:$Z$227,Y$2,FALSE))</f>
        <v/>
      </c>
      <c r="Z186" s="313" t="str">
        <f>IF(VLOOKUP($A186,'Pre-Assessment Estimator'!$A$10:$Z$227,Z$2,FALSE)=0,"",VLOOKUP($A186,'Pre-Assessment Estimator'!$A$10:$Z$227,Z$2,FALSE))</f>
        <v/>
      </c>
      <c r="AA186" s="544">
        <v>174</v>
      </c>
      <c r="AB186" s="446"/>
      <c r="AF186" s="13">
        <f t="shared" si="3"/>
        <v>1</v>
      </c>
    </row>
    <row r="187" spans="1:32">
      <c r="A187" s="652">
        <v>178</v>
      </c>
      <c r="B187" s="958" t="s">
        <v>461</v>
      </c>
      <c r="C187" s="958"/>
      <c r="D187" s="980" t="str">
        <f>VLOOKUP($A187,'Pre-Assessment Estimator'!$A$10:$Z$227,D$2,FALSE)</f>
        <v>LE 07</v>
      </c>
      <c r="E187" s="981" t="str">
        <f>VLOOKUP($A187,'Pre-Assessment Estimator'!$A$10:$Z$227,E$2,FALSE)</f>
        <v>Resilience against flood and storm surge</v>
      </c>
      <c r="F187" s="443">
        <f>VLOOKUP($A187,'Pre-Assessment Estimator'!$A$10:$Z$227,F$2,FALSE)</f>
        <v>2</v>
      </c>
      <c r="G187" s="449" t="str">
        <f>IF(VLOOKUP($A187,'Pre-Assessment Estimator'!$A$10:$Z$227,G$2,FALSE)=0,"",VLOOKUP($A187,'Pre-Assessment Estimator'!$A$10:$Z$227,G$2,FALSE))</f>
        <v/>
      </c>
      <c r="H187" s="948">
        <f>VLOOKUP($A187,'Pre-Assessment Estimator'!$A$10:$Z$227,H$2,FALSE)</f>
        <v>0</v>
      </c>
      <c r="I187" s="445" t="str">
        <f>VLOOKUP($A187,'Pre-Assessment Estimator'!$A$10:$Z$227,I$2,FALSE)</f>
        <v>N/A</v>
      </c>
      <c r="J187" s="446" t="str">
        <f>IF(VLOOKUP($A187,'Pre-Assessment Estimator'!$A$10:$Z$227,J$2,FALSE)=0,"",VLOOKUP($A187,'Pre-Assessment Estimator'!$A$10:$Z$227,J$2,FALSE))</f>
        <v/>
      </c>
      <c r="K187" s="446" t="str">
        <f>IF(VLOOKUP($A187,'Pre-Assessment Estimator'!$A$10:$Z$227,K$2,FALSE)=0,"",VLOOKUP($A187,'Pre-Assessment Estimator'!$A$10:$Z$227,K$2,FALSE))</f>
        <v/>
      </c>
      <c r="L187" s="447" t="str">
        <f>IF(VLOOKUP($A187,'Pre-Assessment Estimator'!$A$10:$Z$227,L$2,FALSE)=0,"",VLOOKUP($A187,'Pre-Assessment Estimator'!$A$10:$Z$227,L$2,FALSE))</f>
        <v/>
      </c>
      <c r="M187" s="448"/>
      <c r="N187" s="449" t="str">
        <f>IF(VLOOKUP($A187,'Pre-Assessment Estimator'!$A$10:$Z$227,N$2,FALSE)=0,"",VLOOKUP($A187,'Pre-Assessment Estimator'!$A$10:$Z$227,N$2,FALSE))</f>
        <v/>
      </c>
      <c r="O187" s="444">
        <f>VLOOKUP($A187,'Pre-Assessment Estimator'!$A$10:$Z$227,O$2,FALSE)</f>
        <v>0</v>
      </c>
      <c r="P187" s="443" t="str">
        <f>VLOOKUP($A187,'Pre-Assessment Estimator'!$A$10:$Z$227,P$2,FALSE)</f>
        <v>N/A</v>
      </c>
      <c r="Q187" s="446" t="str">
        <f>IF(VLOOKUP($A187,'Pre-Assessment Estimator'!$A$10:$Z$227,Q$2,FALSE)=0,"",VLOOKUP($A187,'Pre-Assessment Estimator'!$A$10:$Z$227,Q$2,FALSE))</f>
        <v/>
      </c>
      <c r="R187" s="446" t="str">
        <f>IF(VLOOKUP($A187,'Pre-Assessment Estimator'!$A$10:$Z$227,R$2,FALSE)=0,"",VLOOKUP($A187,'Pre-Assessment Estimator'!$A$10:$Z$227,R$2,FALSE))</f>
        <v/>
      </c>
      <c r="S187" s="447" t="str">
        <f>IF(VLOOKUP($A187,'Pre-Assessment Estimator'!$A$10:$Z$227,S$2,FALSE)=0,"",VLOOKUP($A187,'Pre-Assessment Estimator'!$A$10:$Z$227,S$2,FALSE))</f>
        <v/>
      </c>
      <c r="T187" s="450"/>
      <c r="U187" s="449" t="str">
        <f>IF(VLOOKUP($A187,'Pre-Assessment Estimator'!$A$10:$Z$227,U$2,FALSE)=0,"",VLOOKUP($A187,'Pre-Assessment Estimator'!$A$10:$Z$227,U$2,FALSE))</f>
        <v/>
      </c>
      <c r="V187" s="444">
        <f>VLOOKUP($A187,'Pre-Assessment Estimator'!$A$10:$Z$227,V$2,FALSE)</f>
        <v>0</v>
      </c>
      <c r="W187" s="443" t="str">
        <f>VLOOKUP($A187,'Pre-Assessment Estimator'!$A$10:$Z$227,W$2,FALSE)</f>
        <v>N/A</v>
      </c>
      <c r="X187" s="446" t="str">
        <f>IF(VLOOKUP($A187,'Pre-Assessment Estimator'!$A$10:$Z$227,X$2,FALSE)=0,"",VLOOKUP($A187,'Pre-Assessment Estimator'!$A$10:$Z$227,X$2,FALSE))</f>
        <v/>
      </c>
      <c r="Y187" s="446" t="str">
        <f>IF(VLOOKUP($A187,'Pre-Assessment Estimator'!$A$10:$Z$227,Y$2,FALSE)=0,"",VLOOKUP($A187,'Pre-Assessment Estimator'!$A$10:$Z$227,Y$2,FALSE))</f>
        <v/>
      </c>
      <c r="Z187" s="313" t="str">
        <f>IF(VLOOKUP($A187,'Pre-Assessment Estimator'!$A$10:$Z$227,Z$2,FALSE)=0,"",VLOOKUP($A187,'Pre-Assessment Estimator'!$A$10:$Z$227,Z$2,FALSE))</f>
        <v/>
      </c>
      <c r="AA187" s="544">
        <v>175</v>
      </c>
      <c r="AB187" s="446"/>
      <c r="AF187" s="13">
        <f t="shared" si="3"/>
        <v>1</v>
      </c>
    </row>
    <row r="188" spans="1:32">
      <c r="A188" s="652">
        <v>179</v>
      </c>
      <c r="B188" s="958" t="s">
        <v>461</v>
      </c>
      <c r="C188" s="958"/>
      <c r="D188" s="979" t="str">
        <f>VLOOKUP($A188,'Pre-Assessment Estimator'!$A$10:$Z$227,D$2,FALSE)</f>
        <v>LE 08</v>
      </c>
      <c r="E188" s="979" t="str">
        <f>VLOOKUP($A188,'Pre-Assessment Estimator'!$A$10:$Z$227,E$2,FALSE)</f>
        <v>LE 08 Local surface water handling</v>
      </c>
      <c r="F188" s="443">
        <f>VLOOKUP($A188,'Pre-Assessment Estimator'!$A$10:$Z$227,F$2,FALSE)</f>
        <v>3</v>
      </c>
      <c r="G188" s="449" t="str">
        <f>IF(VLOOKUP($A188,'Pre-Assessment Estimator'!$A$10:$Z$227,G$2,FALSE)=0,"",VLOOKUP($A188,'Pre-Assessment Estimator'!$A$10:$Z$227,G$2,FALSE))</f>
        <v/>
      </c>
      <c r="H188" s="948" t="str">
        <f>VLOOKUP($A188,'Pre-Assessment Estimator'!$A$10:$Z$227,H$2,FALSE)</f>
        <v>0 c. 0 %</v>
      </c>
      <c r="I188" s="445" t="str">
        <f>VLOOKUP($A188,'Pre-Assessment Estimator'!$A$10:$Z$227,I$2,FALSE)</f>
        <v>N/A</v>
      </c>
      <c r="J188" s="446" t="str">
        <f>IF(VLOOKUP($A188,'Pre-Assessment Estimator'!$A$10:$Z$227,J$2,FALSE)=0,"",VLOOKUP($A188,'Pre-Assessment Estimator'!$A$10:$Z$227,J$2,FALSE))</f>
        <v/>
      </c>
      <c r="K188" s="446" t="str">
        <f>IF(VLOOKUP($A188,'Pre-Assessment Estimator'!$A$10:$Z$227,K$2,FALSE)=0,"",VLOOKUP($A188,'Pre-Assessment Estimator'!$A$10:$Z$227,K$2,FALSE))</f>
        <v/>
      </c>
      <c r="L188" s="447" t="str">
        <f>IF(VLOOKUP($A188,'Pre-Assessment Estimator'!$A$10:$Z$227,L$2,FALSE)=0,"",VLOOKUP($A188,'Pre-Assessment Estimator'!$A$10:$Z$227,L$2,FALSE))</f>
        <v/>
      </c>
      <c r="M188" s="448"/>
      <c r="N188" s="449" t="str">
        <f>IF(VLOOKUP($A188,'Pre-Assessment Estimator'!$A$10:$Z$227,N$2,FALSE)=0,"",VLOOKUP($A188,'Pre-Assessment Estimator'!$A$10:$Z$227,N$2,FALSE))</f>
        <v/>
      </c>
      <c r="O188" s="444" t="str">
        <f>VLOOKUP($A188,'Pre-Assessment Estimator'!$A$10:$Z$227,O$2,FALSE)</f>
        <v>0 c. 0 %</v>
      </c>
      <c r="P188" s="443" t="str">
        <f>VLOOKUP($A188,'Pre-Assessment Estimator'!$A$10:$Z$227,P$2,FALSE)</f>
        <v>N/A</v>
      </c>
      <c r="Q188" s="446" t="str">
        <f>IF(VLOOKUP($A188,'Pre-Assessment Estimator'!$A$10:$Z$227,Q$2,FALSE)=0,"",VLOOKUP($A188,'Pre-Assessment Estimator'!$A$10:$Z$227,Q$2,FALSE))</f>
        <v/>
      </c>
      <c r="R188" s="446" t="str">
        <f>IF(VLOOKUP($A188,'Pre-Assessment Estimator'!$A$10:$Z$227,R$2,FALSE)=0,"",VLOOKUP($A188,'Pre-Assessment Estimator'!$A$10:$Z$227,R$2,FALSE))</f>
        <v/>
      </c>
      <c r="S188" s="447" t="str">
        <f>IF(VLOOKUP($A188,'Pre-Assessment Estimator'!$A$10:$Z$227,S$2,FALSE)=0,"",VLOOKUP($A188,'Pre-Assessment Estimator'!$A$10:$Z$227,S$2,FALSE))</f>
        <v/>
      </c>
      <c r="T188" s="450"/>
      <c r="U188" s="449" t="str">
        <f>IF(VLOOKUP($A188,'Pre-Assessment Estimator'!$A$10:$Z$227,U$2,FALSE)=0,"",VLOOKUP($A188,'Pre-Assessment Estimator'!$A$10:$Z$227,U$2,FALSE))</f>
        <v/>
      </c>
      <c r="V188" s="444" t="str">
        <f>VLOOKUP($A188,'Pre-Assessment Estimator'!$A$10:$Z$227,V$2,FALSE)</f>
        <v>0 c. 0 %</v>
      </c>
      <c r="W188" s="443" t="str">
        <f>VLOOKUP($A188,'Pre-Assessment Estimator'!$A$10:$Z$227,W$2,FALSE)</f>
        <v>N/A</v>
      </c>
      <c r="X188" s="446" t="str">
        <f>IF(VLOOKUP($A188,'Pre-Assessment Estimator'!$A$10:$Z$227,X$2,FALSE)=0,"",VLOOKUP($A188,'Pre-Assessment Estimator'!$A$10:$Z$227,X$2,FALSE))</f>
        <v/>
      </c>
      <c r="Y188" s="446" t="str">
        <f>IF(VLOOKUP($A188,'Pre-Assessment Estimator'!$A$10:$Z$227,Y$2,FALSE)=0,"",VLOOKUP($A188,'Pre-Assessment Estimator'!$A$10:$Z$227,Y$2,FALSE))</f>
        <v/>
      </c>
      <c r="Z188" s="313" t="str">
        <f>IF(VLOOKUP($A188,'Pre-Assessment Estimator'!$A$10:$Z$227,Z$2,FALSE)=0,"",VLOOKUP($A188,'Pre-Assessment Estimator'!$A$10:$Z$227,Z$2,FALSE))</f>
        <v/>
      </c>
      <c r="AA188" s="544">
        <v>176</v>
      </c>
      <c r="AB188" s="446"/>
      <c r="AF188" s="13">
        <f t="shared" si="3"/>
        <v>1</v>
      </c>
    </row>
    <row r="189" spans="1:32">
      <c r="A189" s="652">
        <v>180</v>
      </c>
      <c r="B189" s="958" t="s">
        <v>461</v>
      </c>
      <c r="C189" s="958"/>
      <c r="D189" s="980" t="str">
        <f>VLOOKUP($A189,'Pre-Assessment Estimator'!$A$10:$Z$227,D$2,FALSE)</f>
        <v>LE 08</v>
      </c>
      <c r="E189" s="981" t="str">
        <f>VLOOKUP($A189,'Pre-Assessment Estimator'!$A$10:$Z$227,E$2,FALSE)</f>
        <v>Pre-requisite: risk assessment and the "three- step strategy"</v>
      </c>
      <c r="F189" s="443" t="str">
        <f>VLOOKUP($A189,'Pre-Assessment Estimator'!$A$10:$Z$227,F$2,FALSE)</f>
        <v>Yes/No</v>
      </c>
      <c r="G189" s="449" t="str">
        <f>IF(VLOOKUP($A189,'Pre-Assessment Estimator'!$A$10:$Z$227,G$2,FALSE)=0,"",VLOOKUP($A189,'Pre-Assessment Estimator'!$A$10:$Z$227,G$2,FALSE))</f>
        <v/>
      </c>
      <c r="H189" s="948" t="str">
        <f>VLOOKUP($A189,'Pre-Assessment Estimator'!$A$10:$Z$227,H$2,FALSE)</f>
        <v>-</v>
      </c>
      <c r="I189" s="445" t="str">
        <f>VLOOKUP($A189,'Pre-Assessment Estimator'!$A$10:$Z$227,I$2,FALSE)</f>
        <v>N/A</v>
      </c>
      <c r="J189" s="446" t="str">
        <f>IF(VLOOKUP($A189,'Pre-Assessment Estimator'!$A$10:$Z$227,J$2,FALSE)=0,"",VLOOKUP($A189,'Pre-Assessment Estimator'!$A$10:$Z$227,J$2,FALSE))</f>
        <v/>
      </c>
      <c r="K189" s="446" t="str">
        <f>IF(VLOOKUP($A189,'Pre-Assessment Estimator'!$A$10:$Z$227,K$2,FALSE)=0,"",VLOOKUP($A189,'Pre-Assessment Estimator'!$A$10:$Z$227,K$2,FALSE))</f>
        <v/>
      </c>
      <c r="L189" s="447" t="str">
        <f>IF(VLOOKUP($A189,'Pre-Assessment Estimator'!$A$10:$Z$227,L$2,FALSE)=0,"",VLOOKUP($A189,'Pre-Assessment Estimator'!$A$10:$Z$227,L$2,FALSE))</f>
        <v/>
      </c>
      <c r="M189" s="448"/>
      <c r="N189" s="449" t="str">
        <f>IF(VLOOKUP($A189,'Pre-Assessment Estimator'!$A$10:$Z$227,N$2,FALSE)=0,"",VLOOKUP($A189,'Pre-Assessment Estimator'!$A$10:$Z$227,N$2,FALSE))</f>
        <v/>
      </c>
      <c r="O189" s="444" t="str">
        <f>VLOOKUP($A189,'Pre-Assessment Estimator'!$A$10:$Z$227,O$2,FALSE)</f>
        <v>-</v>
      </c>
      <c r="P189" s="443" t="str">
        <f>VLOOKUP($A189,'Pre-Assessment Estimator'!$A$10:$Z$227,P$2,FALSE)</f>
        <v>N/A</v>
      </c>
      <c r="Q189" s="446" t="str">
        <f>IF(VLOOKUP($A189,'Pre-Assessment Estimator'!$A$10:$Z$227,Q$2,FALSE)=0,"",VLOOKUP($A189,'Pre-Assessment Estimator'!$A$10:$Z$227,Q$2,FALSE))</f>
        <v/>
      </c>
      <c r="R189" s="446" t="str">
        <f>IF(VLOOKUP($A189,'Pre-Assessment Estimator'!$A$10:$Z$227,R$2,FALSE)=0,"",VLOOKUP($A189,'Pre-Assessment Estimator'!$A$10:$Z$227,R$2,FALSE))</f>
        <v/>
      </c>
      <c r="S189" s="447" t="str">
        <f>IF(VLOOKUP($A189,'Pre-Assessment Estimator'!$A$10:$Z$227,S$2,FALSE)=0,"",VLOOKUP($A189,'Pre-Assessment Estimator'!$A$10:$Z$227,S$2,FALSE))</f>
        <v/>
      </c>
      <c r="T189" s="450"/>
      <c r="U189" s="449" t="str">
        <f>IF(VLOOKUP($A189,'Pre-Assessment Estimator'!$A$10:$Z$227,U$2,FALSE)=0,"",VLOOKUP($A189,'Pre-Assessment Estimator'!$A$10:$Z$227,U$2,FALSE))</f>
        <v/>
      </c>
      <c r="V189" s="444" t="str">
        <f>VLOOKUP($A189,'Pre-Assessment Estimator'!$A$10:$Z$227,V$2,FALSE)</f>
        <v>-</v>
      </c>
      <c r="W189" s="443" t="str">
        <f>VLOOKUP($A189,'Pre-Assessment Estimator'!$A$10:$Z$227,W$2,FALSE)</f>
        <v>N/A</v>
      </c>
      <c r="X189" s="446" t="str">
        <f>IF(VLOOKUP($A189,'Pre-Assessment Estimator'!$A$10:$Z$227,X$2,FALSE)=0,"",VLOOKUP($A189,'Pre-Assessment Estimator'!$A$10:$Z$227,X$2,FALSE))</f>
        <v/>
      </c>
      <c r="Y189" s="446" t="str">
        <f>IF(VLOOKUP($A189,'Pre-Assessment Estimator'!$A$10:$Z$227,Y$2,FALSE)=0,"",VLOOKUP($A189,'Pre-Assessment Estimator'!$A$10:$Z$227,Y$2,FALSE))</f>
        <v/>
      </c>
      <c r="Z189" s="313" t="str">
        <f>IF(VLOOKUP($A189,'Pre-Assessment Estimator'!$A$10:$Z$227,Z$2,FALSE)=0,"",VLOOKUP($A189,'Pre-Assessment Estimator'!$A$10:$Z$227,Z$2,FALSE))</f>
        <v/>
      </c>
      <c r="AA189" s="544">
        <v>177</v>
      </c>
      <c r="AB189" s="446"/>
      <c r="AF189" s="13">
        <f t="shared" si="3"/>
        <v>1</v>
      </c>
    </row>
    <row r="190" spans="1:32">
      <c r="A190" s="652">
        <v>181</v>
      </c>
      <c r="B190" s="958" t="s">
        <v>461</v>
      </c>
      <c r="C190" s="958"/>
      <c r="D190" s="980" t="str">
        <f>VLOOKUP($A190,'Pre-Assessment Estimator'!$A$10:$Z$227,D$2,FALSE)</f>
        <v>LE 08</v>
      </c>
      <c r="E190" s="981" t="str">
        <f>VLOOKUP($A190,'Pre-Assessment Estimator'!$A$10:$Z$227,E$2,FALSE)</f>
        <v>5 mm precipitation</v>
      </c>
      <c r="F190" s="443">
        <f>VLOOKUP($A190,'Pre-Assessment Estimator'!$A$10:$Z$227,F$2,FALSE)</f>
        <v>1</v>
      </c>
      <c r="G190" s="449" t="str">
        <f>IF(VLOOKUP($A190,'Pre-Assessment Estimator'!$A$10:$Z$227,G$2,FALSE)=0,"",VLOOKUP($A190,'Pre-Assessment Estimator'!$A$10:$Z$227,G$2,FALSE))</f>
        <v/>
      </c>
      <c r="H190" s="948">
        <f>VLOOKUP($A190,'Pre-Assessment Estimator'!$A$10:$Z$227,H$2,FALSE)</f>
        <v>0</v>
      </c>
      <c r="I190" s="445" t="str">
        <f>VLOOKUP($A190,'Pre-Assessment Estimator'!$A$10:$Z$227,I$2,FALSE)</f>
        <v>N/A</v>
      </c>
      <c r="J190" s="446" t="str">
        <f>IF(VLOOKUP($A190,'Pre-Assessment Estimator'!$A$10:$Z$227,J$2,FALSE)=0,"",VLOOKUP($A190,'Pre-Assessment Estimator'!$A$10:$Z$227,J$2,FALSE))</f>
        <v/>
      </c>
      <c r="K190" s="446" t="str">
        <f>IF(VLOOKUP($A190,'Pre-Assessment Estimator'!$A$10:$Z$227,K$2,FALSE)=0,"",VLOOKUP($A190,'Pre-Assessment Estimator'!$A$10:$Z$227,K$2,FALSE))</f>
        <v/>
      </c>
      <c r="L190" s="447" t="str">
        <f>IF(VLOOKUP($A190,'Pre-Assessment Estimator'!$A$10:$Z$227,L$2,FALSE)=0,"",VLOOKUP($A190,'Pre-Assessment Estimator'!$A$10:$Z$227,L$2,FALSE))</f>
        <v/>
      </c>
      <c r="M190" s="448"/>
      <c r="N190" s="449" t="str">
        <f>IF(VLOOKUP($A190,'Pre-Assessment Estimator'!$A$10:$Z$227,N$2,FALSE)=0,"",VLOOKUP($A190,'Pre-Assessment Estimator'!$A$10:$Z$227,N$2,FALSE))</f>
        <v/>
      </c>
      <c r="O190" s="444">
        <f>VLOOKUP($A190,'Pre-Assessment Estimator'!$A$10:$Z$227,O$2,FALSE)</f>
        <v>0</v>
      </c>
      <c r="P190" s="443" t="str">
        <f>VLOOKUP($A190,'Pre-Assessment Estimator'!$A$10:$Z$227,P$2,FALSE)</f>
        <v>N/A</v>
      </c>
      <c r="Q190" s="446" t="str">
        <f>IF(VLOOKUP($A190,'Pre-Assessment Estimator'!$A$10:$Z$227,Q$2,FALSE)=0,"",VLOOKUP($A190,'Pre-Assessment Estimator'!$A$10:$Z$227,Q$2,FALSE))</f>
        <v/>
      </c>
      <c r="R190" s="446" t="str">
        <f>IF(VLOOKUP($A190,'Pre-Assessment Estimator'!$A$10:$Z$227,R$2,FALSE)=0,"",VLOOKUP($A190,'Pre-Assessment Estimator'!$A$10:$Z$227,R$2,FALSE))</f>
        <v/>
      </c>
      <c r="S190" s="447" t="str">
        <f>IF(VLOOKUP($A190,'Pre-Assessment Estimator'!$A$10:$Z$227,S$2,FALSE)=0,"",VLOOKUP($A190,'Pre-Assessment Estimator'!$A$10:$Z$227,S$2,FALSE))</f>
        <v/>
      </c>
      <c r="T190" s="450"/>
      <c r="U190" s="449" t="str">
        <f>IF(VLOOKUP($A190,'Pre-Assessment Estimator'!$A$10:$Z$227,U$2,FALSE)=0,"",VLOOKUP($A190,'Pre-Assessment Estimator'!$A$10:$Z$227,U$2,FALSE))</f>
        <v/>
      </c>
      <c r="V190" s="444">
        <f>VLOOKUP($A190,'Pre-Assessment Estimator'!$A$10:$Z$227,V$2,FALSE)</f>
        <v>0</v>
      </c>
      <c r="W190" s="443" t="str">
        <f>VLOOKUP($A190,'Pre-Assessment Estimator'!$A$10:$Z$227,W$2,FALSE)</f>
        <v>N/A</v>
      </c>
      <c r="X190" s="446" t="str">
        <f>IF(VLOOKUP($A190,'Pre-Assessment Estimator'!$A$10:$Z$227,X$2,FALSE)=0,"",VLOOKUP($A190,'Pre-Assessment Estimator'!$A$10:$Z$227,X$2,FALSE))</f>
        <v/>
      </c>
      <c r="Y190" s="446" t="str">
        <f>IF(VLOOKUP($A190,'Pre-Assessment Estimator'!$A$10:$Z$227,Y$2,FALSE)=0,"",VLOOKUP($A190,'Pre-Assessment Estimator'!$A$10:$Z$227,Y$2,FALSE))</f>
        <v/>
      </c>
      <c r="Z190" s="313" t="str">
        <f>IF(VLOOKUP($A190,'Pre-Assessment Estimator'!$A$10:$Z$227,Z$2,FALSE)=0,"",VLOOKUP($A190,'Pre-Assessment Estimator'!$A$10:$Z$227,Z$2,FALSE))</f>
        <v/>
      </c>
      <c r="AA190" s="544">
        <v>178</v>
      </c>
      <c r="AB190" s="446" t="str">
        <f>IF(VLOOKUP($A190,'Pre-Assessment Estimator'!$A$10:$AB$227,AB$2,FALSE)=0,"",VLOOKUP($A190,'Pre-Assessment Estimator'!$A$10:$AB$227,AB$2,FALSE))</f>
        <v/>
      </c>
      <c r="AF190" s="13">
        <f t="shared" si="3"/>
        <v>1</v>
      </c>
    </row>
    <row r="191" spans="1:32">
      <c r="A191" s="652">
        <v>182</v>
      </c>
      <c r="B191" s="958" t="s">
        <v>461</v>
      </c>
      <c r="C191" s="958"/>
      <c r="D191" s="980" t="str">
        <f>VLOOKUP($A191,'Pre-Assessment Estimator'!$A$10:$Z$227,D$2,FALSE)</f>
        <v>LE 08</v>
      </c>
      <c r="E191" s="981" t="str">
        <f>VLOOKUP($A191,'Pre-Assessment Estimator'!$A$10:$Z$227,E$2,FALSE)</f>
        <v>Maximum run-off</v>
      </c>
      <c r="F191" s="443">
        <f>VLOOKUP($A191,'Pre-Assessment Estimator'!$A$10:$Z$227,F$2,FALSE)</f>
        <v>1</v>
      </c>
      <c r="G191" s="449" t="str">
        <f>IF(VLOOKUP($A191,'Pre-Assessment Estimator'!$A$10:$Z$227,G$2,FALSE)=0,"",VLOOKUP($A191,'Pre-Assessment Estimator'!$A$10:$Z$227,G$2,FALSE))</f>
        <v/>
      </c>
      <c r="H191" s="948">
        <f>VLOOKUP($A191,'Pre-Assessment Estimator'!$A$10:$Z$227,H$2,FALSE)</f>
        <v>0</v>
      </c>
      <c r="I191" s="445" t="str">
        <f>VLOOKUP($A191,'Pre-Assessment Estimator'!$A$10:$Z$227,I$2,FALSE)</f>
        <v>N/A</v>
      </c>
      <c r="J191" s="446" t="str">
        <f>IF(VLOOKUP($A191,'Pre-Assessment Estimator'!$A$10:$Z$227,J$2,FALSE)=0,"",VLOOKUP($A191,'Pre-Assessment Estimator'!$A$10:$Z$227,J$2,FALSE))</f>
        <v/>
      </c>
      <c r="K191" s="446" t="str">
        <f>IF(VLOOKUP($A191,'Pre-Assessment Estimator'!$A$10:$Z$227,K$2,FALSE)=0,"",VLOOKUP($A191,'Pre-Assessment Estimator'!$A$10:$Z$227,K$2,FALSE))</f>
        <v/>
      </c>
      <c r="L191" s="447" t="str">
        <f>IF(VLOOKUP($A191,'Pre-Assessment Estimator'!$A$10:$Z$227,L$2,FALSE)=0,"",VLOOKUP($A191,'Pre-Assessment Estimator'!$A$10:$Z$227,L$2,FALSE))</f>
        <v/>
      </c>
      <c r="M191" s="448"/>
      <c r="N191" s="449" t="str">
        <f>IF(VLOOKUP($A191,'Pre-Assessment Estimator'!$A$10:$Z$227,N$2,FALSE)=0,"",VLOOKUP($A191,'Pre-Assessment Estimator'!$A$10:$Z$227,N$2,FALSE))</f>
        <v/>
      </c>
      <c r="O191" s="444">
        <f>VLOOKUP($A191,'Pre-Assessment Estimator'!$A$10:$Z$227,O$2,FALSE)</f>
        <v>0</v>
      </c>
      <c r="P191" s="443" t="str">
        <f>VLOOKUP($A191,'Pre-Assessment Estimator'!$A$10:$Z$227,P$2,FALSE)</f>
        <v>N/A</v>
      </c>
      <c r="Q191" s="446" t="str">
        <f>IF(VLOOKUP($A191,'Pre-Assessment Estimator'!$A$10:$Z$227,Q$2,FALSE)=0,"",VLOOKUP($A191,'Pre-Assessment Estimator'!$A$10:$Z$227,Q$2,FALSE))</f>
        <v/>
      </c>
      <c r="R191" s="446" t="str">
        <f>IF(VLOOKUP($A191,'Pre-Assessment Estimator'!$A$10:$Z$227,R$2,FALSE)=0,"",VLOOKUP($A191,'Pre-Assessment Estimator'!$A$10:$Z$227,R$2,FALSE))</f>
        <v/>
      </c>
      <c r="S191" s="447" t="str">
        <f>IF(VLOOKUP($A191,'Pre-Assessment Estimator'!$A$10:$Z$227,S$2,FALSE)=0,"",VLOOKUP($A191,'Pre-Assessment Estimator'!$A$10:$Z$227,S$2,FALSE))</f>
        <v/>
      </c>
      <c r="T191" s="450"/>
      <c r="U191" s="449" t="str">
        <f>IF(VLOOKUP($A191,'Pre-Assessment Estimator'!$A$10:$Z$227,U$2,FALSE)=0,"",VLOOKUP($A191,'Pre-Assessment Estimator'!$A$10:$Z$227,U$2,FALSE))</f>
        <v/>
      </c>
      <c r="V191" s="444">
        <f>VLOOKUP($A191,'Pre-Assessment Estimator'!$A$10:$Z$227,V$2,FALSE)</f>
        <v>0</v>
      </c>
      <c r="W191" s="443" t="str">
        <f>VLOOKUP($A191,'Pre-Assessment Estimator'!$A$10:$Z$227,W$2,FALSE)</f>
        <v>N/A</v>
      </c>
      <c r="X191" s="446" t="str">
        <f>IF(VLOOKUP($A191,'Pre-Assessment Estimator'!$A$10:$Z$227,X$2,FALSE)=0,"",VLOOKUP($A191,'Pre-Assessment Estimator'!$A$10:$Z$227,X$2,FALSE))</f>
        <v/>
      </c>
      <c r="Y191" s="446" t="str">
        <f>IF(VLOOKUP($A191,'Pre-Assessment Estimator'!$A$10:$Z$227,Y$2,FALSE)=0,"",VLOOKUP($A191,'Pre-Assessment Estimator'!$A$10:$Z$227,Y$2,FALSE))</f>
        <v/>
      </c>
      <c r="Z191" s="313" t="str">
        <f>IF(VLOOKUP($A191,'Pre-Assessment Estimator'!$A$10:$Z$227,Z$2,FALSE)=0,"",VLOOKUP($A191,'Pre-Assessment Estimator'!$A$10:$Z$227,Z$2,FALSE))</f>
        <v/>
      </c>
      <c r="AA191" s="544">
        <v>179</v>
      </c>
      <c r="AB191" s="454" t="str">
        <f>IF(VLOOKUP($A191,'Pre-Assessment Estimator'!$A$10:$AB$227,AB$2,FALSE)=0,"",VLOOKUP($A191,'Pre-Assessment Estimator'!$A$10:$AB$227,AB$2,FALSE))</f>
        <v/>
      </c>
      <c r="AF191" s="13">
        <f t="shared" si="3"/>
        <v>1</v>
      </c>
    </row>
    <row r="192" spans="1:32">
      <c r="A192" s="652">
        <v>183</v>
      </c>
      <c r="B192" s="958" t="s">
        <v>499</v>
      </c>
      <c r="C192" s="958"/>
      <c r="D192" s="980" t="str">
        <f>VLOOKUP($A192,'Pre-Assessment Estimator'!$A$10:$Z$227,D$2,FALSE)</f>
        <v>LE 08</v>
      </c>
      <c r="E192" s="981" t="str">
        <f>VLOOKUP($A192,'Pre-Assessment Estimator'!$A$10:$Z$227,E$2,FALSE)</f>
        <v>Measures for surface-based water management</v>
      </c>
      <c r="F192" s="443">
        <f>VLOOKUP($A192,'Pre-Assessment Estimator'!$A$10:$Z$227,F$2,FALSE)</f>
        <v>1</v>
      </c>
      <c r="G192" s="449" t="str">
        <f>IF(VLOOKUP($A192,'Pre-Assessment Estimator'!$A$10:$Z$227,G$2,FALSE)=0,"",VLOOKUP($A192,'Pre-Assessment Estimator'!$A$10:$Z$227,G$2,FALSE))</f>
        <v/>
      </c>
      <c r="H192" s="948">
        <f>VLOOKUP($A192,'Pre-Assessment Estimator'!$A$10:$Z$227,H$2,FALSE)</f>
        <v>0</v>
      </c>
      <c r="I192" s="445" t="str">
        <f>VLOOKUP($A192,'Pre-Assessment Estimator'!$A$10:$Z$227,I$2,FALSE)</f>
        <v>N/A</v>
      </c>
      <c r="J192" s="446" t="str">
        <f>IF(VLOOKUP($A192,'Pre-Assessment Estimator'!$A$10:$Z$227,J$2,FALSE)=0,"",VLOOKUP($A192,'Pre-Assessment Estimator'!$A$10:$Z$227,J$2,FALSE))</f>
        <v/>
      </c>
      <c r="K192" s="446" t="str">
        <f>IF(VLOOKUP($A192,'Pre-Assessment Estimator'!$A$10:$Z$227,K$2,FALSE)=0,"",VLOOKUP($A192,'Pre-Assessment Estimator'!$A$10:$Z$227,K$2,FALSE))</f>
        <v/>
      </c>
      <c r="L192" s="447" t="str">
        <f>IF(VLOOKUP($A192,'Pre-Assessment Estimator'!$A$10:$Z$227,L$2,FALSE)=0,"",VLOOKUP($A192,'Pre-Assessment Estimator'!$A$10:$Z$227,L$2,FALSE))</f>
        <v/>
      </c>
      <c r="M192" s="448"/>
      <c r="N192" s="449" t="str">
        <f>IF(VLOOKUP($A192,'Pre-Assessment Estimator'!$A$10:$Z$227,N$2,FALSE)=0,"",VLOOKUP($A192,'Pre-Assessment Estimator'!$A$10:$Z$227,N$2,FALSE))</f>
        <v/>
      </c>
      <c r="O192" s="444">
        <f>VLOOKUP($A192,'Pre-Assessment Estimator'!$A$10:$Z$227,O$2,FALSE)</f>
        <v>0</v>
      </c>
      <c r="P192" s="443" t="str">
        <f>VLOOKUP($A192,'Pre-Assessment Estimator'!$A$10:$Z$227,P$2,FALSE)</f>
        <v>N/A</v>
      </c>
      <c r="Q192" s="446" t="str">
        <f>IF(VLOOKUP($A192,'Pre-Assessment Estimator'!$A$10:$Z$227,Q$2,FALSE)=0,"",VLOOKUP($A192,'Pre-Assessment Estimator'!$A$10:$Z$227,Q$2,FALSE))</f>
        <v/>
      </c>
      <c r="R192" s="446" t="str">
        <f>IF(VLOOKUP($A192,'Pre-Assessment Estimator'!$A$10:$Z$227,R$2,FALSE)=0,"",VLOOKUP($A192,'Pre-Assessment Estimator'!$A$10:$Z$227,R$2,FALSE))</f>
        <v/>
      </c>
      <c r="S192" s="447" t="str">
        <f>IF(VLOOKUP($A192,'Pre-Assessment Estimator'!$A$10:$Z$227,S$2,FALSE)=0,"",VLOOKUP($A192,'Pre-Assessment Estimator'!$A$10:$Z$227,S$2,FALSE))</f>
        <v/>
      </c>
      <c r="T192" s="450"/>
      <c r="U192" s="449" t="str">
        <f>IF(VLOOKUP($A192,'Pre-Assessment Estimator'!$A$10:$Z$227,U$2,FALSE)=0,"",VLOOKUP($A192,'Pre-Assessment Estimator'!$A$10:$Z$227,U$2,FALSE))</f>
        <v/>
      </c>
      <c r="V192" s="444">
        <f>VLOOKUP($A192,'Pre-Assessment Estimator'!$A$10:$Z$227,V$2,FALSE)</f>
        <v>0</v>
      </c>
      <c r="W192" s="443" t="str">
        <f>VLOOKUP($A192,'Pre-Assessment Estimator'!$A$10:$Z$227,W$2,FALSE)</f>
        <v>N/A</v>
      </c>
      <c r="X192" s="446" t="str">
        <f>IF(VLOOKUP($A192,'Pre-Assessment Estimator'!$A$10:$Z$227,X$2,FALSE)=0,"",VLOOKUP($A192,'Pre-Assessment Estimator'!$A$10:$Z$227,X$2,FALSE))</f>
        <v/>
      </c>
      <c r="Y192" s="446" t="str">
        <f>IF(VLOOKUP($A192,'Pre-Assessment Estimator'!$A$10:$Z$227,Y$2,FALSE)=0,"",VLOOKUP($A192,'Pre-Assessment Estimator'!$A$10:$Z$227,Y$2,FALSE))</f>
        <v/>
      </c>
      <c r="Z192" s="313" t="str">
        <f>IF(VLOOKUP($A192,'Pre-Assessment Estimator'!$A$10:$Z$227,Z$2,FALSE)=0,"",VLOOKUP($A192,'Pre-Assessment Estimator'!$A$10:$Z$227,Z$2,FALSE))</f>
        <v/>
      </c>
      <c r="AA192" s="544">
        <v>180</v>
      </c>
      <c r="AB192" s="545" t="str">
        <f>IF(VLOOKUP($A192,'Pre-Assessment Estimator'!$A$10:$AB$227,AB$2,FALSE)=0,"",VLOOKUP($A192,'Pre-Assessment Estimator'!$A$10:$AB$227,AB$2,FALSE))</f>
        <v/>
      </c>
      <c r="AF192" s="13">
        <f t="shared" si="3"/>
        <v>1</v>
      </c>
    </row>
    <row r="193" spans="1:32" ht="30" customHeight="1" thickBot="1">
      <c r="A193" s="652">
        <v>184</v>
      </c>
      <c r="B193" s="958" t="s">
        <v>499</v>
      </c>
      <c r="C193" s="958"/>
      <c r="D193" s="982"/>
      <c r="E193" s="982" t="str">
        <f>VLOOKUP($A193,'Pre-Assessment Estimator'!$A$10:$Z$227,E$2,FALSE)</f>
        <v>Total performance land use and ecology</v>
      </c>
      <c r="F193" s="451">
        <f>VLOOKUP($A193,'Pre-Assessment Estimator'!$A$10:$Z$227,F$2,FALSE)</f>
        <v>19</v>
      </c>
      <c r="G193" s="453" t="str">
        <f>IF(VLOOKUP($A193,'Pre-Assessment Estimator'!$A$10:$Z$227,G$2,FALSE)=0,"",VLOOKUP($A193,'Pre-Assessment Estimator'!$A$10:$Z$227,G$2,FALSE))</f>
        <v/>
      </c>
      <c r="H193" s="452">
        <f>VLOOKUP($A193,'Pre-Assessment Estimator'!$A$10:$Z$227,H$2,FALSE)</f>
        <v>0</v>
      </c>
      <c r="I193" s="451" t="str">
        <f>VLOOKUP($A193,'Pre-Assessment Estimator'!$A$10:$Z$227,I$2,FALSE)</f>
        <v>Credits achieved: 0</v>
      </c>
      <c r="J193" s="930" t="str">
        <f>IF(VLOOKUP($A193,'Pre-Assessment Estimator'!$A$10:$Z$227,J$2,FALSE)=0,"",VLOOKUP($A193,'Pre-Assessment Estimator'!$A$10:$Z$227,J$2,FALSE))</f>
        <v/>
      </c>
      <c r="K193" s="930" t="str">
        <f>IF(VLOOKUP($A193,'Pre-Assessment Estimator'!$A$10:$Z$227,K$2,FALSE)=0,"",VLOOKUP($A193,'Pre-Assessment Estimator'!$A$10:$Z$227,K$2,FALSE))</f>
        <v/>
      </c>
      <c r="L193" s="949" t="str">
        <f>IF(VLOOKUP($A193,'Pre-Assessment Estimator'!$A$10:$Z$227,L$2,FALSE)=0,"",VLOOKUP($A193,'Pre-Assessment Estimator'!$A$10:$Z$227,L$2,FALSE))</f>
        <v/>
      </c>
      <c r="M193" s="950"/>
      <c r="N193" s="453" t="str">
        <f>IF(VLOOKUP($A193,'Pre-Assessment Estimator'!$A$10:$Z$227,N$2,FALSE)=0,"",VLOOKUP($A193,'Pre-Assessment Estimator'!$A$10:$Z$227,N$2,FALSE))</f>
        <v/>
      </c>
      <c r="O193" s="452">
        <f>VLOOKUP($A193,'Pre-Assessment Estimator'!$A$10:$Z$227,O$2,FALSE)</f>
        <v>0</v>
      </c>
      <c r="P193" s="451" t="str">
        <f>VLOOKUP($A193,'Pre-Assessment Estimator'!$A$10:$Z$227,P$2,FALSE)</f>
        <v>Credits achieved: 0</v>
      </c>
      <c r="Q193" s="930" t="str">
        <f>IF(VLOOKUP($A193,'Pre-Assessment Estimator'!$A$10:$Z$227,Q$2,FALSE)=0,"",VLOOKUP($A193,'Pre-Assessment Estimator'!$A$10:$Z$227,Q$2,FALSE))</f>
        <v/>
      </c>
      <c r="R193" s="930" t="str">
        <f>IF(VLOOKUP($A193,'Pre-Assessment Estimator'!$A$10:$Z$227,R$2,FALSE)=0,"",VLOOKUP($A193,'Pre-Assessment Estimator'!$A$10:$Z$227,R$2,FALSE))</f>
        <v/>
      </c>
      <c r="S193" s="949" t="str">
        <f>IF(VLOOKUP($A193,'Pre-Assessment Estimator'!$A$10:$Z$227,S$2,FALSE)=0,"",VLOOKUP($A193,'Pre-Assessment Estimator'!$A$10:$Z$227,S$2,FALSE))</f>
        <v/>
      </c>
      <c r="T193" s="951"/>
      <c r="U193" s="453" t="str">
        <f>IF(VLOOKUP($A193,'Pre-Assessment Estimator'!$A$10:$Z$227,U$2,FALSE)=0,"",VLOOKUP($A193,'Pre-Assessment Estimator'!$A$10:$Z$227,U$2,FALSE))</f>
        <v/>
      </c>
      <c r="V193" s="452">
        <f>VLOOKUP($A193,'Pre-Assessment Estimator'!$A$10:$Z$227,V$2,FALSE)</f>
        <v>0</v>
      </c>
      <c r="W193" s="451" t="str">
        <f>VLOOKUP($A193,'Pre-Assessment Estimator'!$A$10:$Z$227,W$2,FALSE)</f>
        <v>Credits achieved: 0</v>
      </c>
      <c r="X193" s="930" t="str">
        <f>IF(VLOOKUP($A193,'Pre-Assessment Estimator'!$A$10:$Z$227,X$2,FALSE)=0,"",VLOOKUP($A193,'Pre-Assessment Estimator'!$A$10:$Z$227,X$2,FALSE))</f>
        <v/>
      </c>
      <c r="Y193" s="930" t="str">
        <f>IF(VLOOKUP($A193,'Pre-Assessment Estimator'!$A$10:$Z$227,Y$2,FALSE)=0,"",VLOOKUP($A193,'Pre-Assessment Estimator'!$A$10:$Z$227,Y$2,FALSE))</f>
        <v/>
      </c>
      <c r="Z193" s="952" t="str">
        <f>IF(VLOOKUP($A193,'Pre-Assessment Estimator'!$A$10:$Z$227,Z$2,FALSE)=0,"",VLOOKUP($A193,'Pre-Assessment Estimator'!$A$10:$Z$227,Z$2,FALSE))</f>
        <v/>
      </c>
      <c r="AA193" s="544">
        <v>181</v>
      </c>
      <c r="AB193" s="446" t="str">
        <f>IF(VLOOKUP($A193,'Pre-Assessment Estimator'!$A$10:$AB$227,AB$2,FALSE)=0,"",VLOOKUP($A193,'Pre-Assessment Estimator'!$A$10:$AB$227,AB$2,FALSE))</f>
        <v/>
      </c>
      <c r="AF193" s="13">
        <f t="shared" si="3"/>
        <v>1</v>
      </c>
    </row>
    <row r="194" spans="1:32">
      <c r="A194" s="652">
        <v>185</v>
      </c>
      <c r="B194" s="958" t="s">
        <v>499</v>
      </c>
      <c r="C194" s="958"/>
      <c r="D194" s="454"/>
      <c r="E194" s="454"/>
      <c r="F194" s="455"/>
      <c r="G194" s="455"/>
      <c r="H194" s="455"/>
      <c r="I194" s="455"/>
      <c r="J194" s="454"/>
      <c r="K194" s="455"/>
      <c r="L194" s="454"/>
      <c r="M194" s="448"/>
      <c r="N194" s="455"/>
      <c r="O194" s="455"/>
      <c r="P194" s="455"/>
      <c r="Q194" s="454"/>
      <c r="R194" s="455"/>
      <c r="S194" s="454"/>
      <c r="T194" s="450"/>
      <c r="U194" s="455"/>
      <c r="V194" s="455"/>
      <c r="W194" s="455"/>
      <c r="X194" s="454"/>
      <c r="Y194" s="455"/>
      <c r="Z194" s="291"/>
      <c r="AA194" s="544">
        <v>182</v>
      </c>
      <c r="AB194" s="446" t="str">
        <f>IF(VLOOKUP($A194,'Pre-Assessment Estimator'!$A$10:$AB$227,AB$2,FALSE)=0,"",VLOOKUP($A194,'Pre-Assessment Estimator'!$A$10:$AB$227,AB$2,FALSE))</f>
        <v/>
      </c>
      <c r="AF194" s="13">
        <f t="shared" si="3"/>
        <v>1</v>
      </c>
    </row>
    <row r="195" spans="1:32" ht="18.75">
      <c r="A195" s="652">
        <v>186</v>
      </c>
      <c r="B195" s="958" t="s">
        <v>499</v>
      </c>
      <c r="C195" s="958"/>
      <c r="D195" s="456"/>
      <c r="E195" s="456" t="s">
        <v>499</v>
      </c>
      <c r="F195" s="439"/>
      <c r="G195" s="439"/>
      <c r="H195" s="439"/>
      <c r="I195" s="439"/>
      <c r="J195" s="440"/>
      <c r="K195" s="439"/>
      <c r="L195" s="440"/>
      <c r="M195" s="448"/>
      <c r="N195" s="439"/>
      <c r="O195" s="439"/>
      <c r="P195" s="439"/>
      <c r="Q195" s="440"/>
      <c r="R195" s="439"/>
      <c r="S195" s="440"/>
      <c r="T195" s="450"/>
      <c r="U195" s="439"/>
      <c r="V195" s="439"/>
      <c r="W195" s="439"/>
      <c r="X195" s="440"/>
      <c r="Y195" s="439"/>
      <c r="Z195" s="341"/>
      <c r="AA195" s="544">
        <v>183</v>
      </c>
      <c r="AB195" s="446"/>
      <c r="AF195" s="13">
        <f t="shared" si="3"/>
        <v>1</v>
      </c>
    </row>
    <row r="196" spans="1:32">
      <c r="A196" s="652">
        <v>187</v>
      </c>
      <c r="B196" s="958" t="s">
        <v>499</v>
      </c>
      <c r="C196" s="958"/>
      <c r="D196" s="979" t="str">
        <f>VLOOKUP($A196,'Pre-Assessment Estimator'!$A$10:$Z$227,D$2,FALSE)</f>
        <v>POL 01</v>
      </c>
      <c r="E196" s="979" t="str">
        <f>VLOOKUP($A196,'Pre-Assessment Estimator'!$A$10:$Z$227,E$2,FALSE)</f>
        <v>POL 01 Impacts of refrigerants</v>
      </c>
      <c r="F196" s="443">
        <f>VLOOKUP($A196,'Pre-Assessment Estimator'!$A$10:$Z$227,F$2,FALSE)</f>
        <v>3</v>
      </c>
      <c r="G196" s="449" t="str">
        <f>IF(VLOOKUP($A196,'Pre-Assessment Estimator'!$A$10:$Z$227,G$2,FALSE)=0,"",VLOOKUP($A196,'Pre-Assessment Estimator'!$A$10:$Z$227,G$2,FALSE))</f>
        <v/>
      </c>
      <c r="H196" s="948" t="str">
        <f>VLOOKUP($A196,'Pre-Assessment Estimator'!$A$10:$Z$227,H$2,FALSE)</f>
        <v>0 c. 0 %</v>
      </c>
      <c r="I196" s="445" t="str">
        <f>VLOOKUP($A196,'Pre-Assessment Estimator'!$A$10:$Z$227,I$2,FALSE)</f>
        <v>N/A</v>
      </c>
      <c r="J196" s="446" t="str">
        <f>IF(VLOOKUP($A196,'Pre-Assessment Estimator'!$A$10:$Z$227,J$2,FALSE)=0,"",VLOOKUP($A196,'Pre-Assessment Estimator'!$A$10:$Z$227,J$2,FALSE))</f>
        <v/>
      </c>
      <c r="K196" s="446" t="str">
        <f>IF(VLOOKUP($A196,'Pre-Assessment Estimator'!$A$10:$Z$227,K$2,FALSE)=0,"",VLOOKUP($A196,'Pre-Assessment Estimator'!$A$10:$Z$227,K$2,FALSE))</f>
        <v/>
      </c>
      <c r="L196" s="447" t="str">
        <f>IF(VLOOKUP($A196,'Pre-Assessment Estimator'!$A$10:$Z$227,L$2,FALSE)=0,"",VLOOKUP($A196,'Pre-Assessment Estimator'!$A$10:$Z$227,L$2,FALSE))</f>
        <v/>
      </c>
      <c r="M196" s="448"/>
      <c r="N196" s="449" t="str">
        <f>IF(VLOOKUP($A196,'Pre-Assessment Estimator'!$A$10:$Z$227,N$2,FALSE)=0,"",VLOOKUP($A196,'Pre-Assessment Estimator'!$A$10:$Z$227,N$2,FALSE))</f>
        <v/>
      </c>
      <c r="O196" s="444" t="str">
        <f>VLOOKUP($A196,'Pre-Assessment Estimator'!$A$10:$Z$227,O$2,FALSE)</f>
        <v>0 c. 0 %</v>
      </c>
      <c r="P196" s="443" t="str">
        <f>VLOOKUP($A196,'Pre-Assessment Estimator'!$A$10:$Z$227,P$2,FALSE)</f>
        <v>N/A</v>
      </c>
      <c r="Q196" s="446" t="str">
        <f>IF(VLOOKUP($A196,'Pre-Assessment Estimator'!$A$10:$Z$227,Q$2,FALSE)=0,"",VLOOKUP($A196,'Pre-Assessment Estimator'!$A$10:$Z$227,Q$2,FALSE))</f>
        <v/>
      </c>
      <c r="R196" s="446" t="str">
        <f>IF(VLOOKUP($A196,'Pre-Assessment Estimator'!$A$10:$Z$227,R$2,FALSE)=0,"",VLOOKUP($A196,'Pre-Assessment Estimator'!$A$10:$Z$227,R$2,FALSE))</f>
        <v/>
      </c>
      <c r="S196" s="447" t="str">
        <f>IF(VLOOKUP($A196,'Pre-Assessment Estimator'!$A$10:$Z$227,S$2,FALSE)=0,"",VLOOKUP($A196,'Pre-Assessment Estimator'!$A$10:$Z$227,S$2,FALSE))</f>
        <v/>
      </c>
      <c r="T196" s="450"/>
      <c r="U196" s="449" t="str">
        <f>IF(VLOOKUP($A196,'Pre-Assessment Estimator'!$A$10:$Z$227,U$2,FALSE)=0,"",VLOOKUP($A196,'Pre-Assessment Estimator'!$A$10:$Z$227,U$2,FALSE))</f>
        <v/>
      </c>
      <c r="V196" s="444" t="str">
        <f>VLOOKUP($A196,'Pre-Assessment Estimator'!$A$10:$Z$227,V$2,FALSE)</f>
        <v>0 c. 0 %</v>
      </c>
      <c r="W196" s="443" t="str">
        <f>VLOOKUP($A196,'Pre-Assessment Estimator'!$A$10:$Z$227,W$2,FALSE)</f>
        <v>N/A</v>
      </c>
      <c r="X196" s="446" t="str">
        <f>IF(VLOOKUP($A196,'Pre-Assessment Estimator'!$A$10:$Z$227,X$2,FALSE)=0,"",VLOOKUP($A196,'Pre-Assessment Estimator'!$A$10:$Z$227,X$2,FALSE))</f>
        <v/>
      </c>
      <c r="Y196" s="446" t="str">
        <f>IF(VLOOKUP($A196,'Pre-Assessment Estimator'!$A$10:$Z$227,Y$2,FALSE)=0,"",VLOOKUP($A196,'Pre-Assessment Estimator'!$A$10:$Z$227,Y$2,FALSE))</f>
        <v/>
      </c>
      <c r="Z196" s="313" t="str">
        <f>IF(VLOOKUP($A196,'Pre-Assessment Estimator'!$A$10:$Z$227,Z$2,FALSE)=0,"",VLOOKUP($A196,'Pre-Assessment Estimator'!$A$10:$Z$227,Z$2,FALSE))</f>
        <v/>
      </c>
      <c r="AA196" s="544">
        <v>184</v>
      </c>
      <c r="AB196" s="446"/>
      <c r="AF196" s="13">
        <f t="shared" si="3"/>
        <v>1</v>
      </c>
    </row>
    <row r="197" spans="1:32">
      <c r="A197" s="652">
        <v>188</v>
      </c>
      <c r="B197" s="958" t="s">
        <v>499</v>
      </c>
      <c r="C197" s="958"/>
      <c r="D197" s="980" t="str">
        <f>VLOOKUP($A197,'Pre-Assessment Estimator'!$A$10:$Z$227,D$2,FALSE)</f>
        <v>POL 01</v>
      </c>
      <c r="E197" s="980" t="str">
        <f>VLOOKUP($A197,'Pre-Assessment Estimator'!$A$10:$Z$227,E$2,FALSE)</f>
        <v>No refrigerants in the building</v>
      </c>
      <c r="F197" s="443">
        <f>VLOOKUP($A197,'Pre-Assessment Estimator'!$A$10:$Z$227,F$2,FALSE)</f>
        <v>3</v>
      </c>
      <c r="G197" s="449" t="str">
        <f>IF(VLOOKUP($A197,'Pre-Assessment Estimator'!$A$10:$Z$227,G$2,FALSE)=0,"",VLOOKUP($A197,'Pre-Assessment Estimator'!$A$10:$Z$227,G$2,FALSE))</f>
        <v/>
      </c>
      <c r="H197" s="948">
        <f>VLOOKUP($A197,'Pre-Assessment Estimator'!$A$10:$Z$227,H$2,FALSE)</f>
        <v>0</v>
      </c>
      <c r="I197" s="445" t="str">
        <f>VLOOKUP($A197,'Pre-Assessment Estimator'!$A$10:$Z$227,I$2,FALSE)</f>
        <v>N/A</v>
      </c>
      <c r="J197" s="446" t="str">
        <f>IF(VLOOKUP($A197,'Pre-Assessment Estimator'!$A$10:$Z$227,J$2,FALSE)=0,"",VLOOKUP($A197,'Pre-Assessment Estimator'!$A$10:$Z$227,J$2,FALSE))</f>
        <v/>
      </c>
      <c r="K197" s="446" t="str">
        <f>IF(VLOOKUP($A197,'Pre-Assessment Estimator'!$A$10:$Z$227,K$2,FALSE)=0,"",VLOOKUP($A197,'Pre-Assessment Estimator'!$A$10:$Z$227,K$2,FALSE))</f>
        <v/>
      </c>
      <c r="L197" s="447" t="str">
        <f>IF(VLOOKUP($A197,'Pre-Assessment Estimator'!$A$10:$Z$227,L$2,FALSE)=0,"",VLOOKUP($A197,'Pre-Assessment Estimator'!$A$10:$Z$227,L$2,FALSE))</f>
        <v/>
      </c>
      <c r="M197" s="448"/>
      <c r="N197" s="449" t="str">
        <f>IF(VLOOKUP($A197,'Pre-Assessment Estimator'!$A$10:$Z$227,N$2,FALSE)=0,"",VLOOKUP($A197,'Pre-Assessment Estimator'!$A$10:$Z$227,N$2,FALSE))</f>
        <v/>
      </c>
      <c r="O197" s="444">
        <f>VLOOKUP($A197,'Pre-Assessment Estimator'!$A$10:$Z$227,O$2,FALSE)</f>
        <v>0</v>
      </c>
      <c r="P197" s="443" t="str">
        <f>VLOOKUP($A197,'Pre-Assessment Estimator'!$A$10:$Z$227,P$2,FALSE)</f>
        <v>N/A</v>
      </c>
      <c r="Q197" s="446" t="str">
        <f>IF(VLOOKUP($A197,'Pre-Assessment Estimator'!$A$10:$Z$227,Q$2,FALSE)=0,"",VLOOKUP($A197,'Pre-Assessment Estimator'!$A$10:$Z$227,Q$2,FALSE))</f>
        <v/>
      </c>
      <c r="R197" s="446" t="str">
        <f>IF(VLOOKUP($A197,'Pre-Assessment Estimator'!$A$10:$Z$227,R$2,FALSE)=0,"",VLOOKUP($A197,'Pre-Assessment Estimator'!$A$10:$Z$227,R$2,FALSE))</f>
        <v/>
      </c>
      <c r="S197" s="447" t="str">
        <f>IF(VLOOKUP($A197,'Pre-Assessment Estimator'!$A$10:$Z$227,S$2,FALSE)=0,"",VLOOKUP($A197,'Pre-Assessment Estimator'!$A$10:$Z$227,S$2,FALSE))</f>
        <v/>
      </c>
      <c r="T197" s="450"/>
      <c r="U197" s="449" t="str">
        <f>IF(VLOOKUP($A197,'Pre-Assessment Estimator'!$A$10:$Z$227,U$2,FALSE)=0,"",VLOOKUP($A197,'Pre-Assessment Estimator'!$A$10:$Z$227,U$2,FALSE))</f>
        <v/>
      </c>
      <c r="V197" s="444">
        <f>VLOOKUP($A197,'Pre-Assessment Estimator'!$A$10:$Z$227,V$2,FALSE)</f>
        <v>0</v>
      </c>
      <c r="W197" s="443" t="str">
        <f>VLOOKUP($A197,'Pre-Assessment Estimator'!$A$10:$Z$227,W$2,FALSE)</f>
        <v>N/A</v>
      </c>
      <c r="X197" s="446" t="str">
        <f>IF(VLOOKUP($A197,'Pre-Assessment Estimator'!$A$10:$Z$227,X$2,FALSE)=0,"",VLOOKUP($A197,'Pre-Assessment Estimator'!$A$10:$Z$227,X$2,FALSE))</f>
        <v/>
      </c>
      <c r="Y197" s="446" t="str">
        <f>IF(VLOOKUP($A197,'Pre-Assessment Estimator'!$A$10:$Z$227,Y$2,FALSE)=0,"",VLOOKUP($A197,'Pre-Assessment Estimator'!$A$10:$Z$227,Y$2,FALSE))</f>
        <v/>
      </c>
      <c r="Z197" s="313" t="str">
        <f>IF(VLOOKUP($A197,'Pre-Assessment Estimator'!$A$10:$Z$227,Z$2,FALSE)=0,"",VLOOKUP($A197,'Pre-Assessment Estimator'!$A$10:$Z$227,Z$2,FALSE))</f>
        <v/>
      </c>
      <c r="AA197" s="544">
        <v>185</v>
      </c>
      <c r="AB197" s="446"/>
      <c r="AF197" s="13">
        <f t="shared" si="3"/>
        <v>1</v>
      </c>
    </row>
    <row r="198" spans="1:32">
      <c r="A198" s="652">
        <v>189</v>
      </c>
      <c r="B198" s="958" t="s">
        <v>499</v>
      </c>
      <c r="C198" s="958"/>
      <c r="D198" s="980" t="str">
        <f>VLOOKUP($A198,'Pre-Assessment Estimator'!$A$10:$Z$227,D$2,FALSE)</f>
        <v>POL 01</v>
      </c>
      <c r="E198" s="980" t="str">
        <f>VLOOKUP($A198,'Pre-Assessment Estimator'!$A$10:$Z$227,E$2,FALSE)</f>
        <v>Pre-requisite: impact of refrigerants</v>
      </c>
      <c r="F198" s="443">
        <f>VLOOKUP($A198,'Pre-Assessment Estimator'!$A$10:$Z$227,F$2,FALSE)</f>
        <v>0</v>
      </c>
      <c r="G198" s="449" t="str">
        <f>IF(VLOOKUP($A198,'Pre-Assessment Estimator'!$A$10:$Z$227,G$2,FALSE)=0,"",VLOOKUP($A198,'Pre-Assessment Estimator'!$A$10:$Z$227,G$2,FALSE))</f>
        <v/>
      </c>
      <c r="H198" s="948" t="str">
        <f>VLOOKUP($A198,'Pre-Assessment Estimator'!$A$10:$Z$227,H$2,FALSE)</f>
        <v>-</v>
      </c>
      <c r="I198" s="445" t="str">
        <f>VLOOKUP($A198,'Pre-Assessment Estimator'!$A$10:$Z$227,I$2,FALSE)</f>
        <v>N/A</v>
      </c>
      <c r="J198" s="446" t="str">
        <f>IF(VLOOKUP($A198,'Pre-Assessment Estimator'!$A$10:$Z$227,J$2,FALSE)=0,"",VLOOKUP($A198,'Pre-Assessment Estimator'!$A$10:$Z$227,J$2,FALSE))</f>
        <v/>
      </c>
      <c r="K198" s="446" t="str">
        <f>IF(VLOOKUP($A198,'Pre-Assessment Estimator'!$A$10:$Z$227,K$2,FALSE)=0,"",VLOOKUP($A198,'Pre-Assessment Estimator'!$A$10:$Z$227,K$2,FALSE))</f>
        <v/>
      </c>
      <c r="L198" s="447" t="str">
        <f>IF(VLOOKUP($A198,'Pre-Assessment Estimator'!$A$10:$Z$227,L$2,FALSE)=0,"",VLOOKUP($A198,'Pre-Assessment Estimator'!$A$10:$Z$227,L$2,FALSE))</f>
        <v/>
      </c>
      <c r="M198" s="448"/>
      <c r="N198" s="449" t="str">
        <f>IF(VLOOKUP($A198,'Pre-Assessment Estimator'!$A$10:$Z$227,N$2,FALSE)=0,"",VLOOKUP($A198,'Pre-Assessment Estimator'!$A$10:$Z$227,N$2,FALSE))</f>
        <v/>
      </c>
      <c r="O198" s="444" t="str">
        <f>VLOOKUP($A198,'Pre-Assessment Estimator'!$A$10:$Z$227,O$2,FALSE)</f>
        <v>-</v>
      </c>
      <c r="P198" s="443" t="str">
        <f>VLOOKUP($A198,'Pre-Assessment Estimator'!$A$10:$Z$227,P$2,FALSE)</f>
        <v>N/A</v>
      </c>
      <c r="Q198" s="446" t="str">
        <f>IF(VLOOKUP($A198,'Pre-Assessment Estimator'!$A$10:$Z$227,Q$2,FALSE)=0,"",VLOOKUP($A198,'Pre-Assessment Estimator'!$A$10:$Z$227,Q$2,FALSE))</f>
        <v/>
      </c>
      <c r="R198" s="446" t="str">
        <f>IF(VLOOKUP($A198,'Pre-Assessment Estimator'!$A$10:$Z$227,R$2,FALSE)=0,"",VLOOKUP($A198,'Pre-Assessment Estimator'!$A$10:$Z$227,R$2,FALSE))</f>
        <v/>
      </c>
      <c r="S198" s="447" t="str">
        <f>IF(VLOOKUP($A198,'Pre-Assessment Estimator'!$A$10:$Z$227,S$2,FALSE)=0,"",VLOOKUP($A198,'Pre-Assessment Estimator'!$A$10:$Z$227,S$2,FALSE))</f>
        <v/>
      </c>
      <c r="T198" s="450"/>
      <c r="U198" s="449" t="str">
        <f>IF(VLOOKUP($A198,'Pre-Assessment Estimator'!$A$10:$Z$227,U$2,FALSE)=0,"",VLOOKUP($A198,'Pre-Assessment Estimator'!$A$10:$Z$227,U$2,FALSE))</f>
        <v/>
      </c>
      <c r="V198" s="444" t="str">
        <f>VLOOKUP($A198,'Pre-Assessment Estimator'!$A$10:$Z$227,V$2,FALSE)</f>
        <v>-</v>
      </c>
      <c r="W198" s="443" t="str">
        <f>VLOOKUP($A198,'Pre-Assessment Estimator'!$A$10:$Z$227,W$2,FALSE)</f>
        <v>N/A</v>
      </c>
      <c r="X198" s="446" t="str">
        <f>IF(VLOOKUP($A198,'Pre-Assessment Estimator'!$A$10:$Z$227,X$2,FALSE)=0,"",VLOOKUP($A198,'Pre-Assessment Estimator'!$A$10:$Z$227,X$2,FALSE))</f>
        <v/>
      </c>
      <c r="Y198" s="446" t="str">
        <f>IF(VLOOKUP($A198,'Pre-Assessment Estimator'!$A$10:$Z$227,Y$2,FALSE)=0,"",VLOOKUP($A198,'Pre-Assessment Estimator'!$A$10:$Z$227,Y$2,FALSE))</f>
        <v/>
      </c>
      <c r="Z198" s="313" t="str">
        <f>IF(VLOOKUP($A198,'Pre-Assessment Estimator'!$A$10:$Z$227,Z$2,FALSE)=0,"",VLOOKUP($A198,'Pre-Assessment Estimator'!$A$10:$Z$227,Z$2,FALSE))</f>
        <v/>
      </c>
      <c r="AA198" s="544">
        <v>186</v>
      </c>
      <c r="AB198" s="446"/>
      <c r="AF198" s="13">
        <f t="shared" si="3"/>
        <v>2</v>
      </c>
    </row>
    <row r="199" spans="1:32">
      <c r="A199" s="652">
        <v>190</v>
      </c>
      <c r="B199" s="958" t="s">
        <v>499</v>
      </c>
      <c r="C199" s="958"/>
      <c r="D199" s="980" t="str">
        <f>VLOOKUP($A199,'Pre-Assessment Estimator'!$A$10:$Z$227,D$2,FALSE)</f>
        <v>POL 01</v>
      </c>
      <c r="E199" s="980" t="str">
        <f>VLOOKUP($A199,'Pre-Assessment Estimator'!$A$10:$Z$227,E$2,FALSE)</f>
        <v>Impact of refrigerants</v>
      </c>
      <c r="F199" s="443">
        <f>VLOOKUP($A199,'Pre-Assessment Estimator'!$A$10:$Z$227,F$2,FALSE)</f>
        <v>0</v>
      </c>
      <c r="G199" s="449" t="str">
        <f>IF(VLOOKUP($A199,'Pre-Assessment Estimator'!$A$10:$Z$227,G$2,FALSE)=0,"",VLOOKUP($A199,'Pre-Assessment Estimator'!$A$10:$Z$227,G$2,FALSE))</f>
        <v/>
      </c>
      <c r="H199" s="948">
        <f>VLOOKUP($A199,'Pre-Assessment Estimator'!$A$10:$Z$227,H$2,FALSE)</f>
        <v>0</v>
      </c>
      <c r="I199" s="445" t="str">
        <f>VLOOKUP($A199,'Pre-Assessment Estimator'!$A$10:$Z$227,I$2,FALSE)</f>
        <v>N/A</v>
      </c>
      <c r="J199" s="446" t="str">
        <f>IF(VLOOKUP($A199,'Pre-Assessment Estimator'!$A$10:$Z$227,J$2,FALSE)=0,"",VLOOKUP($A199,'Pre-Assessment Estimator'!$A$10:$Z$227,J$2,FALSE))</f>
        <v/>
      </c>
      <c r="K199" s="446" t="str">
        <f>IF(VLOOKUP($A199,'Pre-Assessment Estimator'!$A$10:$Z$227,K$2,FALSE)=0,"",VLOOKUP($A199,'Pre-Assessment Estimator'!$A$10:$Z$227,K$2,FALSE))</f>
        <v/>
      </c>
      <c r="L199" s="447" t="str">
        <f>IF(VLOOKUP($A199,'Pre-Assessment Estimator'!$A$10:$Z$227,L$2,FALSE)=0,"",VLOOKUP($A199,'Pre-Assessment Estimator'!$A$10:$Z$227,L$2,FALSE))</f>
        <v/>
      </c>
      <c r="M199" s="448"/>
      <c r="N199" s="449" t="str">
        <f>IF(VLOOKUP($A199,'Pre-Assessment Estimator'!$A$10:$Z$227,N$2,FALSE)=0,"",VLOOKUP($A199,'Pre-Assessment Estimator'!$A$10:$Z$227,N$2,FALSE))</f>
        <v/>
      </c>
      <c r="O199" s="444">
        <f>VLOOKUP($A199,'Pre-Assessment Estimator'!$A$10:$Z$227,O$2,FALSE)</f>
        <v>0</v>
      </c>
      <c r="P199" s="443" t="str">
        <f>VLOOKUP($A199,'Pre-Assessment Estimator'!$A$10:$Z$227,P$2,FALSE)</f>
        <v>N/A</v>
      </c>
      <c r="Q199" s="446" t="str">
        <f>IF(VLOOKUP($A199,'Pre-Assessment Estimator'!$A$10:$Z$227,Q$2,FALSE)=0,"",VLOOKUP($A199,'Pre-Assessment Estimator'!$A$10:$Z$227,Q$2,FALSE))</f>
        <v/>
      </c>
      <c r="R199" s="446" t="str">
        <f>IF(VLOOKUP($A199,'Pre-Assessment Estimator'!$A$10:$Z$227,R$2,FALSE)=0,"",VLOOKUP($A199,'Pre-Assessment Estimator'!$A$10:$Z$227,R$2,FALSE))</f>
        <v/>
      </c>
      <c r="S199" s="447" t="str">
        <f>IF(VLOOKUP($A199,'Pre-Assessment Estimator'!$A$10:$Z$227,S$2,FALSE)=0,"",VLOOKUP($A199,'Pre-Assessment Estimator'!$A$10:$Z$227,S$2,FALSE))</f>
        <v/>
      </c>
      <c r="T199" s="450"/>
      <c r="U199" s="449" t="str">
        <f>IF(VLOOKUP($A199,'Pre-Assessment Estimator'!$A$10:$Z$227,U$2,FALSE)=0,"",VLOOKUP($A199,'Pre-Assessment Estimator'!$A$10:$Z$227,U$2,FALSE))</f>
        <v/>
      </c>
      <c r="V199" s="444">
        <f>VLOOKUP($A199,'Pre-Assessment Estimator'!$A$10:$Z$227,V$2,FALSE)</f>
        <v>0</v>
      </c>
      <c r="W199" s="443" t="str">
        <f>VLOOKUP($A199,'Pre-Assessment Estimator'!$A$10:$Z$227,W$2,FALSE)</f>
        <v>N/A</v>
      </c>
      <c r="X199" s="446" t="str">
        <f>IF(VLOOKUP($A199,'Pre-Assessment Estimator'!$A$10:$Z$227,X$2,FALSE)=0,"",VLOOKUP($A199,'Pre-Assessment Estimator'!$A$10:$Z$227,X$2,FALSE))</f>
        <v/>
      </c>
      <c r="Y199" s="446" t="str">
        <f>IF(VLOOKUP($A199,'Pre-Assessment Estimator'!$A$10:$Z$227,Y$2,FALSE)=0,"",VLOOKUP($A199,'Pre-Assessment Estimator'!$A$10:$Z$227,Y$2,FALSE))</f>
        <v/>
      </c>
      <c r="Z199" s="313" t="str">
        <f>IF(VLOOKUP($A199,'Pre-Assessment Estimator'!$A$10:$Z$227,Z$2,FALSE)=0,"",VLOOKUP($A199,'Pre-Assessment Estimator'!$A$10:$Z$227,Z$2,FALSE))</f>
        <v/>
      </c>
      <c r="AA199" s="544">
        <v>187</v>
      </c>
      <c r="AB199" s="446"/>
      <c r="AF199" s="13">
        <f t="shared" si="3"/>
        <v>2</v>
      </c>
    </row>
    <row r="200" spans="1:32">
      <c r="A200" s="652">
        <v>191</v>
      </c>
      <c r="B200" s="958" t="s">
        <v>499</v>
      </c>
      <c r="C200" s="958"/>
      <c r="D200" s="980" t="str">
        <f>VLOOKUP($A200,'Pre-Assessment Estimator'!$A$10:$Z$227,D$2,FALSE)</f>
        <v>POL 01</v>
      </c>
      <c r="E200" s="980" t="str">
        <f>VLOOKUP($A200,'Pre-Assessment Estimator'!$A$10:$Z$227,E$2,FALSE)</f>
        <v>Leak detection</v>
      </c>
      <c r="F200" s="443">
        <f>VLOOKUP($A200,'Pre-Assessment Estimator'!$A$10:$Z$227,F$2,FALSE)</f>
        <v>0</v>
      </c>
      <c r="G200" s="449" t="str">
        <f>IF(VLOOKUP($A200,'Pre-Assessment Estimator'!$A$10:$Z$227,G$2,FALSE)=0,"",VLOOKUP($A200,'Pre-Assessment Estimator'!$A$10:$Z$227,G$2,FALSE))</f>
        <v/>
      </c>
      <c r="H200" s="948">
        <f>VLOOKUP($A200,'Pre-Assessment Estimator'!$A$10:$Z$227,H$2,FALSE)</f>
        <v>0</v>
      </c>
      <c r="I200" s="445" t="str">
        <f>VLOOKUP($A200,'Pre-Assessment Estimator'!$A$10:$Z$227,I$2,FALSE)</f>
        <v>N/A</v>
      </c>
      <c r="J200" s="446" t="str">
        <f>IF(VLOOKUP($A200,'Pre-Assessment Estimator'!$A$10:$Z$227,J$2,FALSE)=0,"",VLOOKUP($A200,'Pre-Assessment Estimator'!$A$10:$Z$227,J$2,FALSE))</f>
        <v/>
      </c>
      <c r="K200" s="446" t="str">
        <f>IF(VLOOKUP($A200,'Pre-Assessment Estimator'!$A$10:$Z$227,K$2,FALSE)=0,"",VLOOKUP($A200,'Pre-Assessment Estimator'!$A$10:$Z$227,K$2,FALSE))</f>
        <v/>
      </c>
      <c r="L200" s="447" t="str">
        <f>IF(VLOOKUP($A200,'Pre-Assessment Estimator'!$A$10:$Z$227,L$2,FALSE)=0,"",VLOOKUP($A200,'Pre-Assessment Estimator'!$A$10:$Z$227,L$2,FALSE))</f>
        <v/>
      </c>
      <c r="M200" s="448"/>
      <c r="N200" s="449" t="str">
        <f>IF(VLOOKUP($A200,'Pre-Assessment Estimator'!$A$10:$Z$227,N$2,FALSE)=0,"",VLOOKUP($A200,'Pre-Assessment Estimator'!$A$10:$Z$227,N$2,FALSE))</f>
        <v/>
      </c>
      <c r="O200" s="444">
        <f>VLOOKUP($A200,'Pre-Assessment Estimator'!$A$10:$Z$227,O$2,FALSE)</f>
        <v>0</v>
      </c>
      <c r="P200" s="443" t="str">
        <f>VLOOKUP($A200,'Pre-Assessment Estimator'!$A$10:$Z$227,P$2,FALSE)</f>
        <v>N/A</v>
      </c>
      <c r="Q200" s="446" t="str">
        <f>IF(VLOOKUP($A200,'Pre-Assessment Estimator'!$A$10:$Z$227,Q$2,FALSE)=0,"",VLOOKUP($A200,'Pre-Assessment Estimator'!$A$10:$Z$227,Q$2,FALSE))</f>
        <v/>
      </c>
      <c r="R200" s="446" t="str">
        <f>IF(VLOOKUP($A200,'Pre-Assessment Estimator'!$A$10:$Z$227,R$2,FALSE)=0,"",VLOOKUP($A200,'Pre-Assessment Estimator'!$A$10:$Z$227,R$2,FALSE))</f>
        <v/>
      </c>
      <c r="S200" s="447" t="str">
        <f>IF(VLOOKUP($A200,'Pre-Assessment Estimator'!$A$10:$Z$227,S$2,FALSE)=0,"",VLOOKUP($A200,'Pre-Assessment Estimator'!$A$10:$Z$227,S$2,FALSE))</f>
        <v/>
      </c>
      <c r="T200" s="450"/>
      <c r="U200" s="449" t="str">
        <f>IF(VLOOKUP($A200,'Pre-Assessment Estimator'!$A$10:$Z$227,U$2,FALSE)=0,"",VLOOKUP($A200,'Pre-Assessment Estimator'!$A$10:$Z$227,U$2,FALSE))</f>
        <v/>
      </c>
      <c r="V200" s="444">
        <f>VLOOKUP($A200,'Pre-Assessment Estimator'!$A$10:$Z$227,V$2,FALSE)</f>
        <v>0</v>
      </c>
      <c r="W200" s="443" t="str">
        <f>VLOOKUP($A200,'Pre-Assessment Estimator'!$A$10:$Z$227,W$2,FALSE)</f>
        <v>N/A</v>
      </c>
      <c r="X200" s="446" t="str">
        <f>IF(VLOOKUP($A200,'Pre-Assessment Estimator'!$A$10:$Z$227,X$2,FALSE)=0,"",VLOOKUP($A200,'Pre-Assessment Estimator'!$A$10:$Z$227,X$2,FALSE))</f>
        <v/>
      </c>
      <c r="Y200" s="446" t="str">
        <f>IF(VLOOKUP($A200,'Pre-Assessment Estimator'!$A$10:$Z$227,Y$2,FALSE)=0,"",VLOOKUP($A200,'Pre-Assessment Estimator'!$A$10:$Z$227,Y$2,FALSE))</f>
        <v/>
      </c>
      <c r="Z200" s="313" t="str">
        <f>IF(VLOOKUP($A200,'Pre-Assessment Estimator'!$A$10:$Z$227,Z$2,FALSE)=0,"",VLOOKUP($A200,'Pre-Assessment Estimator'!$A$10:$Z$227,Z$2,FALSE))</f>
        <v/>
      </c>
      <c r="AA200" s="544">
        <v>188</v>
      </c>
      <c r="AB200" s="446"/>
      <c r="AF200" s="13">
        <f t="shared" si="3"/>
        <v>2</v>
      </c>
    </row>
    <row r="201" spans="1:32">
      <c r="A201" s="652">
        <v>192</v>
      </c>
      <c r="B201" s="958" t="s">
        <v>499</v>
      </c>
      <c r="C201" s="958"/>
      <c r="D201" s="979" t="str">
        <f>VLOOKUP($A201,'Pre-Assessment Estimator'!$A$10:$Z$227,D$2,FALSE)</f>
        <v>POL 02</v>
      </c>
      <c r="E201" s="979" t="str">
        <f>VLOOKUP($A201,'Pre-Assessment Estimator'!$A$10:$Z$227,E$2,FALSE)</f>
        <v>POL 02 Local air quality</v>
      </c>
      <c r="F201" s="443">
        <f>VLOOKUP($A201,'Pre-Assessment Estimator'!$A$10:$Z$227,F$2,FALSE)</f>
        <v>2</v>
      </c>
      <c r="G201" s="449" t="str">
        <f>IF(VLOOKUP($A201,'Pre-Assessment Estimator'!$A$10:$Z$227,G$2,FALSE)=0,"",VLOOKUP($A201,'Pre-Assessment Estimator'!$A$10:$Z$227,G$2,FALSE))</f>
        <v/>
      </c>
      <c r="H201" s="948" t="str">
        <f>VLOOKUP($A201,'Pre-Assessment Estimator'!$A$10:$Z$227,H$2,FALSE)</f>
        <v>0 c. 0 %</v>
      </c>
      <c r="I201" s="445" t="str">
        <f>VLOOKUP($A201,'Pre-Assessment Estimator'!$A$10:$Z$227,I$2,FALSE)</f>
        <v>N/A</v>
      </c>
      <c r="J201" s="446" t="str">
        <f>IF(VLOOKUP($A201,'Pre-Assessment Estimator'!$A$10:$Z$227,J$2,FALSE)=0,"",VLOOKUP($A201,'Pre-Assessment Estimator'!$A$10:$Z$227,J$2,FALSE))</f>
        <v/>
      </c>
      <c r="K201" s="446" t="str">
        <f>IF(VLOOKUP($A201,'Pre-Assessment Estimator'!$A$10:$Z$227,K$2,FALSE)=0,"",VLOOKUP($A201,'Pre-Assessment Estimator'!$A$10:$Z$227,K$2,FALSE))</f>
        <v/>
      </c>
      <c r="L201" s="447" t="str">
        <f>IF(VLOOKUP($A201,'Pre-Assessment Estimator'!$A$10:$Z$227,L$2,FALSE)=0,"",VLOOKUP($A201,'Pre-Assessment Estimator'!$A$10:$Z$227,L$2,FALSE))</f>
        <v/>
      </c>
      <c r="M201" s="448"/>
      <c r="N201" s="449" t="str">
        <f>IF(VLOOKUP($A201,'Pre-Assessment Estimator'!$A$10:$Z$227,N$2,FALSE)=0,"",VLOOKUP($A201,'Pre-Assessment Estimator'!$A$10:$Z$227,N$2,FALSE))</f>
        <v/>
      </c>
      <c r="O201" s="444" t="str">
        <f>VLOOKUP($A201,'Pre-Assessment Estimator'!$A$10:$Z$227,O$2,FALSE)</f>
        <v>0 c. 0 %</v>
      </c>
      <c r="P201" s="443" t="str">
        <f>VLOOKUP($A201,'Pre-Assessment Estimator'!$A$10:$Z$227,P$2,FALSE)</f>
        <v>N/A</v>
      </c>
      <c r="Q201" s="446" t="str">
        <f>IF(VLOOKUP($A201,'Pre-Assessment Estimator'!$A$10:$Z$227,Q$2,FALSE)=0,"",VLOOKUP($A201,'Pre-Assessment Estimator'!$A$10:$Z$227,Q$2,FALSE))</f>
        <v/>
      </c>
      <c r="R201" s="446" t="str">
        <f>IF(VLOOKUP($A201,'Pre-Assessment Estimator'!$A$10:$Z$227,R$2,FALSE)=0,"",VLOOKUP($A201,'Pre-Assessment Estimator'!$A$10:$Z$227,R$2,FALSE))</f>
        <v/>
      </c>
      <c r="S201" s="447" t="str">
        <f>IF(VLOOKUP($A201,'Pre-Assessment Estimator'!$A$10:$Z$227,S$2,FALSE)=0,"",VLOOKUP($A201,'Pre-Assessment Estimator'!$A$10:$Z$227,S$2,FALSE))</f>
        <v/>
      </c>
      <c r="T201" s="450"/>
      <c r="U201" s="449" t="str">
        <f>IF(VLOOKUP($A201,'Pre-Assessment Estimator'!$A$10:$Z$227,U$2,FALSE)=0,"",VLOOKUP($A201,'Pre-Assessment Estimator'!$A$10:$Z$227,U$2,FALSE))</f>
        <v/>
      </c>
      <c r="V201" s="444" t="str">
        <f>VLOOKUP($A201,'Pre-Assessment Estimator'!$A$10:$Z$227,V$2,FALSE)</f>
        <v>0 c. 0 %</v>
      </c>
      <c r="W201" s="443" t="str">
        <f>VLOOKUP($A201,'Pre-Assessment Estimator'!$A$10:$Z$227,W$2,FALSE)</f>
        <v>N/A</v>
      </c>
      <c r="X201" s="446" t="str">
        <f>IF(VLOOKUP($A201,'Pre-Assessment Estimator'!$A$10:$Z$227,X$2,FALSE)=0,"",VLOOKUP($A201,'Pre-Assessment Estimator'!$A$10:$Z$227,X$2,FALSE))</f>
        <v/>
      </c>
      <c r="Y201" s="446" t="str">
        <f>IF(VLOOKUP($A201,'Pre-Assessment Estimator'!$A$10:$Z$227,Y$2,FALSE)=0,"",VLOOKUP($A201,'Pre-Assessment Estimator'!$A$10:$Z$227,Y$2,FALSE))</f>
        <v/>
      </c>
      <c r="Z201" s="313" t="str">
        <f>IF(VLOOKUP($A201,'Pre-Assessment Estimator'!$A$10:$Z$227,Z$2,FALSE)=0,"",VLOOKUP($A201,'Pre-Assessment Estimator'!$A$10:$Z$227,Z$2,FALSE))</f>
        <v/>
      </c>
      <c r="AA201" s="544">
        <v>189</v>
      </c>
      <c r="AB201" s="446"/>
      <c r="AF201" s="13">
        <f t="shared" si="3"/>
        <v>1</v>
      </c>
    </row>
    <row r="202" spans="1:32">
      <c r="A202" s="652">
        <v>193</v>
      </c>
      <c r="B202" s="958" t="s">
        <v>499</v>
      </c>
      <c r="C202" s="958"/>
      <c r="D202" s="980" t="str">
        <f>VLOOKUP($A202,'Pre-Assessment Estimator'!$A$10:$Z$227,D$2,FALSE)</f>
        <v>POL 02</v>
      </c>
      <c r="E202" s="980" t="str">
        <f>VLOOKUP($A202,'Pre-Assessment Estimator'!$A$10:$Z$227,E$2,FALSE)</f>
        <v>Non-combustion heating and hot water system</v>
      </c>
      <c r="F202" s="443">
        <f>VLOOKUP($A202,'Pre-Assessment Estimator'!$A$10:$Z$227,F$2,FALSE)</f>
        <v>2</v>
      </c>
      <c r="G202" s="449" t="str">
        <f>IF(VLOOKUP($A202,'Pre-Assessment Estimator'!$A$10:$Z$227,G$2,FALSE)=0,"",VLOOKUP($A202,'Pre-Assessment Estimator'!$A$10:$Z$227,G$2,FALSE))</f>
        <v/>
      </c>
      <c r="H202" s="948">
        <f>VLOOKUP($A202,'Pre-Assessment Estimator'!$A$10:$Z$227,H$2,FALSE)</f>
        <v>0</v>
      </c>
      <c r="I202" s="445" t="str">
        <f>VLOOKUP($A202,'Pre-Assessment Estimator'!$A$10:$Z$227,I$2,FALSE)</f>
        <v>N/A</v>
      </c>
      <c r="J202" s="446" t="str">
        <f>IF(VLOOKUP($A202,'Pre-Assessment Estimator'!$A$10:$Z$227,J$2,FALSE)=0,"",VLOOKUP($A202,'Pre-Assessment Estimator'!$A$10:$Z$227,J$2,FALSE))</f>
        <v/>
      </c>
      <c r="K202" s="446" t="str">
        <f>IF(VLOOKUP($A202,'Pre-Assessment Estimator'!$A$10:$Z$227,K$2,FALSE)=0,"",VLOOKUP($A202,'Pre-Assessment Estimator'!$A$10:$Z$227,K$2,FALSE))</f>
        <v/>
      </c>
      <c r="L202" s="447" t="str">
        <f>IF(VLOOKUP($A202,'Pre-Assessment Estimator'!$A$10:$Z$227,L$2,FALSE)=0,"",VLOOKUP($A202,'Pre-Assessment Estimator'!$A$10:$Z$227,L$2,FALSE))</f>
        <v/>
      </c>
      <c r="M202" s="448"/>
      <c r="N202" s="449" t="str">
        <f>IF(VLOOKUP($A202,'Pre-Assessment Estimator'!$A$10:$Z$227,N$2,FALSE)=0,"",VLOOKUP($A202,'Pre-Assessment Estimator'!$A$10:$Z$227,N$2,FALSE))</f>
        <v/>
      </c>
      <c r="O202" s="444">
        <f>VLOOKUP($A202,'Pre-Assessment Estimator'!$A$10:$Z$227,O$2,FALSE)</f>
        <v>0</v>
      </c>
      <c r="P202" s="443" t="str">
        <f>VLOOKUP($A202,'Pre-Assessment Estimator'!$A$10:$Z$227,P$2,FALSE)</f>
        <v>N/A</v>
      </c>
      <c r="Q202" s="446" t="str">
        <f>IF(VLOOKUP($A202,'Pre-Assessment Estimator'!$A$10:$Z$227,Q$2,FALSE)=0,"",VLOOKUP($A202,'Pre-Assessment Estimator'!$A$10:$Z$227,Q$2,FALSE))</f>
        <v/>
      </c>
      <c r="R202" s="446" t="str">
        <f>IF(VLOOKUP($A202,'Pre-Assessment Estimator'!$A$10:$Z$227,R$2,FALSE)=0,"",VLOOKUP($A202,'Pre-Assessment Estimator'!$A$10:$Z$227,R$2,FALSE))</f>
        <v/>
      </c>
      <c r="S202" s="447" t="str">
        <f>IF(VLOOKUP($A202,'Pre-Assessment Estimator'!$A$10:$Z$227,S$2,FALSE)=0,"",VLOOKUP($A202,'Pre-Assessment Estimator'!$A$10:$Z$227,S$2,FALSE))</f>
        <v/>
      </c>
      <c r="T202" s="450"/>
      <c r="U202" s="449" t="str">
        <f>IF(VLOOKUP($A202,'Pre-Assessment Estimator'!$A$10:$Z$227,U$2,FALSE)=0,"",VLOOKUP($A202,'Pre-Assessment Estimator'!$A$10:$Z$227,U$2,FALSE))</f>
        <v/>
      </c>
      <c r="V202" s="444">
        <f>VLOOKUP($A202,'Pre-Assessment Estimator'!$A$10:$Z$227,V$2,FALSE)</f>
        <v>0</v>
      </c>
      <c r="W202" s="443" t="str">
        <f>VLOOKUP($A202,'Pre-Assessment Estimator'!$A$10:$Z$227,W$2,FALSE)</f>
        <v>N/A</v>
      </c>
      <c r="X202" s="446" t="str">
        <f>IF(VLOOKUP($A202,'Pre-Assessment Estimator'!$A$10:$Z$227,X$2,FALSE)=0,"",VLOOKUP($A202,'Pre-Assessment Estimator'!$A$10:$Z$227,X$2,FALSE))</f>
        <v/>
      </c>
      <c r="Y202" s="446" t="str">
        <f>IF(VLOOKUP($A202,'Pre-Assessment Estimator'!$A$10:$Z$227,Y$2,FALSE)=0,"",VLOOKUP($A202,'Pre-Assessment Estimator'!$A$10:$Z$227,Y$2,FALSE))</f>
        <v/>
      </c>
      <c r="Z202" s="313" t="str">
        <f>IF(VLOOKUP($A202,'Pre-Assessment Estimator'!$A$10:$Z$227,Z$2,FALSE)=0,"",VLOOKUP($A202,'Pre-Assessment Estimator'!$A$10:$Z$227,Z$2,FALSE))</f>
        <v/>
      </c>
      <c r="AA202" s="544">
        <v>190</v>
      </c>
      <c r="AB202" s="446"/>
      <c r="AF202" s="13">
        <f t="shared" si="3"/>
        <v>1</v>
      </c>
    </row>
    <row r="203" spans="1:32">
      <c r="A203" s="652">
        <v>194</v>
      </c>
      <c r="B203" s="958" t="s">
        <v>499</v>
      </c>
      <c r="C203" s="958"/>
      <c r="D203" s="980" t="str">
        <f>VLOOKUP($A203,'Pre-Assessment Estimator'!$A$10:$Z$227,D$2,FALSE)</f>
        <v>POL 02</v>
      </c>
      <c r="E203" s="980" t="str">
        <f>VLOOKUP($A203,'Pre-Assessment Estimator'!$A$10:$Z$227,E$2,FALSE)</f>
        <v>Combustion-powered heating and hot water</v>
      </c>
      <c r="F203" s="443">
        <f>VLOOKUP($A203,'Pre-Assessment Estimator'!$A$10:$Z$227,F$2,FALSE)</f>
        <v>0</v>
      </c>
      <c r="G203" s="449" t="str">
        <f>IF(VLOOKUP($A203,'Pre-Assessment Estimator'!$A$10:$Z$227,G$2,FALSE)=0,"",VLOOKUP($A203,'Pre-Assessment Estimator'!$A$10:$Z$227,G$2,FALSE))</f>
        <v/>
      </c>
      <c r="H203" s="948">
        <f>VLOOKUP($A203,'Pre-Assessment Estimator'!$A$10:$Z$227,H$2,FALSE)</f>
        <v>0</v>
      </c>
      <c r="I203" s="445" t="str">
        <f>VLOOKUP($A203,'Pre-Assessment Estimator'!$A$10:$Z$227,I$2,FALSE)</f>
        <v>N/A</v>
      </c>
      <c r="J203" s="446" t="str">
        <f>IF(VLOOKUP($A203,'Pre-Assessment Estimator'!$A$10:$Z$227,J$2,FALSE)=0,"",VLOOKUP($A203,'Pre-Assessment Estimator'!$A$10:$Z$227,J$2,FALSE))</f>
        <v/>
      </c>
      <c r="K203" s="446" t="str">
        <f>IF(VLOOKUP($A203,'Pre-Assessment Estimator'!$A$10:$Z$227,K$2,FALSE)=0,"",VLOOKUP($A203,'Pre-Assessment Estimator'!$A$10:$Z$227,K$2,FALSE))</f>
        <v/>
      </c>
      <c r="L203" s="447" t="str">
        <f>IF(VLOOKUP($A203,'Pre-Assessment Estimator'!$A$10:$Z$227,L$2,FALSE)=0,"",VLOOKUP($A203,'Pre-Assessment Estimator'!$A$10:$Z$227,L$2,FALSE))</f>
        <v/>
      </c>
      <c r="M203" s="448"/>
      <c r="N203" s="449" t="str">
        <f>IF(VLOOKUP($A203,'Pre-Assessment Estimator'!$A$10:$Z$227,N$2,FALSE)=0,"",VLOOKUP($A203,'Pre-Assessment Estimator'!$A$10:$Z$227,N$2,FALSE))</f>
        <v/>
      </c>
      <c r="O203" s="444">
        <f>VLOOKUP($A203,'Pre-Assessment Estimator'!$A$10:$Z$227,O$2,FALSE)</f>
        <v>0</v>
      </c>
      <c r="P203" s="443" t="str">
        <f>VLOOKUP($A203,'Pre-Assessment Estimator'!$A$10:$Z$227,P$2,FALSE)</f>
        <v>N/A</v>
      </c>
      <c r="Q203" s="446" t="str">
        <f>IF(VLOOKUP($A203,'Pre-Assessment Estimator'!$A$10:$Z$227,Q$2,FALSE)=0,"",VLOOKUP($A203,'Pre-Assessment Estimator'!$A$10:$Z$227,Q$2,FALSE))</f>
        <v/>
      </c>
      <c r="R203" s="446" t="str">
        <f>IF(VLOOKUP($A203,'Pre-Assessment Estimator'!$A$10:$Z$227,R$2,FALSE)=0,"",VLOOKUP($A203,'Pre-Assessment Estimator'!$A$10:$Z$227,R$2,FALSE))</f>
        <v/>
      </c>
      <c r="S203" s="447" t="str">
        <f>IF(VLOOKUP($A203,'Pre-Assessment Estimator'!$A$10:$Z$227,S$2,FALSE)=0,"",VLOOKUP($A203,'Pre-Assessment Estimator'!$A$10:$Z$227,S$2,FALSE))</f>
        <v/>
      </c>
      <c r="T203" s="450"/>
      <c r="U203" s="449" t="str">
        <f>IF(VLOOKUP($A203,'Pre-Assessment Estimator'!$A$10:$Z$227,U$2,FALSE)=0,"",VLOOKUP($A203,'Pre-Assessment Estimator'!$A$10:$Z$227,U$2,FALSE))</f>
        <v/>
      </c>
      <c r="V203" s="444">
        <f>VLOOKUP($A203,'Pre-Assessment Estimator'!$A$10:$Z$227,V$2,FALSE)</f>
        <v>0</v>
      </c>
      <c r="W203" s="443" t="str">
        <f>VLOOKUP($A203,'Pre-Assessment Estimator'!$A$10:$Z$227,W$2,FALSE)</f>
        <v>N/A</v>
      </c>
      <c r="X203" s="446" t="str">
        <f>IF(VLOOKUP($A203,'Pre-Assessment Estimator'!$A$10:$Z$227,X$2,FALSE)=0,"",VLOOKUP($A203,'Pre-Assessment Estimator'!$A$10:$Z$227,X$2,FALSE))</f>
        <v/>
      </c>
      <c r="Y203" s="446" t="str">
        <f>IF(VLOOKUP($A203,'Pre-Assessment Estimator'!$A$10:$Z$227,Y$2,FALSE)=0,"",VLOOKUP($A203,'Pre-Assessment Estimator'!$A$10:$Z$227,Y$2,FALSE))</f>
        <v/>
      </c>
      <c r="Z203" s="313" t="str">
        <f>IF(VLOOKUP($A203,'Pre-Assessment Estimator'!$A$10:$Z$227,Z$2,FALSE)=0,"",VLOOKUP($A203,'Pre-Assessment Estimator'!$A$10:$Z$227,Z$2,FALSE))</f>
        <v/>
      </c>
      <c r="AA203" s="544">
        <v>191</v>
      </c>
      <c r="AB203" s="446"/>
      <c r="AF203" s="13">
        <f t="shared" si="3"/>
        <v>2</v>
      </c>
    </row>
    <row r="204" spans="1:32">
      <c r="A204" s="652">
        <v>195</v>
      </c>
      <c r="B204" s="958" t="s">
        <v>499</v>
      </c>
      <c r="C204" s="958"/>
      <c r="D204" s="979" t="str">
        <f>VLOOKUP($A204,'Pre-Assessment Estimator'!$A$10:$Z$227,D$2,FALSE)</f>
        <v>POL 04</v>
      </c>
      <c r="E204" s="979" t="str">
        <f>VLOOKUP($A204,'Pre-Assessment Estimator'!$A$10:$Z$227,E$2,FALSE)</f>
        <v>POL 04 Reduction of night time light pollution</v>
      </c>
      <c r="F204" s="443">
        <f>VLOOKUP($A204,'Pre-Assessment Estimator'!$A$10:$Z$227,F$2,FALSE)</f>
        <v>1</v>
      </c>
      <c r="G204" s="449" t="str">
        <f>IF(VLOOKUP($A204,'Pre-Assessment Estimator'!$A$10:$Z$227,G$2,FALSE)=0,"",VLOOKUP($A204,'Pre-Assessment Estimator'!$A$10:$Z$227,G$2,FALSE))</f>
        <v/>
      </c>
      <c r="H204" s="948" t="str">
        <f>VLOOKUP($A204,'Pre-Assessment Estimator'!$A$10:$Z$227,H$2,FALSE)</f>
        <v>0 c. 0 %</v>
      </c>
      <c r="I204" s="445" t="str">
        <f>VLOOKUP($A204,'Pre-Assessment Estimator'!$A$10:$Z$227,I$2,FALSE)</f>
        <v>N/A</v>
      </c>
      <c r="J204" s="446" t="str">
        <f>IF(VLOOKUP($A204,'Pre-Assessment Estimator'!$A$10:$Z$227,J$2,FALSE)=0,"",VLOOKUP($A204,'Pre-Assessment Estimator'!$A$10:$Z$227,J$2,FALSE))</f>
        <v/>
      </c>
      <c r="K204" s="446" t="str">
        <f>IF(VLOOKUP($A204,'Pre-Assessment Estimator'!$A$10:$Z$227,K$2,FALSE)=0,"",VLOOKUP($A204,'Pre-Assessment Estimator'!$A$10:$Z$227,K$2,FALSE))</f>
        <v/>
      </c>
      <c r="L204" s="447" t="str">
        <f>IF(VLOOKUP($A204,'Pre-Assessment Estimator'!$A$10:$Z$227,L$2,FALSE)=0,"",VLOOKUP($A204,'Pre-Assessment Estimator'!$A$10:$Z$227,L$2,FALSE))</f>
        <v/>
      </c>
      <c r="M204" s="448"/>
      <c r="N204" s="449" t="str">
        <f>IF(VLOOKUP($A204,'Pre-Assessment Estimator'!$A$10:$Z$227,N$2,FALSE)=0,"",VLOOKUP($A204,'Pre-Assessment Estimator'!$A$10:$Z$227,N$2,FALSE))</f>
        <v/>
      </c>
      <c r="O204" s="444" t="str">
        <f>VLOOKUP($A204,'Pre-Assessment Estimator'!$A$10:$Z$227,O$2,FALSE)</f>
        <v>0 c. 0 %</v>
      </c>
      <c r="P204" s="443" t="str">
        <f>VLOOKUP($A204,'Pre-Assessment Estimator'!$A$10:$Z$227,P$2,FALSE)</f>
        <v>N/A</v>
      </c>
      <c r="Q204" s="446" t="str">
        <f>IF(VLOOKUP($A204,'Pre-Assessment Estimator'!$A$10:$Z$227,Q$2,FALSE)=0,"",VLOOKUP($A204,'Pre-Assessment Estimator'!$A$10:$Z$227,Q$2,FALSE))</f>
        <v/>
      </c>
      <c r="R204" s="446" t="str">
        <f>IF(VLOOKUP($A204,'Pre-Assessment Estimator'!$A$10:$Z$227,R$2,FALSE)=0,"",VLOOKUP($A204,'Pre-Assessment Estimator'!$A$10:$Z$227,R$2,FALSE))</f>
        <v/>
      </c>
      <c r="S204" s="447" t="str">
        <f>IF(VLOOKUP($A204,'Pre-Assessment Estimator'!$A$10:$Z$227,S$2,FALSE)=0,"",VLOOKUP($A204,'Pre-Assessment Estimator'!$A$10:$Z$227,S$2,FALSE))</f>
        <v/>
      </c>
      <c r="T204" s="450"/>
      <c r="U204" s="449" t="str">
        <f>IF(VLOOKUP($A204,'Pre-Assessment Estimator'!$A$10:$Z$227,U$2,FALSE)=0,"",VLOOKUP($A204,'Pre-Assessment Estimator'!$A$10:$Z$227,U$2,FALSE))</f>
        <v/>
      </c>
      <c r="V204" s="444" t="str">
        <f>VLOOKUP($A204,'Pre-Assessment Estimator'!$A$10:$Z$227,V$2,FALSE)</f>
        <v>0 c. 0 %</v>
      </c>
      <c r="W204" s="443" t="str">
        <f>VLOOKUP($A204,'Pre-Assessment Estimator'!$A$10:$Z$227,W$2,FALSE)</f>
        <v>N/A</v>
      </c>
      <c r="X204" s="446" t="str">
        <f>IF(VLOOKUP($A204,'Pre-Assessment Estimator'!$A$10:$Z$227,X$2,FALSE)=0,"",VLOOKUP($A204,'Pre-Assessment Estimator'!$A$10:$Z$227,X$2,FALSE))</f>
        <v/>
      </c>
      <c r="Y204" s="446" t="str">
        <f>IF(VLOOKUP($A204,'Pre-Assessment Estimator'!$A$10:$Z$227,Y$2,FALSE)=0,"",VLOOKUP($A204,'Pre-Assessment Estimator'!$A$10:$Z$227,Y$2,FALSE))</f>
        <v/>
      </c>
      <c r="Z204" s="313" t="str">
        <f>IF(VLOOKUP($A204,'Pre-Assessment Estimator'!$A$10:$Z$227,Z$2,FALSE)=0,"",VLOOKUP($A204,'Pre-Assessment Estimator'!$A$10:$Z$227,Z$2,FALSE))</f>
        <v/>
      </c>
      <c r="AA204" s="544">
        <v>192</v>
      </c>
      <c r="AB204" s="446"/>
      <c r="AF204" s="13">
        <f t="shared" si="3"/>
        <v>1</v>
      </c>
    </row>
    <row r="205" spans="1:32">
      <c r="A205" s="652">
        <v>196</v>
      </c>
      <c r="B205" s="958" t="s">
        <v>499</v>
      </c>
      <c r="C205" s="958"/>
      <c r="D205" s="980" t="str">
        <f>VLOOKUP($A205,'Pre-Assessment Estimator'!$A$10:$Z$227,D$2,FALSE)</f>
        <v>POL 04</v>
      </c>
      <c r="E205" s="980" t="str">
        <f>VLOOKUP($A205,'Pre-Assessment Estimator'!$A$10:$Z$227,E$2,FALSE)</f>
        <v xml:space="preserve">No external lighting pollution </v>
      </c>
      <c r="F205" s="443">
        <f>VLOOKUP($A205,'Pre-Assessment Estimator'!$A$10:$Z$227,F$2,FALSE)</f>
        <v>1</v>
      </c>
      <c r="G205" s="449" t="str">
        <f>IF(VLOOKUP($A205,'Pre-Assessment Estimator'!$A$10:$Z$227,G$2,FALSE)=0,"",VLOOKUP($A205,'Pre-Assessment Estimator'!$A$10:$Z$227,G$2,FALSE))</f>
        <v/>
      </c>
      <c r="H205" s="948">
        <f>VLOOKUP($A205,'Pre-Assessment Estimator'!$A$10:$Z$227,H$2,FALSE)</f>
        <v>0</v>
      </c>
      <c r="I205" s="445" t="str">
        <f>VLOOKUP($A205,'Pre-Assessment Estimator'!$A$10:$Z$227,I$2,FALSE)</f>
        <v>N/A</v>
      </c>
      <c r="J205" s="446" t="str">
        <f>IF(VLOOKUP($A205,'Pre-Assessment Estimator'!$A$10:$Z$227,J$2,FALSE)=0,"",VLOOKUP($A205,'Pre-Assessment Estimator'!$A$10:$Z$227,J$2,FALSE))</f>
        <v/>
      </c>
      <c r="K205" s="446" t="str">
        <f>IF(VLOOKUP($A205,'Pre-Assessment Estimator'!$A$10:$Z$227,K$2,FALSE)=0,"",VLOOKUP($A205,'Pre-Assessment Estimator'!$A$10:$Z$227,K$2,FALSE))</f>
        <v/>
      </c>
      <c r="L205" s="447" t="str">
        <f>IF(VLOOKUP($A205,'Pre-Assessment Estimator'!$A$10:$Z$227,L$2,FALSE)=0,"",VLOOKUP($A205,'Pre-Assessment Estimator'!$A$10:$Z$227,L$2,FALSE))</f>
        <v/>
      </c>
      <c r="M205" s="448"/>
      <c r="N205" s="449" t="str">
        <f>IF(VLOOKUP($A205,'Pre-Assessment Estimator'!$A$10:$Z$227,N$2,FALSE)=0,"",VLOOKUP($A205,'Pre-Assessment Estimator'!$A$10:$Z$227,N$2,FALSE))</f>
        <v/>
      </c>
      <c r="O205" s="444">
        <f>VLOOKUP($A205,'Pre-Assessment Estimator'!$A$10:$Z$227,O$2,FALSE)</f>
        <v>0</v>
      </c>
      <c r="P205" s="443" t="str">
        <f>VLOOKUP($A205,'Pre-Assessment Estimator'!$A$10:$Z$227,P$2,FALSE)</f>
        <v>N/A</v>
      </c>
      <c r="Q205" s="446" t="str">
        <f>IF(VLOOKUP($A205,'Pre-Assessment Estimator'!$A$10:$Z$227,Q$2,FALSE)=0,"",VLOOKUP($A205,'Pre-Assessment Estimator'!$A$10:$Z$227,Q$2,FALSE))</f>
        <v/>
      </c>
      <c r="R205" s="446" t="str">
        <f>IF(VLOOKUP($A205,'Pre-Assessment Estimator'!$A$10:$Z$227,R$2,FALSE)=0,"",VLOOKUP($A205,'Pre-Assessment Estimator'!$A$10:$Z$227,R$2,FALSE))</f>
        <v/>
      </c>
      <c r="S205" s="447" t="str">
        <f>IF(VLOOKUP($A205,'Pre-Assessment Estimator'!$A$10:$Z$227,S$2,FALSE)=0,"",VLOOKUP($A205,'Pre-Assessment Estimator'!$A$10:$Z$227,S$2,FALSE))</f>
        <v/>
      </c>
      <c r="T205" s="450"/>
      <c r="U205" s="449" t="str">
        <f>IF(VLOOKUP($A205,'Pre-Assessment Estimator'!$A$10:$Z$227,U$2,FALSE)=0,"",VLOOKUP($A205,'Pre-Assessment Estimator'!$A$10:$Z$227,U$2,FALSE))</f>
        <v/>
      </c>
      <c r="V205" s="444">
        <f>VLOOKUP($A205,'Pre-Assessment Estimator'!$A$10:$Z$227,V$2,FALSE)</f>
        <v>0</v>
      </c>
      <c r="W205" s="443" t="str">
        <f>VLOOKUP($A205,'Pre-Assessment Estimator'!$A$10:$Z$227,W$2,FALSE)</f>
        <v>N/A</v>
      </c>
      <c r="X205" s="446" t="str">
        <f>IF(VLOOKUP($A205,'Pre-Assessment Estimator'!$A$10:$Z$227,X$2,FALSE)=0,"",VLOOKUP($A205,'Pre-Assessment Estimator'!$A$10:$Z$227,X$2,FALSE))</f>
        <v/>
      </c>
      <c r="Y205" s="446" t="str">
        <f>IF(VLOOKUP($A205,'Pre-Assessment Estimator'!$A$10:$Z$227,Y$2,FALSE)=0,"",VLOOKUP($A205,'Pre-Assessment Estimator'!$A$10:$Z$227,Y$2,FALSE))</f>
        <v/>
      </c>
      <c r="Z205" s="313" t="str">
        <f>IF(VLOOKUP($A205,'Pre-Assessment Estimator'!$A$10:$Z$227,Z$2,FALSE)=0,"",VLOOKUP($A205,'Pre-Assessment Estimator'!$A$10:$Z$227,Z$2,FALSE))</f>
        <v/>
      </c>
      <c r="AA205" s="544">
        <v>193</v>
      </c>
      <c r="AB205" s="446"/>
      <c r="AF205" s="13">
        <f t="shared" si="3"/>
        <v>1</v>
      </c>
    </row>
    <row r="206" spans="1:32">
      <c r="A206" s="652">
        <v>197</v>
      </c>
      <c r="B206" s="958" t="s">
        <v>499</v>
      </c>
      <c r="C206" s="958"/>
      <c r="D206" s="980" t="str">
        <f>VLOOKUP($A206,'Pre-Assessment Estimator'!$A$10:$Z$227,D$2,FALSE)</f>
        <v>POL 04</v>
      </c>
      <c r="E206" s="980" t="str">
        <f>VLOOKUP($A206,'Pre-Assessment Estimator'!$A$10:$Z$227,E$2,FALSE)</f>
        <v>Minimizing external light pollution</v>
      </c>
      <c r="F206" s="443">
        <f>VLOOKUP($A206,'Pre-Assessment Estimator'!$A$10:$Z$227,F$2,FALSE)</f>
        <v>0</v>
      </c>
      <c r="G206" s="449" t="str">
        <f>IF(VLOOKUP($A206,'Pre-Assessment Estimator'!$A$10:$Z$227,G$2,FALSE)=0,"",VLOOKUP($A206,'Pre-Assessment Estimator'!$A$10:$Z$227,G$2,FALSE))</f>
        <v/>
      </c>
      <c r="H206" s="948">
        <f>VLOOKUP($A206,'Pre-Assessment Estimator'!$A$10:$Z$227,H$2,FALSE)</f>
        <v>0</v>
      </c>
      <c r="I206" s="445" t="str">
        <f>VLOOKUP($A206,'Pre-Assessment Estimator'!$A$10:$Z$227,I$2,FALSE)</f>
        <v>N/A</v>
      </c>
      <c r="J206" s="446" t="str">
        <f>IF(VLOOKUP($A206,'Pre-Assessment Estimator'!$A$10:$Z$227,J$2,FALSE)=0,"",VLOOKUP($A206,'Pre-Assessment Estimator'!$A$10:$Z$227,J$2,FALSE))</f>
        <v/>
      </c>
      <c r="K206" s="446" t="str">
        <f>IF(VLOOKUP($A206,'Pre-Assessment Estimator'!$A$10:$Z$227,K$2,FALSE)=0,"",VLOOKUP($A206,'Pre-Assessment Estimator'!$A$10:$Z$227,K$2,FALSE))</f>
        <v/>
      </c>
      <c r="L206" s="447" t="str">
        <f>IF(VLOOKUP($A206,'Pre-Assessment Estimator'!$A$10:$Z$227,L$2,FALSE)=0,"",VLOOKUP($A206,'Pre-Assessment Estimator'!$A$10:$Z$227,L$2,FALSE))</f>
        <v/>
      </c>
      <c r="M206" s="448"/>
      <c r="N206" s="449" t="str">
        <f>IF(VLOOKUP($A206,'Pre-Assessment Estimator'!$A$10:$Z$227,N$2,FALSE)=0,"",VLOOKUP($A206,'Pre-Assessment Estimator'!$A$10:$Z$227,N$2,FALSE))</f>
        <v/>
      </c>
      <c r="O206" s="444">
        <f>VLOOKUP($A206,'Pre-Assessment Estimator'!$A$10:$Z$227,O$2,FALSE)</f>
        <v>0</v>
      </c>
      <c r="P206" s="443" t="str">
        <f>VLOOKUP($A206,'Pre-Assessment Estimator'!$A$10:$Z$227,P$2,FALSE)</f>
        <v>N/A</v>
      </c>
      <c r="Q206" s="446" t="str">
        <f>IF(VLOOKUP($A206,'Pre-Assessment Estimator'!$A$10:$Z$227,Q$2,FALSE)=0,"",VLOOKUP($A206,'Pre-Assessment Estimator'!$A$10:$Z$227,Q$2,FALSE))</f>
        <v/>
      </c>
      <c r="R206" s="446" t="str">
        <f>IF(VLOOKUP($A206,'Pre-Assessment Estimator'!$A$10:$Z$227,R$2,FALSE)=0,"",VLOOKUP($A206,'Pre-Assessment Estimator'!$A$10:$Z$227,R$2,FALSE))</f>
        <v/>
      </c>
      <c r="S206" s="447" t="str">
        <f>IF(VLOOKUP($A206,'Pre-Assessment Estimator'!$A$10:$Z$227,S$2,FALSE)=0,"",VLOOKUP($A206,'Pre-Assessment Estimator'!$A$10:$Z$227,S$2,FALSE))</f>
        <v/>
      </c>
      <c r="T206" s="450"/>
      <c r="U206" s="449" t="str">
        <f>IF(VLOOKUP($A206,'Pre-Assessment Estimator'!$A$10:$Z$227,U$2,FALSE)=0,"",VLOOKUP($A206,'Pre-Assessment Estimator'!$A$10:$Z$227,U$2,FALSE))</f>
        <v/>
      </c>
      <c r="V206" s="444">
        <f>VLOOKUP($A206,'Pre-Assessment Estimator'!$A$10:$Z$227,V$2,FALSE)</f>
        <v>0</v>
      </c>
      <c r="W206" s="443" t="str">
        <f>VLOOKUP($A206,'Pre-Assessment Estimator'!$A$10:$Z$227,W$2,FALSE)</f>
        <v>N/A</v>
      </c>
      <c r="X206" s="446" t="str">
        <f>IF(VLOOKUP($A206,'Pre-Assessment Estimator'!$A$10:$Z$227,X$2,FALSE)=0,"",VLOOKUP($A206,'Pre-Assessment Estimator'!$A$10:$Z$227,X$2,FALSE))</f>
        <v/>
      </c>
      <c r="Y206" s="446" t="str">
        <f>IF(VLOOKUP($A206,'Pre-Assessment Estimator'!$A$10:$Z$227,Y$2,FALSE)=0,"",VLOOKUP($A206,'Pre-Assessment Estimator'!$A$10:$Z$227,Y$2,FALSE))</f>
        <v/>
      </c>
      <c r="Z206" s="313" t="str">
        <f>IF(VLOOKUP($A206,'Pre-Assessment Estimator'!$A$10:$Z$227,Z$2,FALSE)=0,"",VLOOKUP($A206,'Pre-Assessment Estimator'!$A$10:$Z$227,Z$2,FALSE))</f>
        <v/>
      </c>
      <c r="AA206" s="544">
        <v>194</v>
      </c>
      <c r="AB206" s="446"/>
      <c r="AF206" s="13">
        <f t="shared" si="3"/>
        <v>2</v>
      </c>
    </row>
    <row r="207" spans="1:32">
      <c r="A207" s="652">
        <v>198</v>
      </c>
      <c r="B207" s="958" t="s">
        <v>499</v>
      </c>
      <c r="C207" s="958"/>
      <c r="D207" s="979" t="str">
        <f>VLOOKUP($A207,'Pre-Assessment Estimator'!$A$10:$Z$227,D$2,FALSE)</f>
        <v>POL 05</v>
      </c>
      <c r="E207" s="979" t="str">
        <f>VLOOKUP($A207,'Pre-Assessment Estimator'!$A$10:$Z$227,E$2,FALSE)</f>
        <v>POL 05 Reduction of noise pollution</v>
      </c>
      <c r="F207" s="443">
        <f>VLOOKUP($A207,'Pre-Assessment Estimator'!$A$10:$Z$227,F$2,FALSE)</f>
        <v>1</v>
      </c>
      <c r="G207" s="449" t="str">
        <f>IF(VLOOKUP($A207,'Pre-Assessment Estimator'!$A$10:$Z$227,G$2,FALSE)=0,"",VLOOKUP($A207,'Pre-Assessment Estimator'!$A$10:$Z$227,G$2,FALSE))</f>
        <v/>
      </c>
      <c r="H207" s="948" t="str">
        <f>VLOOKUP($A207,'Pre-Assessment Estimator'!$A$10:$Z$227,H$2,FALSE)</f>
        <v>0 c. 0 %</v>
      </c>
      <c r="I207" s="445" t="str">
        <f>VLOOKUP($A207,'Pre-Assessment Estimator'!$A$10:$Z$227,I$2,FALSE)</f>
        <v>N/A</v>
      </c>
      <c r="J207" s="446" t="str">
        <f>IF(VLOOKUP($A207,'Pre-Assessment Estimator'!$A$10:$Z$227,J$2,FALSE)=0,"",VLOOKUP($A207,'Pre-Assessment Estimator'!$A$10:$Z$227,J$2,FALSE))</f>
        <v/>
      </c>
      <c r="K207" s="446" t="str">
        <f>IF(VLOOKUP($A207,'Pre-Assessment Estimator'!$A$10:$Z$227,K$2,FALSE)=0,"",VLOOKUP($A207,'Pre-Assessment Estimator'!$A$10:$Z$227,K$2,FALSE))</f>
        <v/>
      </c>
      <c r="L207" s="447" t="str">
        <f>IF(VLOOKUP($A207,'Pre-Assessment Estimator'!$A$10:$Z$227,L$2,FALSE)=0,"",VLOOKUP($A207,'Pre-Assessment Estimator'!$A$10:$Z$227,L$2,FALSE))</f>
        <v/>
      </c>
      <c r="M207" s="448"/>
      <c r="N207" s="449" t="str">
        <f>IF(VLOOKUP($A207,'Pre-Assessment Estimator'!$A$10:$Z$227,N$2,FALSE)=0,"",VLOOKUP($A207,'Pre-Assessment Estimator'!$A$10:$Z$227,N$2,FALSE))</f>
        <v/>
      </c>
      <c r="O207" s="444" t="str">
        <f>VLOOKUP($A207,'Pre-Assessment Estimator'!$A$10:$Z$227,O$2,FALSE)</f>
        <v>0 c. 0 %</v>
      </c>
      <c r="P207" s="443" t="str">
        <f>VLOOKUP($A207,'Pre-Assessment Estimator'!$A$10:$Z$227,P$2,FALSE)</f>
        <v>N/A</v>
      </c>
      <c r="Q207" s="446" t="str">
        <f>IF(VLOOKUP($A207,'Pre-Assessment Estimator'!$A$10:$Z$227,Q$2,FALSE)=0,"",VLOOKUP($A207,'Pre-Assessment Estimator'!$A$10:$Z$227,Q$2,FALSE))</f>
        <v/>
      </c>
      <c r="R207" s="446" t="str">
        <f>IF(VLOOKUP($A207,'Pre-Assessment Estimator'!$A$10:$Z$227,R$2,FALSE)=0,"",VLOOKUP($A207,'Pre-Assessment Estimator'!$A$10:$Z$227,R$2,FALSE))</f>
        <v/>
      </c>
      <c r="S207" s="447" t="str">
        <f>IF(VLOOKUP($A207,'Pre-Assessment Estimator'!$A$10:$Z$227,S$2,FALSE)=0,"",VLOOKUP($A207,'Pre-Assessment Estimator'!$A$10:$Z$227,S$2,FALSE))</f>
        <v/>
      </c>
      <c r="T207" s="450"/>
      <c r="U207" s="449" t="str">
        <f>IF(VLOOKUP($A207,'Pre-Assessment Estimator'!$A$10:$Z$227,U$2,FALSE)=0,"",VLOOKUP($A207,'Pre-Assessment Estimator'!$A$10:$Z$227,U$2,FALSE))</f>
        <v/>
      </c>
      <c r="V207" s="444" t="str">
        <f>VLOOKUP($A207,'Pre-Assessment Estimator'!$A$10:$Z$227,V$2,FALSE)</f>
        <v>0 c. 0 %</v>
      </c>
      <c r="W207" s="443" t="str">
        <f>VLOOKUP($A207,'Pre-Assessment Estimator'!$A$10:$Z$227,W$2,FALSE)</f>
        <v>N/A</v>
      </c>
      <c r="X207" s="446" t="str">
        <f>IF(VLOOKUP($A207,'Pre-Assessment Estimator'!$A$10:$Z$227,X$2,FALSE)=0,"",VLOOKUP($A207,'Pre-Assessment Estimator'!$A$10:$Z$227,X$2,FALSE))</f>
        <v/>
      </c>
      <c r="Y207" s="446" t="str">
        <f>IF(VLOOKUP($A207,'Pre-Assessment Estimator'!$A$10:$Z$227,Y$2,FALSE)=0,"",VLOOKUP($A207,'Pre-Assessment Estimator'!$A$10:$Z$227,Y$2,FALSE))</f>
        <v/>
      </c>
      <c r="Z207" s="313" t="str">
        <f>IF(VLOOKUP($A207,'Pre-Assessment Estimator'!$A$10:$Z$227,Z$2,FALSE)=0,"",VLOOKUP($A207,'Pre-Assessment Estimator'!$A$10:$Z$227,Z$2,FALSE))</f>
        <v/>
      </c>
      <c r="AA207" s="544">
        <v>195</v>
      </c>
      <c r="AB207" s="446" t="str">
        <f>IF(VLOOKUP($A207,'Pre-Assessment Estimator'!$A$10:$AB$227,AB$2,FALSE)=0,"",VLOOKUP($A207,'Pre-Assessment Estimator'!$A$10:$AB$227,AB$2,FALSE))</f>
        <v/>
      </c>
      <c r="AF207" s="13">
        <f t="shared" si="3"/>
        <v>1</v>
      </c>
    </row>
    <row r="208" spans="1:32">
      <c r="A208" s="652">
        <v>199</v>
      </c>
      <c r="B208" s="958" t="s">
        <v>499</v>
      </c>
      <c r="C208" s="958"/>
      <c r="D208" s="980" t="str">
        <f>VLOOKUP($A208,'Pre-Assessment Estimator'!$A$10:$Z$227,D$2,FALSE)</f>
        <v>POL 05</v>
      </c>
      <c r="E208" s="980" t="str">
        <f>VLOOKUP($A208,'Pre-Assessment Estimator'!$A$10:$Z$227,E$2,FALSE)</f>
        <v>No noise-sensitive areas</v>
      </c>
      <c r="F208" s="443">
        <f>VLOOKUP($A208,'Pre-Assessment Estimator'!$A$10:$Z$227,F$2,FALSE)</f>
        <v>1</v>
      </c>
      <c r="G208" s="449" t="str">
        <f>IF(VLOOKUP($A208,'Pre-Assessment Estimator'!$A$10:$Z$227,G$2,FALSE)=0,"",VLOOKUP($A208,'Pre-Assessment Estimator'!$A$10:$Z$227,G$2,FALSE))</f>
        <v/>
      </c>
      <c r="H208" s="948">
        <f>VLOOKUP($A208,'Pre-Assessment Estimator'!$A$10:$Z$227,H$2,FALSE)</f>
        <v>0</v>
      </c>
      <c r="I208" s="445" t="str">
        <f>VLOOKUP($A208,'Pre-Assessment Estimator'!$A$10:$Z$227,I$2,FALSE)</f>
        <v>N/A</v>
      </c>
      <c r="J208" s="446" t="str">
        <f>IF(VLOOKUP($A208,'Pre-Assessment Estimator'!$A$10:$Z$227,J$2,FALSE)=0,"",VLOOKUP($A208,'Pre-Assessment Estimator'!$A$10:$Z$227,J$2,FALSE))</f>
        <v/>
      </c>
      <c r="K208" s="446" t="str">
        <f>IF(VLOOKUP($A208,'Pre-Assessment Estimator'!$A$10:$Z$227,K$2,FALSE)=0,"",VLOOKUP($A208,'Pre-Assessment Estimator'!$A$10:$Z$227,K$2,FALSE))</f>
        <v/>
      </c>
      <c r="L208" s="447" t="str">
        <f>IF(VLOOKUP($A208,'Pre-Assessment Estimator'!$A$10:$Z$227,L$2,FALSE)=0,"",VLOOKUP($A208,'Pre-Assessment Estimator'!$A$10:$Z$227,L$2,FALSE))</f>
        <v/>
      </c>
      <c r="M208" s="448"/>
      <c r="N208" s="449" t="str">
        <f>IF(VLOOKUP($A208,'Pre-Assessment Estimator'!$A$10:$Z$227,N$2,FALSE)=0,"",VLOOKUP($A208,'Pre-Assessment Estimator'!$A$10:$Z$227,N$2,FALSE))</f>
        <v/>
      </c>
      <c r="O208" s="444">
        <f>VLOOKUP($A208,'Pre-Assessment Estimator'!$A$10:$Z$227,O$2,FALSE)</f>
        <v>0</v>
      </c>
      <c r="P208" s="443" t="str">
        <f>VLOOKUP($A208,'Pre-Assessment Estimator'!$A$10:$Z$227,P$2,FALSE)</f>
        <v>N/A</v>
      </c>
      <c r="Q208" s="446" t="str">
        <f>IF(VLOOKUP($A208,'Pre-Assessment Estimator'!$A$10:$Z$227,Q$2,FALSE)=0,"",VLOOKUP($A208,'Pre-Assessment Estimator'!$A$10:$Z$227,Q$2,FALSE))</f>
        <v/>
      </c>
      <c r="R208" s="446" t="str">
        <f>IF(VLOOKUP($A208,'Pre-Assessment Estimator'!$A$10:$Z$227,R$2,FALSE)=0,"",VLOOKUP($A208,'Pre-Assessment Estimator'!$A$10:$Z$227,R$2,FALSE))</f>
        <v/>
      </c>
      <c r="S208" s="447" t="str">
        <f>IF(VLOOKUP($A208,'Pre-Assessment Estimator'!$A$10:$Z$227,S$2,FALSE)=0,"",VLOOKUP($A208,'Pre-Assessment Estimator'!$A$10:$Z$227,S$2,FALSE))</f>
        <v/>
      </c>
      <c r="T208" s="450"/>
      <c r="U208" s="449" t="str">
        <f>IF(VLOOKUP($A208,'Pre-Assessment Estimator'!$A$10:$Z$227,U$2,FALSE)=0,"",VLOOKUP($A208,'Pre-Assessment Estimator'!$A$10:$Z$227,U$2,FALSE))</f>
        <v/>
      </c>
      <c r="V208" s="444">
        <f>VLOOKUP($A208,'Pre-Assessment Estimator'!$A$10:$Z$227,V$2,FALSE)</f>
        <v>0</v>
      </c>
      <c r="W208" s="443" t="str">
        <f>VLOOKUP($A208,'Pre-Assessment Estimator'!$A$10:$Z$227,W$2,FALSE)</f>
        <v>N/A</v>
      </c>
      <c r="X208" s="446" t="str">
        <f>IF(VLOOKUP($A208,'Pre-Assessment Estimator'!$A$10:$Z$227,X$2,FALSE)=0,"",VLOOKUP($A208,'Pre-Assessment Estimator'!$A$10:$Z$227,X$2,FALSE))</f>
        <v/>
      </c>
      <c r="Y208" s="446" t="str">
        <f>IF(VLOOKUP($A208,'Pre-Assessment Estimator'!$A$10:$Z$227,Y$2,FALSE)=0,"",VLOOKUP($A208,'Pre-Assessment Estimator'!$A$10:$Z$227,Y$2,FALSE))</f>
        <v/>
      </c>
      <c r="Z208" s="313" t="str">
        <f>IF(VLOOKUP($A208,'Pre-Assessment Estimator'!$A$10:$Z$227,Z$2,FALSE)=0,"",VLOOKUP($A208,'Pre-Assessment Estimator'!$A$10:$Z$227,Z$2,FALSE))</f>
        <v/>
      </c>
      <c r="AA208" s="544">
        <v>196</v>
      </c>
      <c r="AB208" s="454"/>
      <c r="AF208" s="13">
        <f t="shared" si="3"/>
        <v>1</v>
      </c>
    </row>
    <row r="209" spans="1:32">
      <c r="A209" s="652">
        <v>200</v>
      </c>
      <c r="B209" s="958" t="s">
        <v>1084</v>
      </c>
      <c r="C209" s="958"/>
      <c r="D209" s="980" t="str">
        <f>VLOOKUP($A209,'Pre-Assessment Estimator'!$A$10:$Z$227,D$2,FALSE)</f>
        <v>POL 05</v>
      </c>
      <c r="E209" s="980" t="str">
        <f>VLOOKUP($A209,'Pre-Assessment Estimator'!$A$10:$Z$227,E$2,FALSE)</f>
        <v>Minimizing noise pollution in noise-sensitive areas</v>
      </c>
      <c r="F209" s="443">
        <f>VLOOKUP($A209,'Pre-Assessment Estimator'!$A$10:$Z$227,F$2,FALSE)</f>
        <v>0</v>
      </c>
      <c r="G209" s="449" t="str">
        <f>IF(VLOOKUP($A209,'Pre-Assessment Estimator'!$A$10:$Z$227,G$2,FALSE)=0,"",VLOOKUP($A209,'Pre-Assessment Estimator'!$A$10:$Z$227,G$2,FALSE))</f>
        <v/>
      </c>
      <c r="H209" s="948">
        <f>VLOOKUP($A209,'Pre-Assessment Estimator'!$A$10:$Z$227,H$2,FALSE)</f>
        <v>0</v>
      </c>
      <c r="I209" s="445" t="str">
        <f>VLOOKUP($A209,'Pre-Assessment Estimator'!$A$10:$Z$227,I$2,FALSE)</f>
        <v>N/A</v>
      </c>
      <c r="J209" s="446" t="str">
        <f>IF(VLOOKUP($A209,'Pre-Assessment Estimator'!$A$10:$Z$227,J$2,FALSE)=0,"",VLOOKUP($A209,'Pre-Assessment Estimator'!$A$10:$Z$227,J$2,FALSE))</f>
        <v/>
      </c>
      <c r="K209" s="446" t="str">
        <f>IF(VLOOKUP($A209,'Pre-Assessment Estimator'!$A$10:$Z$227,K$2,FALSE)=0,"",VLOOKUP($A209,'Pre-Assessment Estimator'!$A$10:$Z$227,K$2,FALSE))</f>
        <v/>
      </c>
      <c r="L209" s="447" t="str">
        <f>IF(VLOOKUP($A209,'Pre-Assessment Estimator'!$A$10:$Z$227,L$2,FALSE)=0,"",VLOOKUP($A209,'Pre-Assessment Estimator'!$A$10:$Z$227,L$2,FALSE))</f>
        <v/>
      </c>
      <c r="M209" s="448"/>
      <c r="N209" s="449" t="str">
        <f>IF(VLOOKUP($A209,'Pre-Assessment Estimator'!$A$10:$Z$227,N$2,FALSE)=0,"",VLOOKUP($A209,'Pre-Assessment Estimator'!$A$10:$Z$227,N$2,FALSE))</f>
        <v/>
      </c>
      <c r="O209" s="444">
        <f>VLOOKUP($A209,'Pre-Assessment Estimator'!$A$10:$Z$227,O$2,FALSE)</f>
        <v>0</v>
      </c>
      <c r="P209" s="443" t="str">
        <f>VLOOKUP($A209,'Pre-Assessment Estimator'!$A$10:$Z$227,P$2,FALSE)</f>
        <v>N/A</v>
      </c>
      <c r="Q209" s="446" t="str">
        <f>IF(VLOOKUP($A209,'Pre-Assessment Estimator'!$A$10:$Z$227,Q$2,FALSE)=0,"",VLOOKUP($A209,'Pre-Assessment Estimator'!$A$10:$Z$227,Q$2,FALSE))</f>
        <v/>
      </c>
      <c r="R209" s="446" t="str">
        <f>IF(VLOOKUP($A209,'Pre-Assessment Estimator'!$A$10:$Z$227,R$2,FALSE)=0,"",VLOOKUP($A209,'Pre-Assessment Estimator'!$A$10:$Z$227,R$2,FALSE))</f>
        <v/>
      </c>
      <c r="S209" s="447" t="str">
        <f>IF(VLOOKUP($A209,'Pre-Assessment Estimator'!$A$10:$Z$227,S$2,FALSE)=0,"",VLOOKUP($A209,'Pre-Assessment Estimator'!$A$10:$Z$227,S$2,FALSE))</f>
        <v/>
      </c>
      <c r="T209" s="450"/>
      <c r="U209" s="449" t="str">
        <f>IF(VLOOKUP($A209,'Pre-Assessment Estimator'!$A$10:$Z$227,U$2,FALSE)=0,"",VLOOKUP($A209,'Pre-Assessment Estimator'!$A$10:$Z$227,U$2,FALSE))</f>
        <v/>
      </c>
      <c r="V209" s="444">
        <f>VLOOKUP($A209,'Pre-Assessment Estimator'!$A$10:$Z$227,V$2,FALSE)</f>
        <v>0</v>
      </c>
      <c r="W209" s="443" t="str">
        <f>VLOOKUP($A209,'Pre-Assessment Estimator'!$A$10:$Z$227,W$2,FALSE)</f>
        <v>N/A</v>
      </c>
      <c r="X209" s="446" t="str">
        <f>IF(VLOOKUP($A209,'Pre-Assessment Estimator'!$A$10:$Z$227,X$2,FALSE)=0,"",VLOOKUP($A209,'Pre-Assessment Estimator'!$A$10:$Z$227,X$2,FALSE))</f>
        <v/>
      </c>
      <c r="Y209" s="446" t="str">
        <f>IF(VLOOKUP($A209,'Pre-Assessment Estimator'!$A$10:$Z$227,Y$2,FALSE)=0,"",VLOOKUP($A209,'Pre-Assessment Estimator'!$A$10:$Z$227,Y$2,FALSE))</f>
        <v/>
      </c>
      <c r="Z209" s="313" t="str">
        <f>IF(VLOOKUP($A209,'Pre-Assessment Estimator'!$A$10:$Z$227,Z$2,FALSE)=0,"",VLOOKUP($A209,'Pre-Assessment Estimator'!$A$10:$Z$227,Z$2,FALSE))</f>
        <v/>
      </c>
      <c r="AA209" s="544">
        <v>197</v>
      </c>
      <c r="AB209" s="545"/>
      <c r="AF209" s="13">
        <f t="shared" si="3"/>
        <v>2</v>
      </c>
    </row>
    <row r="210" spans="1:32" ht="30" customHeight="1" thickBot="1">
      <c r="A210" s="652">
        <v>201</v>
      </c>
      <c r="B210" s="958" t="s">
        <v>1084</v>
      </c>
      <c r="C210" s="958"/>
      <c r="D210" s="982"/>
      <c r="E210" s="982" t="str">
        <f>VLOOKUP($A210,'Pre-Assessment Estimator'!$A$10:$Z$227,E$2,FALSE)</f>
        <v>Total performance pollution</v>
      </c>
      <c r="F210" s="451">
        <f>VLOOKUP($A210,'Pre-Assessment Estimator'!$A$10:$Z$227,F$2,FALSE)</f>
        <v>7</v>
      </c>
      <c r="G210" s="453" t="str">
        <f>IF(VLOOKUP($A210,'Pre-Assessment Estimator'!$A$10:$Z$227,G$2,FALSE)=0,"",VLOOKUP($A210,'Pre-Assessment Estimator'!$A$10:$Z$227,G$2,FALSE))</f>
        <v/>
      </c>
      <c r="H210" s="452">
        <f>VLOOKUP($A210,'Pre-Assessment Estimator'!$A$10:$Z$227,H$2,FALSE)</f>
        <v>0</v>
      </c>
      <c r="I210" s="451" t="str">
        <f>VLOOKUP($A210,'Pre-Assessment Estimator'!$A$10:$Z$227,I$2,FALSE)</f>
        <v>Credits achieved: 0</v>
      </c>
      <c r="J210" s="930" t="str">
        <f>IF(VLOOKUP($A210,'Pre-Assessment Estimator'!$A$10:$Z$227,J$2,FALSE)=0,"",VLOOKUP($A210,'Pre-Assessment Estimator'!$A$10:$Z$227,J$2,FALSE))</f>
        <v/>
      </c>
      <c r="K210" s="930" t="str">
        <f>IF(VLOOKUP($A210,'Pre-Assessment Estimator'!$A$10:$Z$227,K$2,FALSE)=0,"",VLOOKUP($A210,'Pre-Assessment Estimator'!$A$10:$Z$227,K$2,FALSE))</f>
        <v/>
      </c>
      <c r="L210" s="949" t="str">
        <f>IF(VLOOKUP($A210,'Pre-Assessment Estimator'!$A$10:$Z$227,L$2,FALSE)=0,"",VLOOKUP($A210,'Pre-Assessment Estimator'!$A$10:$Z$227,L$2,FALSE))</f>
        <v/>
      </c>
      <c r="M210" s="950"/>
      <c r="N210" s="453" t="str">
        <f>IF(VLOOKUP($A210,'Pre-Assessment Estimator'!$A$10:$Z$227,N$2,FALSE)=0,"",VLOOKUP($A210,'Pre-Assessment Estimator'!$A$10:$Z$227,N$2,FALSE))</f>
        <v/>
      </c>
      <c r="O210" s="452">
        <f>VLOOKUP($A210,'Pre-Assessment Estimator'!$A$10:$Z$227,O$2,FALSE)</f>
        <v>0</v>
      </c>
      <c r="P210" s="451" t="str">
        <f>VLOOKUP($A210,'Pre-Assessment Estimator'!$A$10:$Z$227,P$2,FALSE)</f>
        <v>Credits achieved: 0</v>
      </c>
      <c r="Q210" s="930" t="str">
        <f>IF(VLOOKUP($A210,'Pre-Assessment Estimator'!$A$10:$Z$227,Q$2,FALSE)=0,"",VLOOKUP($A210,'Pre-Assessment Estimator'!$A$10:$Z$227,Q$2,FALSE))</f>
        <v/>
      </c>
      <c r="R210" s="930" t="str">
        <f>IF(VLOOKUP($A210,'Pre-Assessment Estimator'!$A$10:$Z$227,R$2,FALSE)=0,"",VLOOKUP($A210,'Pre-Assessment Estimator'!$A$10:$Z$227,R$2,FALSE))</f>
        <v/>
      </c>
      <c r="S210" s="949" t="str">
        <f>IF(VLOOKUP($A210,'Pre-Assessment Estimator'!$A$10:$Z$227,S$2,FALSE)=0,"",VLOOKUP($A210,'Pre-Assessment Estimator'!$A$10:$Z$227,S$2,FALSE))</f>
        <v/>
      </c>
      <c r="T210" s="951"/>
      <c r="U210" s="453" t="str">
        <f>IF(VLOOKUP($A210,'Pre-Assessment Estimator'!$A$10:$Z$227,U$2,FALSE)=0,"",VLOOKUP($A210,'Pre-Assessment Estimator'!$A$10:$Z$227,U$2,FALSE))</f>
        <v/>
      </c>
      <c r="V210" s="452">
        <f>VLOOKUP($A210,'Pre-Assessment Estimator'!$A$10:$Z$227,V$2,FALSE)</f>
        <v>0</v>
      </c>
      <c r="W210" s="451" t="str">
        <f>VLOOKUP($A210,'Pre-Assessment Estimator'!$A$10:$Z$227,W$2,FALSE)</f>
        <v>Credits achieved: 0</v>
      </c>
      <c r="X210" s="930" t="str">
        <f>IF(VLOOKUP($A210,'Pre-Assessment Estimator'!$A$10:$Z$227,X$2,FALSE)=0,"",VLOOKUP($A210,'Pre-Assessment Estimator'!$A$10:$Z$227,X$2,FALSE))</f>
        <v/>
      </c>
      <c r="Y210" s="930" t="str">
        <f>IF(VLOOKUP($A210,'Pre-Assessment Estimator'!$A$10:$Z$227,Y$2,FALSE)=0,"",VLOOKUP($A210,'Pre-Assessment Estimator'!$A$10:$Z$227,Y$2,FALSE))</f>
        <v/>
      </c>
      <c r="Z210" s="952" t="str">
        <f>IF(VLOOKUP($A210,'Pre-Assessment Estimator'!$A$10:$Z$227,Z$2,FALSE)=0,"",VLOOKUP($A210,'Pre-Assessment Estimator'!$A$10:$Z$227,Z$2,FALSE))</f>
        <v/>
      </c>
      <c r="AA210" s="544">
        <v>198</v>
      </c>
      <c r="AB210" s="446" t="str">
        <f>IF(VLOOKUP($A210,'Pre-Assessment Estimator'!$A$10:$AB$227,AB$2,FALSE)=0,"",VLOOKUP($A210,'Pre-Assessment Estimator'!$A$10:$AB$227,AB$2,FALSE))</f>
        <v/>
      </c>
      <c r="AF210" s="13">
        <f t="shared" si="3"/>
        <v>1</v>
      </c>
    </row>
    <row r="211" spans="1:32">
      <c r="A211" s="652">
        <v>202</v>
      </c>
      <c r="B211" s="958" t="s">
        <v>1084</v>
      </c>
      <c r="C211" s="958"/>
      <c r="D211" s="454"/>
      <c r="E211" s="454"/>
      <c r="F211" s="455"/>
      <c r="G211" s="455"/>
      <c r="H211" s="455"/>
      <c r="I211" s="455"/>
      <c r="J211" s="454"/>
      <c r="K211" s="455"/>
      <c r="L211" s="454"/>
      <c r="M211" s="448"/>
      <c r="N211" s="455"/>
      <c r="O211" s="455"/>
      <c r="P211" s="455"/>
      <c r="Q211" s="454"/>
      <c r="R211" s="455"/>
      <c r="S211" s="454"/>
      <c r="T211" s="450"/>
      <c r="U211" s="455"/>
      <c r="V211" s="455"/>
      <c r="W211" s="455"/>
      <c r="X211" s="454"/>
      <c r="Y211" s="455"/>
      <c r="Z211" s="291"/>
      <c r="AA211" s="544">
        <v>199</v>
      </c>
      <c r="AB211" s="446" t="str">
        <f>IF(VLOOKUP($A211,'Pre-Assessment Estimator'!$A$10:$AB$227,AB$2,FALSE)=0,"",VLOOKUP($A211,'Pre-Assessment Estimator'!$A$10:$AB$227,AB$2,FALSE))</f>
        <v/>
      </c>
      <c r="AF211" s="13">
        <f t="shared" si="3"/>
        <v>1</v>
      </c>
    </row>
    <row r="212" spans="1:32" ht="18.75">
      <c r="A212" s="652">
        <v>203</v>
      </c>
      <c r="B212" s="958" t="s">
        <v>1084</v>
      </c>
      <c r="C212" s="958"/>
      <c r="D212" s="456"/>
      <c r="E212" s="456" t="s">
        <v>1085</v>
      </c>
      <c r="F212" s="439"/>
      <c r="G212" s="439"/>
      <c r="H212" s="439"/>
      <c r="I212" s="439"/>
      <c r="J212" s="440"/>
      <c r="K212" s="439"/>
      <c r="L212" s="440"/>
      <c r="M212" s="448"/>
      <c r="N212" s="439"/>
      <c r="O212" s="439"/>
      <c r="P212" s="439"/>
      <c r="Q212" s="440"/>
      <c r="R212" s="439"/>
      <c r="S212" s="440"/>
      <c r="T212" s="450"/>
      <c r="U212" s="439"/>
      <c r="V212" s="439"/>
      <c r="W212" s="439"/>
      <c r="X212" s="440"/>
      <c r="Y212" s="439"/>
      <c r="Z212" s="341"/>
      <c r="AA212" s="544">
        <v>200</v>
      </c>
      <c r="AB212" s="446" t="str">
        <f>IF(VLOOKUP($A212,'Pre-Assessment Estimator'!$A$10:$AB$227,AB$2,FALSE)=0,"",VLOOKUP($A212,'Pre-Assessment Estimator'!$A$10:$AB$227,AB$2,FALSE))</f>
        <v/>
      </c>
      <c r="AF212" s="13">
        <f t="shared" ref="AF212:AF224" si="5">IF(F212="",1,IF(F212=0,2,1))</f>
        <v>1</v>
      </c>
    </row>
    <row r="213" spans="1:32">
      <c r="A213" s="652">
        <v>204</v>
      </c>
      <c r="B213" s="958" t="s">
        <v>1084</v>
      </c>
      <c r="C213" s="958"/>
      <c r="D213" s="984" t="str">
        <f>VLOOKUP($A213,'Pre-Assessment Estimator'!$A$10:$Z$227,D$2,FALSE)</f>
        <v>Exemplary Level</v>
      </c>
      <c r="E213" s="980" t="str">
        <f>VLOOKUP($A213,'Pre-Assessment Estimator'!$A$10:$Z$227,E$2,FALSE)</f>
        <v xml:space="preserve">Inn 01 - Man 03: Reduction of direct emissions from construction sites </v>
      </c>
      <c r="F213" s="443">
        <f>VLOOKUP($A213,'Pre-Assessment Estimator'!$A$10:$Z$227,F$2,FALSE)</f>
        <v>1</v>
      </c>
      <c r="G213" s="449" t="str">
        <f>IF(VLOOKUP($A213,'Pre-Assessment Estimator'!$A$10:$Z$227,G$2,FALSE)=0,"",VLOOKUP($A213,'Pre-Assessment Estimator'!$A$10:$Z$227,G$2,FALSE))</f>
        <v/>
      </c>
      <c r="H213" s="948">
        <f>VLOOKUP($A213,'Pre-Assessment Estimator'!$A$10:$Z$227,H$2,FALSE)</f>
        <v>0</v>
      </c>
      <c r="I213" s="445" t="str">
        <f>VLOOKUP($A213,'Pre-Assessment Estimator'!$A$10:$Z$227,I$2,FALSE)</f>
        <v>N/A</v>
      </c>
      <c r="J213" s="446" t="str">
        <f>IF(VLOOKUP($A213,'Pre-Assessment Estimator'!$A$10:$Z$227,J$2,FALSE)=0,"",VLOOKUP($A213,'Pre-Assessment Estimator'!$A$10:$Z$227,J$2,FALSE))</f>
        <v/>
      </c>
      <c r="K213" s="446" t="str">
        <f>IF(VLOOKUP($A213,'Pre-Assessment Estimator'!$A$10:$Z$227,K$2,FALSE)=0,"",VLOOKUP($A213,'Pre-Assessment Estimator'!$A$10:$Z$227,K$2,FALSE))</f>
        <v/>
      </c>
      <c r="L213" s="447" t="str">
        <f>IF(VLOOKUP($A213,'Pre-Assessment Estimator'!$A$10:$Z$227,L$2,FALSE)=0,"",VLOOKUP($A213,'Pre-Assessment Estimator'!$A$10:$Z$227,L$2,FALSE))</f>
        <v/>
      </c>
      <c r="M213" s="448"/>
      <c r="N213" s="449" t="str">
        <f>IF(VLOOKUP($A213,'Pre-Assessment Estimator'!$A$10:$Z$227,N$2,FALSE)=0,"",VLOOKUP($A213,'Pre-Assessment Estimator'!$A$10:$Z$227,N$2,FALSE))</f>
        <v/>
      </c>
      <c r="O213" s="444">
        <f>VLOOKUP($A213,'Pre-Assessment Estimator'!$A$10:$Z$227,O$2,FALSE)</f>
        <v>0</v>
      </c>
      <c r="P213" s="443" t="str">
        <f>VLOOKUP($A213,'Pre-Assessment Estimator'!$A$10:$Z$227,P$2,FALSE)</f>
        <v>N/A</v>
      </c>
      <c r="Q213" s="446" t="str">
        <f>IF(VLOOKUP($A213,'Pre-Assessment Estimator'!$A$10:$Z$227,Q$2,FALSE)=0,"",VLOOKUP($A213,'Pre-Assessment Estimator'!$A$10:$Z$227,Q$2,FALSE))</f>
        <v/>
      </c>
      <c r="R213" s="446" t="str">
        <f>IF(VLOOKUP($A213,'Pre-Assessment Estimator'!$A$10:$Z$227,R$2,FALSE)=0,"",VLOOKUP($A213,'Pre-Assessment Estimator'!$A$10:$Z$227,R$2,FALSE))</f>
        <v/>
      </c>
      <c r="S213" s="447" t="str">
        <f>IF(VLOOKUP($A213,'Pre-Assessment Estimator'!$A$10:$Z$227,S$2,FALSE)=0,"",VLOOKUP($A213,'Pre-Assessment Estimator'!$A$10:$Z$227,S$2,FALSE))</f>
        <v/>
      </c>
      <c r="T213" s="450"/>
      <c r="U213" s="449" t="str">
        <f>IF(VLOOKUP($A213,'Pre-Assessment Estimator'!$A$10:$Z$227,U$2,FALSE)=0,"",VLOOKUP($A213,'Pre-Assessment Estimator'!$A$10:$Z$227,U$2,FALSE))</f>
        <v/>
      </c>
      <c r="V213" s="444">
        <f>VLOOKUP($A213,'Pre-Assessment Estimator'!$A$10:$Z$227,V$2,FALSE)</f>
        <v>0</v>
      </c>
      <c r="W213" s="443" t="str">
        <f>VLOOKUP($A213,'Pre-Assessment Estimator'!$A$10:$Z$227,W$2,FALSE)</f>
        <v>N/A</v>
      </c>
      <c r="X213" s="446" t="str">
        <f>IF(VLOOKUP($A213,'Pre-Assessment Estimator'!$A$10:$Z$227,X$2,FALSE)=0,"",VLOOKUP($A213,'Pre-Assessment Estimator'!$A$10:$Z$227,X$2,FALSE))</f>
        <v/>
      </c>
      <c r="Y213" s="446" t="str">
        <f>IF(VLOOKUP($A213,'Pre-Assessment Estimator'!$A$10:$Z$227,Y$2,FALSE)=0,"",VLOOKUP($A213,'Pre-Assessment Estimator'!$A$10:$Z$227,Y$2,FALSE))</f>
        <v/>
      </c>
      <c r="Z213" s="313" t="str">
        <f>IF(VLOOKUP($A213,'Pre-Assessment Estimator'!$A$10:$Z$227,Z$2,FALSE)=0,"",VLOOKUP($A213,'Pre-Assessment Estimator'!$A$10:$Z$227,Z$2,FALSE))</f>
        <v/>
      </c>
      <c r="AA213" s="544">
        <v>201</v>
      </c>
      <c r="AB213" s="446"/>
      <c r="AF213" s="13">
        <f t="shared" si="5"/>
        <v>1</v>
      </c>
    </row>
    <row r="214" spans="1:32">
      <c r="A214" s="652">
        <v>205</v>
      </c>
      <c r="B214" s="958" t="s">
        <v>1084</v>
      </c>
      <c r="C214" s="958"/>
      <c r="D214" s="984" t="str">
        <f>VLOOKUP($A214,'Pre-Assessment Estimator'!$A$10:$Z$227,D$2,FALSE)</f>
        <v>Exemplary Level</v>
      </c>
      <c r="E214" s="980" t="str">
        <f>VLOOKUP($A214,'Pre-Assessment Estimator'!$A$10:$Z$227,E$2,FALSE)</f>
        <v xml:space="preserve">Inn 02 - Hea 01: View out, high level </v>
      </c>
      <c r="F214" s="443">
        <f>VLOOKUP($A214,'Pre-Assessment Estimator'!$A$10:$Z$227,F$2,FALSE)</f>
        <v>1</v>
      </c>
      <c r="G214" s="449" t="str">
        <f>IF(VLOOKUP($A214,'Pre-Assessment Estimator'!$A$10:$Z$227,G$2,FALSE)=0,"",VLOOKUP($A214,'Pre-Assessment Estimator'!$A$10:$Z$227,G$2,FALSE))</f>
        <v/>
      </c>
      <c r="H214" s="948">
        <f>VLOOKUP($A214,'Pre-Assessment Estimator'!$A$10:$Z$227,H$2,FALSE)</f>
        <v>0</v>
      </c>
      <c r="I214" s="445" t="str">
        <f>VLOOKUP($A214,'Pre-Assessment Estimator'!$A$10:$Z$227,I$2,FALSE)</f>
        <v>N/A</v>
      </c>
      <c r="J214" s="446" t="str">
        <f>IF(VLOOKUP($A214,'Pre-Assessment Estimator'!$A$10:$Z$227,J$2,FALSE)=0,"",VLOOKUP($A214,'Pre-Assessment Estimator'!$A$10:$Z$227,J$2,FALSE))</f>
        <v/>
      </c>
      <c r="K214" s="446" t="str">
        <f>IF(VLOOKUP($A214,'Pre-Assessment Estimator'!$A$10:$Z$227,K$2,FALSE)=0,"",VLOOKUP($A214,'Pre-Assessment Estimator'!$A$10:$Z$227,K$2,FALSE))</f>
        <v/>
      </c>
      <c r="L214" s="447" t="str">
        <f>IF(VLOOKUP($A214,'Pre-Assessment Estimator'!$A$10:$Z$227,L$2,FALSE)=0,"",VLOOKUP($A214,'Pre-Assessment Estimator'!$A$10:$Z$227,L$2,FALSE))</f>
        <v/>
      </c>
      <c r="M214" s="448"/>
      <c r="N214" s="449" t="str">
        <f>IF(VLOOKUP($A214,'Pre-Assessment Estimator'!$A$10:$Z$227,N$2,FALSE)=0,"",VLOOKUP($A214,'Pre-Assessment Estimator'!$A$10:$Z$227,N$2,FALSE))</f>
        <v/>
      </c>
      <c r="O214" s="444">
        <f>VLOOKUP($A214,'Pre-Assessment Estimator'!$A$10:$Z$227,O$2,FALSE)</f>
        <v>0</v>
      </c>
      <c r="P214" s="443" t="str">
        <f>VLOOKUP($A214,'Pre-Assessment Estimator'!$A$10:$Z$227,P$2,FALSE)</f>
        <v>N/A</v>
      </c>
      <c r="Q214" s="446" t="str">
        <f>IF(VLOOKUP($A214,'Pre-Assessment Estimator'!$A$10:$Z$227,Q$2,FALSE)=0,"",VLOOKUP($A214,'Pre-Assessment Estimator'!$A$10:$Z$227,Q$2,FALSE))</f>
        <v/>
      </c>
      <c r="R214" s="446" t="str">
        <f>IF(VLOOKUP($A214,'Pre-Assessment Estimator'!$A$10:$Z$227,R$2,FALSE)=0,"",VLOOKUP($A214,'Pre-Assessment Estimator'!$A$10:$Z$227,R$2,FALSE))</f>
        <v/>
      </c>
      <c r="S214" s="447" t="str">
        <f>IF(VLOOKUP($A214,'Pre-Assessment Estimator'!$A$10:$Z$227,S$2,FALSE)=0,"",VLOOKUP($A214,'Pre-Assessment Estimator'!$A$10:$Z$227,S$2,FALSE))</f>
        <v/>
      </c>
      <c r="T214" s="450"/>
      <c r="U214" s="449" t="str">
        <f>IF(VLOOKUP($A214,'Pre-Assessment Estimator'!$A$10:$Z$227,U$2,FALSE)=0,"",VLOOKUP($A214,'Pre-Assessment Estimator'!$A$10:$Z$227,U$2,FALSE))</f>
        <v/>
      </c>
      <c r="V214" s="444">
        <f>VLOOKUP($A214,'Pre-Assessment Estimator'!$A$10:$Z$227,V$2,FALSE)</f>
        <v>0</v>
      </c>
      <c r="W214" s="443" t="str">
        <f>VLOOKUP($A214,'Pre-Assessment Estimator'!$A$10:$Z$227,W$2,FALSE)</f>
        <v>N/A</v>
      </c>
      <c r="X214" s="446" t="str">
        <f>IF(VLOOKUP($A214,'Pre-Assessment Estimator'!$A$10:$Z$227,X$2,FALSE)=0,"",VLOOKUP($A214,'Pre-Assessment Estimator'!$A$10:$Z$227,X$2,FALSE))</f>
        <v/>
      </c>
      <c r="Y214" s="446" t="str">
        <f>IF(VLOOKUP($A214,'Pre-Assessment Estimator'!$A$10:$Z$227,Y$2,FALSE)=0,"",VLOOKUP($A214,'Pre-Assessment Estimator'!$A$10:$Z$227,Y$2,FALSE))</f>
        <v/>
      </c>
      <c r="Z214" s="313" t="str">
        <f>IF(VLOOKUP($A214,'Pre-Assessment Estimator'!$A$10:$Z$227,Z$2,FALSE)=0,"",VLOOKUP($A214,'Pre-Assessment Estimator'!$A$10:$Z$227,Z$2,FALSE))</f>
        <v/>
      </c>
      <c r="AA214" s="544">
        <v>202</v>
      </c>
      <c r="AB214" s="446"/>
      <c r="AF214" s="13">
        <f t="shared" si="5"/>
        <v>1</v>
      </c>
    </row>
    <row r="215" spans="1:32">
      <c r="A215" s="652">
        <v>206</v>
      </c>
      <c r="B215" s="958" t="s">
        <v>1084</v>
      </c>
      <c r="C215" s="958"/>
      <c r="D215" s="984" t="str">
        <f>VLOOKUP($A215,'Pre-Assessment Estimator'!$A$10:$Z$227,D$2,FALSE)</f>
        <v>Exemplary Level</v>
      </c>
      <c r="E215" s="980" t="str">
        <f>VLOOKUP($A215,'Pre-Assessment Estimator'!$A$10:$Z$227,E$2,FALSE)</f>
        <v>Inn 03 - Hea 02: Emissions from construction products</v>
      </c>
      <c r="F215" s="443">
        <f>VLOOKUP($A215,'Pre-Assessment Estimator'!$A$10:$Z$227,F$2,FALSE)</f>
        <v>1</v>
      </c>
      <c r="G215" s="449" t="str">
        <f>IF(VLOOKUP($A215,'Pre-Assessment Estimator'!$A$10:$Z$227,G$2,FALSE)=0,"",VLOOKUP($A215,'Pre-Assessment Estimator'!$A$10:$Z$227,G$2,FALSE))</f>
        <v/>
      </c>
      <c r="H215" s="948">
        <f>VLOOKUP($A215,'Pre-Assessment Estimator'!$A$10:$Z$227,H$2,FALSE)</f>
        <v>0</v>
      </c>
      <c r="I215" s="445" t="str">
        <f>VLOOKUP($A215,'Pre-Assessment Estimator'!$A$10:$Z$227,I$2,FALSE)</f>
        <v>N/A</v>
      </c>
      <c r="J215" s="446" t="str">
        <f>IF(VLOOKUP($A215,'Pre-Assessment Estimator'!$A$10:$Z$227,J$2,FALSE)=0,"",VLOOKUP($A215,'Pre-Assessment Estimator'!$A$10:$Z$227,J$2,FALSE))</f>
        <v/>
      </c>
      <c r="K215" s="446" t="str">
        <f>IF(VLOOKUP($A215,'Pre-Assessment Estimator'!$A$10:$Z$227,K$2,FALSE)=0,"",VLOOKUP($A215,'Pre-Assessment Estimator'!$A$10:$Z$227,K$2,FALSE))</f>
        <v/>
      </c>
      <c r="L215" s="447" t="str">
        <f>IF(VLOOKUP($A215,'Pre-Assessment Estimator'!$A$10:$Z$227,L$2,FALSE)=0,"",VLOOKUP($A215,'Pre-Assessment Estimator'!$A$10:$Z$227,L$2,FALSE))</f>
        <v/>
      </c>
      <c r="M215" s="448"/>
      <c r="N215" s="449" t="str">
        <f>IF(VLOOKUP($A215,'Pre-Assessment Estimator'!$A$10:$Z$227,N$2,FALSE)=0,"",VLOOKUP($A215,'Pre-Assessment Estimator'!$A$10:$Z$227,N$2,FALSE))</f>
        <v/>
      </c>
      <c r="O215" s="444">
        <f>VLOOKUP($A215,'Pre-Assessment Estimator'!$A$10:$Z$227,O$2,FALSE)</f>
        <v>0</v>
      </c>
      <c r="P215" s="443" t="str">
        <f>VLOOKUP($A215,'Pre-Assessment Estimator'!$A$10:$Z$227,P$2,FALSE)</f>
        <v>N/A</v>
      </c>
      <c r="Q215" s="446" t="str">
        <f>IF(VLOOKUP($A215,'Pre-Assessment Estimator'!$A$10:$Z$227,Q$2,FALSE)=0,"",VLOOKUP($A215,'Pre-Assessment Estimator'!$A$10:$Z$227,Q$2,FALSE))</f>
        <v/>
      </c>
      <c r="R215" s="446" t="str">
        <f>IF(VLOOKUP($A215,'Pre-Assessment Estimator'!$A$10:$Z$227,R$2,FALSE)=0,"",VLOOKUP($A215,'Pre-Assessment Estimator'!$A$10:$Z$227,R$2,FALSE))</f>
        <v/>
      </c>
      <c r="S215" s="447" t="str">
        <f>IF(VLOOKUP($A215,'Pre-Assessment Estimator'!$A$10:$Z$227,S$2,FALSE)=0,"",VLOOKUP($A215,'Pre-Assessment Estimator'!$A$10:$Z$227,S$2,FALSE))</f>
        <v/>
      </c>
      <c r="T215" s="450"/>
      <c r="U215" s="449" t="str">
        <f>IF(VLOOKUP($A215,'Pre-Assessment Estimator'!$A$10:$Z$227,U$2,FALSE)=0,"",VLOOKUP($A215,'Pre-Assessment Estimator'!$A$10:$Z$227,U$2,FALSE))</f>
        <v/>
      </c>
      <c r="V215" s="444">
        <f>VLOOKUP($A215,'Pre-Assessment Estimator'!$A$10:$Z$227,V$2,FALSE)</f>
        <v>0</v>
      </c>
      <c r="W215" s="443" t="str">
        <f>VLOOKUP($A215,'Pre-Assessment Estimator'!$A$10:$Z$227,W$2,FALSE)</f>
        <v>N/A</v>
      </c>
      <c r="X215" s="446" t="str">
        <f>IF(VLOOKUP($A215,'Pre-Assessment Estimator'!$A$10:$Z$227,X$2,FALSE)=0,"",VLOOKUP($A215,'Pre-Assessment Estimator'!$A$10:$Z$227,X$2,FALSE))</f>
        <v/>
      </c>
      <c r="Y215" s="446" t="str">
        <f>IF(VLOOKUP($A215,'Pre-Assessment Estimator'!$A$10:$Z$227,Y$2,FALSE)=0,"",VLOOKUP($A215,'Pre-Assessment Estimator'!$A$10:$Z$227,Y$2,FALSE))</f>
        <v/>
      </c>
      <c r="Z215" s="313" t="str">
        <f>IF(VLOOKUP($A215,'Pre-Assessment Estimator'!$A$10:$Z$227,Z$2,FALSE)=0,"",VLOOKUP($A215,'Pre-Assessment Estimator'!$A$10:$Z$227,Z$2,FALSE))</f>
        <v/>
      </c>
      <c r="AA215" s="544">
        <v>203</v>
      </c>
      <c r="AB215" s="446"/>
      <c r="AF215" s="13">
        <f t="shared" si="5"/>
        <v>1</v>
      </c>
    </row>
    <row r="216" spans="1:32">
      <c r="A216" s="652">
        <v>207</v>
      </c>
      <c r="B216" s="958" t="s">
        <v>1084</v>
      </c>
      <c r="C216" s="958"/>
      <c r="D216" s="984" t="str">
        <f>VLOOKUP($A216,'Pre-Assessment Estimator'!$A$10:$Z$227,D$2,FALSE)</f>
        <v>Exemplary Level</v>
      </c>
      <c r="E216" s="980" t="str">
        <f>VLOOKUP($A216,'Pre-Assessment Estimator'!$A$10:$Z$227,E$2,FALSE)</f>
        <v xml:space="preserve">Inn 04 - Hea 06: Biofilik design </v>
      </c>
      <c r="F216" s="443">
        <f>VLOOKUP($A216,'Pre-Assessment Estimator'!$A$10:$Z$227,F$2,FALSE)</f>
        <v>1</v>
      </c>
      <c r="G216" s="449" t="str">
        <f>IF(VLOOKUP($A216,'Pre-Assessment Estimator'!$A$10:$Z$227,G$2,FALSE)=0,"",VLOOKUP($A216,'Pre-Assessment Estimator'!$A$10:$Z$227,G$2,FALSE))</f>
        <v/>
      </c>
      <c r="H216" s="948">
        <f>VLOOKUP($A216,'Pre-Assessment Estimator'!$A$10:$Z$227,H$2,FALSE)</f>
        <v>0</v>
      </c>
      <c r="I216" s="445" t="str">
        <f>VLOOKUP($A216,'Pre-Assessment Estimator'!$A$10:$Z$227,I$2,FALSE)</f>
        <v>N/A</v>
      </c>
      <c r="J216" s="446" t="str">
        <f>IF(VLOOKUP($A216,'Pre-Assessment Estimator'!$A$10:$Z$227,J$2,FALSE)=0,"",VLOOKUP($A216,'Pre-Assessment Estimator'!$A$10:$Z$227,J$2,FALSE))</f>
        <v/>
      </c>
      <c r="K216" s="446" t="str">
        <f>IF(VLOOKUP($A216,'Pre-Assessment Estimator'!$A$10:$Z$227,K$2,FALSE)=0,"",VLOOKUP($A216,'Pre-Assessment Estimator'!$A$10:$Z$227,K$2,FALSE))</f>
        <v/>
      </c>
      <c r="L216" s="447" t="str">
        <f>IF(VLOOKUP($A216,'Pre-Assessment Estimator'!$A$10:$Z$227,L$2,FALSE)=0,"",VLOOKUP($A216,'Pre-Assessment Estimator'!$A$10:$Z$227,L$2,FALSE))</f>
        <v/>
      </c>
      <c r="M216" s="448"/>
      <c r="N216" s="449" t="str">
        <f>IF(VLOOKUP($A216,'Pre-Assessment Estimator'!$A$10:$Z$227,N$2,FALSE)=0,"",VLOOKUP($A216,'Pre-Assessment Estimator'!$A$10:$Z$227,N$2,FALSE))</f>
        <v/>
      </c>
      <c r="O216" s="444">
        <f>VLOOKUP($A216,'Pre-Assessment Estimator'!$A$10:$Z$227,O$2,FALSE)</f>
        <v>0</v>
      </c>
      <c r="P216" s="443" t="str">
        <f>VLOOKUP($A216,'Pre-Assessment Estimator'!$A$10:$Z$227,P$2,FALSE)</f>
        <v>N/A</v>
      </c>
      <c r="Q216" s="446" t="str">
        <f>IF(VLOOKUP($A216,'Pre-Assessment Estimator'!$A$10:$Z$227,Q$2,FALSE)=0,"",VLOOKUP($A216,'Pre-Assessment Estimator'!$A$10:$Z$227,Q$2,FALSE))</f>
        <v/>
      </c>
      <c r="R216" s="446" t="str">
        <f>IF(VLOOKUP($A216,'Pre-Assessment Estimator'!$A$10:$Z$227,R$2,FALSE)=0,"",VLOOKUP($A216,'Pre-Assessment Estimator'!$A$10:$Z$227,R$2,FALSE))</f>
        <v/>
      </c>
      <c r="S216" s="447" t="str">
        <f>IF(VLOOKUP($A216,'Pre-Assessment Estimator'!$A$10:$Z$227,S$2,FALSE)=0,"",VLOOKUP($A216,'Pre-Assessment Estimator'!$A$10:$Z$227,S$2,FALSE))</f>
        <v/>
      </c>
      <c r="T216" s="450"/>
      <c r="U216" s="449" t="str">
        <f>IF(VLOOKUP($A216,'Pre-Assessment Estimator'!$A$10:$Z$227,U$2,FALSE)=0,"",VLOOKUP($A216,'Pre-Assessment Estimator'!$A$10:$Z$227,U$2,FALSE))</f>
        <v/>
      </c>
      <c r="V216" s="444">
        <f>VLOOKUP($A216,'Pre-Assessment Estimator'!$A$10:$Z$227,V$2,FALSE)</f>
        <v>0</v>
      </c>
      <c r="W216" s="443" t="str">
        <f>VLOOKUP($A216,'Pre-Assessment Estimator'!$A$10:$Z$227,W$2,FALSE)</f>
        <v>N/A</v>
      </c>
      <c r="X216" s="446" t="str">
        <f>IF(VLOOKUP($A216,'Pre-Assessment Estimator'!$A$10:$Z$227,X$2,FALSE)=0,"",VLOOKUP($A216,'Pre-Assessment Estimator'!$A$10:$Z$227,X$2,FALSE))</f>
        <v/>
      </c>
      <c r="Y216" s="446" t="str">
        <f>IF(VLOOKUP($A216,'Pre-Assessment Estimator'!$A$10:$Z$227,Y$2,FALSE)=0,"",VLOOKUP($A216,'Pre-Assessment Estimator'!$A$10:$Z$227,Y$2,FALSE))</f>
        <v/>
      </c>
      <c r="Z216" s="313" t="str">
        <f>IF(VLOOKUP($A216,'Pre-Assessment Estimator'!$A$10:$Z$227,Z$2,FALSE)=0,"",VLOOKUP($A216,'Pre-Assessment Estimator'!$A$10:$Z$227,Z$2,FALSE))</f>
        <v/>
      </c>
      <c r="AA216" s="544">
        <v>204</v>
      </c>
      <c r="AB216" s="446"/>
      <c r="AF216" s="13">
        <f t="shared" si="5"/>
        <v>1</v>
      </c>
    </row>
    <row r="217" spans="1:32">
      <c r="A217" s="652">
        <v>208</v>
      </c>
      <c r="B217" s="958" t="s">
        <v>1084</v>
      </c>
      <c r="C217" s="958"/>
      <c r="D217" s="984" t="str">
        <f>VLOOKUP($A217,'Pre-Assessment Estimator'!$A$10:$Z$227,D$2,FALSE)</f>
        <v>Exemplary Level</v>
      </c>
      <c r="E217" s="980" t="str">
        <f>VLOOKUP($A217,'Pre-Assessment Estimator'!$A$10:$Z$227,E$2,FALSE)</f>
        <v xml:space="preserve">Inn 05 - Ene 01: Post-occupancy stage </v>
      </c>
      <c r="F217" s="443">
        <f>VLOOKUP($A217,'Pre-Assessment Estimator'!$A$10:$Z$227,F$2,FALSE)</f>
        <v>2</v>
      </c>
      <c r="G217" s="449" t="str">
        <f>IF(VLOOKUP($A217,'Pre-Assessment Estimator'!$A$10:$Z$227,G$2,FALSE)=0,"",VLOOKUP($A217,'Pre-Assessment Estimator'!$A$10:$Z$227,G$2,FALSE))</f>
        <v/>
      </c>
      <c r="H217" s="948">
        <f>VLOOKUP($A217,'Pre-Assessment Estimator'!$A$10:$Z$227,H$2,FALSE)</f>
        <v>0</v>
      </c>
      <c r="I217" s="445" t="str">
        <f>VLOOKUP($A217,'Pre-Assessment Estimator'!$A$10:$Z$227,I$2,FALSE)</f>
        <v>N/A</v>
      </c>
      <c r="J217" s="446" t="str">
        <f>IF(VLOOKUP($A217,'Pre-Assessment Estimator'!$A$10:$Z$227,J$2,FALSE)=0,"",VLOOKUP($A217,'Pre-Assessment Estimator'!$A$10:$Z$227,J$2,FALSE))</f>
        <v/>
      </c>
      <c r="K217" s="446" t="str">
        <f>IF(VLOOKUP($A217,'Pre-Assessment Estimator'!$A$10:$Z$227,K$2,FALSE)=0,"",VLOOKUP($A217,'Pre-Assessment Estimator'!$A$10:$Z$227,K$2,FALSE))</f>
        <v/>
      </c>
      <c r="L217" s="447" t="str">
        <f>IF(VLOOKUP($A217,'Pre-Assessment Estimator'!$A$10:$Z$227,L$2,FALSE)=0,"",VLOOKUP($A217,'Pre-Assessment Estimator'!$A$10:$Z$227,L$2,FALSE))</f>
        <v/>
      </c>
      <c r="M217" s="448"/>
      <c r="N217" s="449" t="str">
        <f>IF(VLOOKUP($A217,'Pre-Assessment Estimator'!$A$10:$Z$227,N$2,FALSE)=0,"",VLOOKUP($A217,'Pre-Assessment Estimator'!$A$10:$Z$227,N$2,FALSE))</f>
        <v/>
      </c>
      <c r="O217" s="444">
        <f>VLOOKUP($A217,'Pre-Assessment Estimator'!$A$10:$Z$227,O$2,FALSE)</f>
        <v>0</v>
      </c>
      <c r="P217" s="443" t="str">
        <f>VLOOKUP($A217,'Pre-Assessment Estimator'!$A$10:$Z$227,P$2,FALSE)</f>
        <v>N/A</v>
      </c>
      <c r="Q217" s="446" t="str">
        <f>IF(VLOOKUP($A217,'Pre-Assessment Estimator'!$A$10:$Z$227,Q$2,FALSE)=0,"",VLOOKUP($A217,'Pre-Assessment Estimator'!$A$10:$Z$227,Q$2,FALSE))</f>
        <v/>
      </c>
      <c r="R217" s="446" t="str">
        <f>IF(VLOOKUP($A217,'Pre-Assessment Estimator'!$A$10:$Z$227,R$2,FALSE)=0,"",VLOOKUP($A217,'Pre-Assessment Estimator'!$A$10:$Z$227,R$2,FALSE))</f>
        <v/>
      </c>
      <c r="S217" s="447" t="str">
        <f>IF(VLOOKUP($A217,'Pre-Assessment Estimator'!$A$10:$Z$227,S$2,FALSE)=0,"",VLOOKUP($A217,'Pre-Assessment Estimator'!$A$10:$Z$227,S$2,FALSE))</f>
        <v/>
      </c>
      <c r="T217" s="450"/>
      <c r="U217" s="449" t="str">
        <f>IF(VLOOKUP($A217,'Pre-Assessment Estimator'!$A$10:$Z$227,U$2,FALSE)=0,"",VLOOKUP($A217,'Pre-Assessment Estimator'!$A$10:$Z$227,U$2,FALSE))</f>
        <v/>
      </c>
      <c r="V217" s="444">
        <f>VLOOKUP($A217,'Pre-Assessment Estimator'!$A$10:$Z$227,V$2,FALSE)</f>
        <v>0</v>
      </c>
      <c r="W217" s="443" t="str">
        <f>VLOOKUP($A217,'Pre-Assessment Estimator'!$A$10:$Z$227,W$2,FALSE)</f>
        <v>N/A</v>
      </c>
      <c r="X217" s="446" t="str">
        <f>IF(VLOOKUP($A217,'Pre-Assessment Estimator'!$A$10:$Z$227,X$2,FALSE)=0,"",VLOOKUP($A217,'Pre-Assessment Estimator'!$A$10:$Z$227,X$2,FALSE))</f>
        <v/>
      </c>
      <c r="Y217" s="446" t="str">
        <f>IF(VLOOKUP($A217,'Pre-Assessment Estimator'!$A$10:$Z$227,Y$2,FALSE)=0,"",VLOOKUP($A217,'Pre-Assessment Estimator'!$A$10:$Z$227,Y$2,FALSE))</f>
        <v/>
      </c>
      <c r="Z217" s="313" t="str">
        <f>IF(VLOOKUP($A217,'Pre-Assessment Estimator'!$A$10:$Z$227,Z$2,FALSE)=0,"",VLOOKUP($A217,'Pre-Assessment Estimator'!$A$10:$Z$227,Z$2,FALSE))</f>
        <v/>
      </c>
      <c r="AA217" s="544">
        <v>205</v>
      </c>
      <c r="AB217" s="446"/>
      <c r="AF217" s="13">
        <f t="shared" si="5"/>
        <v>1</v>
      </c>
    </row>
    <row r="218" spans="1:32">
      <c r="A218" s="652">
        <v>209</v>
      </c>
      <c r="B218" s="958" t="s">
        <v>1084</v>
      </c>
      <c r="C218" s="958"/>
      <c r="D218" s="984" t="str">
        <f>VLOOKUP($A218,'Pre-Assessment Estimator'!$A$10:$Z$227,D$2,FALSE)</f>
        <v>Exemplary Level</v>
      </c>
      <c r="E218" s="980" t="str">
        <f>VLOOKUP($A218,'Pre-Assessment Estimator'!$A$10:$Z$227,E$2,FALSE)</f>
        <v xml:space="preserve">Inn 06 - Ene 01: Plus house </v>
      </c>
      <c r="F218" s="443">
        <f>VLOOKUP($A218,'Pre-Assessment Estimator'!$A$10:$Z$227,F$2,FALSE)</f>
        <v>1</v>
      </c>
      <c r="G218" s="449" t="str">
        <f>IF(VLOOKUP($A218,'Pre-Assessment Estimator'!$A$10:$Z$227,G$2,FALSE)=0,"",VLOOKUP($A218,'Pre-Assessment Estimator'!$A$10:$Z$227,G$2,FALSE))</f>
        <v/>
      </c>
      <c r="H218" s="948">
        <f>VLOOKUP($A218,'Pre-Assessment Estimator'!$A$10:$Z$227,H$2,FALSE)</f>
        <v>0</v>
      </c>
      <c r="I218" s="445" t="str">
        <f>VLOOKUP($A218,'Pre-Assessment Estimator'!$A$10:$Z$227,I$2,FALSE)</f>
        <v>N/A</v>
      </c>
      <c r="J218" s="446" t="str">
        <f>IF(VLOOKUP($A218,'Pre-Assessment Estimator'!$A$10:$Z$227,J$2,FALSE)=0,"",VLOOKUP($A218,'Pre-Assessment Estimator'!$A$10:$Z$227,J$2,FALSE))</f>
        <v/>
      </c>
      <c r="K218" s="446" t="str">
        <f>IF(VLOOKUP($A218,'Pre-Assessment Estimator'!$A$10:$Z$227,K$2,FALSE)=0,"",VLOOKUP($A218,'Pre-Assessment Estimator'!$A$10:$Z$227,K$2,FALSE))</f>
        <v/>
      </c>
      <c r="L218" s="447" t="str">
        <f>IF(VLOOKUP($A218,'Pre-Assessment Estimator'!$A$10:$Z$227,L$2,FALSE)=0,"",VLOOKUP($A218,'Pre-Assessment Estimator'!$A$10:$Z$227,L$2,FALSE))</f>
        <v/>
      </c>
      <c r="M218" s="448"/>
      <c r="N218" s="449" t="str">
        <f>IF(VLOOKUP($A218,'Pre-Assessment Estimator'!$A$10:$Z$227,N$2,FALSE)=0,"",VLOOKUP($A218,'Pre-Assessment Estimator'!$A$10:$Z$227,N$2,FALSE))</f>
        <v/>
      </c>
      <c r="O218" s="444">
        <f>VLOOKUP($A218,'Pre-Assessment Estimator'!$A$10:$Z$227,O$2,FALSE)</f>
        <v>0</v>
      </c>
      <c r="P218" s="443" t="str">
        <f>VLOOKUP($A218,'Pre-Assessment Estimator'!$A$10:$Z$227,P$2,FALSE)</f>
        <v>N/A</v>
      </c>
      <c r="Q218" s="446" t="str">
        <f>IF(VLOOKUP($A218,'Pre-Assessment Estimator'!$A$10:$Z$227,Q$2,FALSE)=0,"",VLOOKUP($A218,'Pre-Assessment Estimator'!$A$10:$Z$227,Q$2,FALSE))</f>
        <v/>
      </c>
      <c r="R218" s="446" t="str">
        <f>IF(VLOOKUP($A218,'Pre-Assessment Estimator'!$A$10:$Z$227,R$2,FALSE)=0,"",VLOOKUP($A218,'Pre-Assessment Estimator'!$A$10:$Z$227,R$2,FALSE))</f>
        <v/>
      </c>
      <c r="S218" s="447" t="str">
        <f>IF(VLOOKUP($A218,'Pre-Assessment Estimator'!$A$10:$Z$227,S$2,FALSE)=0,"",VLOOKUP($A218,'Pre-Assessment Estimator'!$A$10:$Z$227,S$2,FALSE))</f>
        <v/>
      </c>
      <c r="T218" s="450"/>
      <c r="U218" s="449" t="str">
        <f>IF(VLOOKUP($A218,'Pre-Assessment Estimator'!$A$10:$Z$227,U$2,FALSE)=0,"",VLOOKUP($A218,'Pre-Assessment Estimator'!$A$10:$Z$227,U$2,FALSE))</f>
        <v/>
      </c>
      <c r="V218" s="444">
        <f>VLOOKUP($A218,'Pre-Assessment Estimator'!$A$10:$Z$227,V$2,FALSE)</f>
        <v>0</v>
      </c>
      <c r="W218" s="443" t="str">
        <f>VLOOKUP($A218,'Pre-Assessment Estimator'!$A$10:$Z$227,W$2,FALSE)</f>
        <v>N/A</v>
      </c>
      <c r="X218" s="446" t="str">
        <f>IF(VLOOKUP($A218,'Pre-Assessment Estimator'!$A$10:$Z$227,X$2,FALSE)=0,"",VLOOKUP($A218,'Pre-Assessment Estimator'!$A$10:$Z$227,X$2,FALSE))</f>
        <v/>
      </c>
      <c r="Y218" s="446" t="str">
        <f>IF(VLOOKUP($A218,'Pre-Assessment Estimator'!$A$10:$Z$227,Y$2,FALSE)=0,"",VLOOKUP($A218,'Pre-Assessment Estimator'!$A$10:$Z$227,Y$2,FALSE))</f>
        <v/>
      </c>
      <c r="Z218" s="313" t="str">
        <f>IF(VLOOKUP($A218,'Pre-Assessment Estimator'!$A$10:$Z$227,Z$2,FALSE)=0,"",VLOOKUP($A218,'Pre-Assessment Estimator'!$A$10:$Z$227,Z$2,FALSE))</f>
        <v/>
      </c>
      <c r="AA218" s="544">
        <v>206</v>
      </c>
      <c r="AB218" s="446"/>
      <c r="AF218" s="13">
        <f t="shared" si="5"/>
        <v>1</v>
      </c>
    </row>
    <row r="219" spans="1:32">
      <c r="A219" s="652">
        <v>210</v>
      </c>
      <c r="B219" s="958" t="s">
        <v>1084</v>
      </c>
      <c r="C219" s="958"/>
      <c r="D219" s="984" t="str">
        <f>VLOOKUP($A219,'Pre-Assessment Estimator'!$A$10:$Z$227,D$2,FALSE)</f>
        <v>Exemplary Level</v>
      </c>
      <c r="E219" s="980" t="str">
        <f>VLOOKUP($A219,'Pre-Assessment Estimator'!$A$10:$Z$227,E$2,FALSE)</f>
        <v>Inn 07 - Wat 01: Highly water efficient components</v>
      </c>
      <c r="F219" s="443">
        <f>VLOOKUP($A219,'Pre-Assessment Estimator'!$A$10:$Z$227,F$2,FALSE)</f>
        <v>1</v>
      </c>
      <c r="G219" s="449" t="str">
        <f>IF(VLOOKUP($A219,'Pre-Assessment Estimator'!$A$10:$Z$227,G$2,FALSE)=0,"",VLOOKUP($A219,'Pre-Assessment Estimator'!$A$10:$Z$227,G$2,FALSE))</f>
        <v/>
      </c>
      <c r="H219" s="948">
        <f>VLOOKUP($A219,'Pre-Assessment Estimator'!$A$10:$Z$227,H$2,FALSE)</f>
        <v>0</v>
      </c>
      <c r="I219" s="445" t="str">
        <f>VLOOKUP($A219,'Pre-Assessment Estimator'!$A$10:$Z$227,I$2,FALSE)</f>
        <v>N/A</v>
      </c>
      <c r="J219" s="446" t="str">
        <f>IF(VLOOKUP($A219,'Pre-Assessment Estimator'!$A$10:$Z$227,J$2,FALSE)=0,"",VLOOKUP($A219,'Pre-Assessment Estimator'!$A$10:$Z$227,J$2,FALSE))</f>
        <v/>
      </c>
      <c r="K219" s="446" t="str">
        <f>IF(VLOOKUP($A219,'Pre-Assessment Estimator'!$A$10:$Z$227,K$2,FALSE)=0,"",VLOOKUP($A219,'Pre-Assessment Estimator'!$A$10:$Z$227,K$2,FALSE))</f>
        <v/>
      </c>
      <c r="L219" s="447" t="str">
        <f>IF(VLOOKUP($A219,'Pre-Assessment Estimator'!$A$10:$Z$227,L$2,FALSE)=0,"",VLOOKUP($A219,'Pre-Assessment Estimator'!$A$10:$Z$227,L$2,FALSE))</f>
        <v/>
      </c>
      <c r="M219" s="448"/>
      <c r="N219" s="449" t="str">
        <f>IF(VLOOKUP($A219,'Pre-Assessment Estimator'!$A$10:$Z$227,N$2,FALSE)=0,"",VLOOKUP($A219,'Pre-Assessment Estimator'!$A$10:$Z$227,N$2,FALSE))</f>
        <v/>
      </c>
      <c r="O219" s="444">
        <f>VLOOKUP($A219,'Pre-Assessment Estimator'!$A$10:$Z$227,O$2,FALSE)</f>
        <v>0</v>
      </c>
      <c r="P219" s="443" t="str">
        <f>VLOOKUP($A219,'Pre-Assessment Estimator'!$A$10:$Z$227,P$2,FALSE)</f>
        <v>N/A</v>
      </c>
      <c r="Q219" s="446" t="str">
        <f>IF(VLOOKUP($A219,'Pre-Assessment Estimator'!$A$10:$Z$227,Q$2,FALSE)=0,"",VLOOKUP($A219,'Pre-Assessment Estimator'!$A$10:$Z$227,Q$2,FALSE))</f>
        <v/>
      </c>
      <c r="R219" s="446" t="str">
        <f>IF(VLOOKUP($A219,'Pre-Assessment Estimator'!$A$10:$Z$227,R$2,FALSE)=0,"",VLOOKUP($A219,'Pre-Assessment Estimator'!$A$10:$Z$227,R$2,FALSE))</f>
        <v/>
      </c>
      <c r="S219" s="447" t="str">
        <f>IF(VLOOKUP($A219,'Pre-Assessment Estimator'!$A$10:$Z$227,S$2,FALSE)=0,"",VLOOKUP($A219,'Pre-Assessment Estimator'!$A$10:$Z$227,S$2,FALSE))</f>
        <v/>
      </c>
      <c r="T219" s="450"/>
      <c r="U219" s="449" t="str">
        <f>IF(VLOOKUP($A219,'Pre-Assessment Estimator'!$A$10:$Z$227,U$2,FALSE)=0,"",VLOOKUP($A219,'Pre-Assessment Estimator'!$A$10:$Z$227,U$2,FALSE))</f>
        <v/>
      </c>
      <c r="V219" s="444">
        <f>VLOOKUP($A219,'Pre-Assessment Estimator'!$A$10:$Z$227,V$2,FALSE)</f>
        <v>0</v>
      </c>
      <c r="W219" s="443" t="str">
        <f>VLOOKUP($A219,'Pre-Assessment Estimator'!$A$10:$Z$227,W$2,FALSE)</f>
        <v>N/A</v>
      </c>
      <c r="X219" s="446" t="str">
        <f>IF(VLOOKUP($A219,'Pre-Assessment Estimator'!$A$10:$Z$227,X$2,FALSE)=0,"",VLOOKUP($A219,'Pre-Assessment Estimator'!$A$10:$Z$227,X$2,FALSE))</f>
        <v/>
      </c>
      <c r="Y219" s="446" t="str">
        <f>IF(VLOOKUP($A219,'Pre-Assessment Estimator'!$A$10:$Z$227,Y$2,FALSE)=0,"",VLOOKUP($A219,'Pre-Assessment Estimator'!$A$10:$Z$227,Y$2,FALSE))</f>
        <v/>
      </c>
      <c r="Z219" s="313" t="str">
        <f>IF(VLOOKUP($A219,'Pre-Assessment Estimator'!$A$10:$Z$227,Z$2,FALSE)=0,"",VLOOKUP($A219,'Pre-Assessment Estimator'!$A$10:$Z$227,Z$2,FALSE))</f>
        <v/>
      </c>
      <c r="AA219" s="544">
        <v>207</v>
      </c>
      <c r="AB219" s="446" t="str">
        <f>IF(VLOOKUP($A219,'Pre-Assessment Estimator'!$A$10:$AB$227,AB$2,FALSE)=0,"",VLOOKUP($A219,'Pre-Assessment Estimator'!$A$10:$AB$227,AB$2,FALSE))</f>
        <v/>
      </c>
      <c r="AF219" s="13">
        <f t="shared" si="5"/>
        <v>1</v>
      </c>
    </row>
    <row r="220" spans="1:32">
      <c r="A220" s="652">
        <v>211</v>
      </c>
      <c r="B220" s="958" t="s">
        <v>1084</v>
      </c>
      <c r="C220" s="958"/>
      <c r="D220" s="984" t="str">
        <f>VLOOKUP($A220,'Pre-Assessment Estimator'!$A$10:$Z$227,D$2,FALSE)</f>
        <v>Exemplary Level</v>
      </c>
      <c r="E220" s="980" t="str">
        <f>VLOOKUP($A220,'Pre-Assessment Estimator'!$A$10:$Z$227,E$2,FALSE)</f>
        <v xml:space="preserve">Inn 08 - Mat 01: 60% reduction of greenhouse gas emission </v>
      </c>
      <c r="F220" s="443">
        <f>VLOOKUP($A220,'Pre-Assessment Estimator'!$A$10:$Z$227,F$2,FALSE)</f>
        <v>1</v>
      </c>
      <c r="G220" s="449" t="str">
        <f>IF(VLOOKUP($A220,'Pre-Assessment Estimator'!$A$10:$Z$227,G$2,FALSE)=0,"",VLOOKUP($A220,'Pre-Assessment Estimator'!$A$10:$Z$227,G$2,FALSE))</f>
        <v/>
      </c>
      <c r="H220" s="948">
        <f>VLOOKUP($A220,'Pre-Assessment Estimator'!$A$10:$Z$227,H$2,FALSE)</f>
        <v>0</v>
      </c>
      <c r="I220" s="445" t="str">
        <f>VLOOKUP($A220,'Pre-Assessment Estimator'!$A$10:$Z$227,I$2,FALSE)</f>
        <v>N/A</v>
      </c>
      <c r="J220" s="446" t="str">
        <f>IF(VLOOKUP($A220,'Pre-Assessment Estimator'!$A$10:$Z$227,J$2,FALSE)=0,"",VLOOKUP($A220,'Pre-Assessment Estimator'!$A$10:$Z$227,J$2,FALSE))</f>
        <v/>
      </c>
      <c r="K220" s="446" t="str">
        <f>IF(VLOOKUP($A220,'Pre-Assessment Estimator'!$A$10:$Z$227,K$2,FALSE)=0,"",VLOOKUP($A220,'Pre-Assessment Estimator'!$A$10:$Z$227,K$2,FALSE))</f>
        <v/>
      </c>
      <c r="L220" s="447" t="str">
        <f>IF(VLOOKUP($A220,'Pre-Assessment Estimator'!$A$10:$Z$227,L$2,FALSE)=0,"",VLOOKUP($A220,'Pre-Assessment Estimator'!$A$10:$Z$227,L$2,FALSE))</f>
        <v/>
      </c>
      <c r="M220" s="448"/>
      <c r="N220" s="449" t="str">
        <f>IF(VLOOKUP($A220,'Pre-Assessment Estimator'!$A$10:$Z$227,N$2,FALSE)=0,"",VLOOKUP($A220,'Pre-Assessment Estimator'!$A$10:$Z$227,N$2,FALSE))</f>
        <v/>
      </c>
      <c r="O220" s="444">
        <f>VLOOKUP($A220,'Pre-Assessment Estimator'!$A$10:$Z$227,O$2,FALSE)</f>
        <v>0</v>
      </c>
      <c r="P220" s="443" t="str">
        <f>VLOOKUP($A220,'Pre-Assessment Estimator'!$A$10:$Z$227,P$2,FALSE)</f>
        <v>N/A</v>
      </c>
      <c r="Q220" s="446" t="str">
        <f>IF(VLOOKUP($A220,'Pre-Assessment Estimator'!$A$10:$Z$227,Q$2,FALSE)=0,"",VLOOKUP($A220,'Pre-Assessment Estimator'!$A$10:$Z$227,Q$2,FALSE))</f>
        <v/>
      </c>
      <c r="R220" s="446" t="str">
        <f>IF(VLOOKUP($A220,'Pre-Assessment Estimator'!$A$10:$Z$227,R$2,FALSE)=0,"",VLOOKUP($A220,'Pre-Assessment Estimator'!$A$10:$Z$227,R$2,FALSE))</f>
        <v/>
      </c>
      <c r="S220" s="447" t="str">
        <f>IF(VLOOKUP($A220,'Pre-Assessment Estimator'!$A$10:$Z$227,S$2,FALSE)=0,"",VLOOKUP($A220,'Pre-Assessment Estimator'!$A$10:$Z$227,S$2,FALSE))</f>
        <v/>
      </c>
      <c r="T220" s="450"/>
      <c r="U220" s="449" t="str">
        <f>IF(VLOOKUP($A220,'Pre-Assessment Estimator'!$A$10:$Z$227,U$2,FALSE)=0,"",VLOOKUP($A220,'Pre-Assessment Estimator'!$A$10:$Z$227,U$2,FALSE))</f>
        <v/>
      </c>
      <c r="V220" s="444">
        <f>VLOOKUP($A220,'Pre-Assessment Estimator'!$A$10:$Z$227,V$2,FALSE)</f>
        <v>0</v>
      </c>
      <c r="W220" s="443" t="str">
        <f>VLOOKUP($A220,'Pre-Assessment Estimator'!$A$10:$Z$227,W$2,FALSE)</f>
        <v>N/A</v>
      </c>
      <c r="X220" s="446" t="str">
        <f>IF(VLOOKUP($A220,'Pre-Assessment Estimator'!$A$10:$Z$227,X$2,FALSE)=0,"",VLOOKUP($A220,'Pre-Assessment Estimator'!$A$10:$Z$227,X$2,FALSE))</f>
        <v/>
      </c>
      <c r="Y220" s="446" t="str">
        <f>IF(VLOOKUP($A220,'Pre-Assessment Estimator'!$A$10:$Z$227,Y$2,FALSE)=0,"",VLOOKUP($A220,'Pre-Assessment Estimator'!$A$10:$Z$227,Y$2,FALSE))</f>
        <v/>
      </c>
      <c r="Z220" s="313" t="str">
        <f>IF(VLOOKUP($A220,'Pre-Assessment Estimator'!$A$10:$Z$227,Z$2,FALSE)=0,"",VLOOKUP($A220,'Pre-Assessment Estimator'!$A$10:$Z$227,Z$2,FALSE))</f>
        <v/>
      </c>
      <c r="AA220" s="544">
        <v>208</v>
      </c>
      <c r="AB220" s="446" t="str">
        <f>IF(VLOOKUP($A220,'Pre-Assessment Estimator'!$A$10:$AB$227,AB$2,FALSE)=0,"",VLOOKUP($A220,'Pre-Assessment Estimator'!$A$10:$AB$227,AB$2,FALSE))</f>
        <v/>
      </c>
      <c r="AF220" s="13">
        <f t="shared" si="5"/>
        <v>1</v>
      </c>
    </row>
    <row r="221" spans="1:32" ht="30">
      <c r="A221" s="652">
        <v>212</v>
      </c>
      <c r="B221" s="958" t="s">
        <v>1084</v>
      </c>
      <c r="C221" s="958"/>
      <c r="D221" s="984" t="str">
        <f>VLOOKUP($A221,'Pre-Assessment Estimator'!$A$10:$Z$227,D$2,FALSE)</f>
        <v>Exemplary Level</v>
      </c>
      <c r="E221" s="980" t="str">
        <f>VLOOKUP($A221,'Pre-Assessment Estimator'!$A$10:$Z$227,E$2,FALSE)</f>
        <v>Inn 09 - Mat 06: FutureBuilt criteria set for circular buildings, point 2.3 reuse of building components</v>
      </c>
      <c r="F221" s="443">
        <f>VLOOKUP($A221,'Pre-Assessment Estimator'!$A$10:$Z$227,F$2,FALSE)</f>
        <v>1</v>
      </c>
      <c r="G221" s="449" t="str">
        <f>IF(VLOOKUP($A221,'Pre-Assessment Estimator'!$A$10:$Z$227,G$2,FALSE)=0,"",VLOOKUP($A221,'Pre-Assessment Estimator'!$A$10:$Z$227,G$2,FALSE))</f>
        <v/>
      </c>
      <c r="H221" s="948">
        <f>VLOOKUP($A221,'Pre-Assessment Estimator'!$A$10:$Z$227,H$2,FALSE)</f>
        <v>0</v>
      </c>
      <c r="I221" s="445" t="str">
        <f>VLOOKUP($A221,'Pre-Assessment Estimator'!$A$10:$Z$227,I$2,FALSE)</f>
        <v>N/A</v>
      </c>
      <c r="J221" s="446" t="str">
        <f>IF(VLOOKUP($A221,'Pre-Assessment Estimator'!$A$10:$Z$227,J$2,FALSE)=0,"",VLOOKUP($A221,'Pre-Assessment Estimator'!$A$10:$Z$227,J$2,FALSE))</f>
        <v/>
      </c>
      <c r="K221" s="446" t="str">
        <f>IF(VLOOKUP($A221,'Pre-Assessment Estimator'!$A$10:$Z$227,K$2,FALSE)=0,"",VLOOKUP($A221,'Pre-Assessment Estimator'!$A$10:$Z$227,K$2,FALSE))</f>
        <v/>
      </c>
      <c r="L221" s="447" t="str">
        <f>IF(VLOOKUP($A221,'Pre-Assessment Estimator'!$A$10:$Z$227,L$2,FALSE)=0,"",VLOOKUP($A221,'Pre-Assessment Estimator'!$A$10:$Z$227,L$2,FALSE))</f>
        <v/>
      </c>
      <c r="M221" s="448"/>
      <c r="N221" s="449" t="str">
        <f>IF(VLOOKUP($A221,'Pre-Assessment Estimator'!$A$10:$Z$227,N$2,FALSE)=0,"",VLOOKUP($A221,'Pre-Assessment Estimator'!$A$10:$Z$227,N$2,FALSE))</f>
        <v/>
      </c>
      <c r="O221" s="444">
        <f>VLOOKUP($A221,'Pre-Assessment Estimator'!$A$10:$Z$227,O$2,FALSE)</f>
        <v>0</v>
      </c>
      <c r="P221" s="443" t="str">
        <f>VLOOKUP($A221,'Pre-Assessment Estimator'!$A$10:$Z$227,P$2,FALSE)</f>
        <v>N/A</v>
      </c>
      <c r="Q221" s="446" t="str">
        <f>IF(VLOOKUP($A221,'Pre-Assessment Estimator'!$A$10:$Z$227,Q$2,FALSE)=0,"",VLOOKUP($A221,'Pre-Assessment Estimator'!$A$10:$Z$227,Q$2,FALSE))</f>
        <v/>
      </c>
      <c r="R221" s="446" t="str">
        <f>IF(VLOOKUP($A221,'Pre-Assessment Estimator'!$A$10:$Z$227,R$2,FALSE)=0,"",VLOOKUP($A221,'Pre-Assessment Estimator'!$A$10:$Z$227,R$2,FALSE))</f>
        <v/>
      </c>
      <c r="S221" s="447" t="str">
        <f>IF(VLOOKUP($A221,'Pre-Assessment Estimator'!$A$10:$Z$227,S$2,FALSE)=0,"",VLOOKUP($A221,'Pre-Assessment Estimator'!$A$10:$Z$227,S$2,FALSE))</f>
        <v/>
      </c>
      <c r="T221" s="450"/>
      <c r="U221" s="449" t="str">
        <f>IF(VLOOKUP($A221,'Pre-Assessment Estimator'!$A$10:$Z$227,U$2,FALSE)=0,"",VLOOKUP($A221,'Pre-Assessment Estimator'!$A$10:$Z$227,U$2,FALSE))</f>
        <v/>
      </c>
      <c r="V221" s="444">
        <f>VLOOKUP($A221,'Pre-Assessment Estimator'!$A$10:$Z$227,V$2,FALSE)</f>
        <v>0</v>
      </c>
      <c r="W221" s="443" t="str">
        <f>VLOOKUP($A221,'Pre-Assessment Estimator'!$A$10:$Z$227,W$2,FALSE)</f>
        <v>N/A</v>
      </c>
      <c r="X221" s="446" t="str">
        <f>IF(VLOOKUP($A221,'Pre-Assessment Estimator'!$A$10:$Z$227,X$2,FALSE)=0,"",VLOOKUP($A221,'Pre-Assessment Estimator'!$A$10:$Z$227,X$2,FALSE))</f>
        <v/>
      </c>
      <c r="Y221" s="446" t="str">
        <f>IF(VLOOKUP($A221,'Pre-Assessment Estimator'!$A$10:$Z$227,Y$2,FALSE)=0,"",VLOOKUP($A221,'Pre-Assessment Estimator'!$A$10:$Z$227,Y$2,FALSE))</f>
        <v/>
      </c>
      <c r="Z221" s="313" t="str">
        <f>IF(VLOOKUP($A221,'Pre-Assessment Estimator'!$A$10:$Z$227,Z$2,FALSE)=0,"",VLOOKUP($A221,'Pre-Assessment Estimator'!$A$10:$Z$227,Z$2,FALSE))</f>
        <v/>
      </c>
      <c r="AA221" s="544">
        <v>209</v>
      </c>
      <c r="AB221" s="446" t="str">
        <f>IF(VLOOKUP($A221,'Pre-Assessment Estimator'!$A$10:$AB$227,AB$2,FALSE)=0,"",VLOOKUP($A221,'Pre-Assessment Estimator'!$A$10:$AB$227,AB$2,FALSE))</f>
        <v/>
      </c>
      <c r="AF221" s="13">
        <f t="shared" si="5"/>
        <v>1</v>
      </c>
    </row>
    <row r="222" spans="1:32">
      <c r="A222" s="652">
        <v>213</v>
      </c>
      <c r="B222" s="958" t="s">
        <v>1084</v>
      </c>
      <c r="C222" s="958"/>
      <c r="D222" s="984" t="str">
        <f>VLOOKUP($A222,'Pre-Assessment Estimator'!$A$10:$Z$227,D$2,FALSE)</f>
        <v>Exemplary Level</v>
      </c>
      <c r="E222" s="980" t="str">
        <f>VLOOKUP($A222,'Pre-Assessment Estimator'!$A$10:$Z$227,E$2,FALSE)</f>
        <v xml:space="preserve">Inn 10 - Wst 01: Especially low amount of construction waste </v>
      </c>
      <c r="F222" s="443">
        <f>VLOOKUP($A222,'Pre-Assessment Estimator'!$A$10:$Z$227,F$2,FALSE)</f>
        <v>1</v>
      </c>
      <c r="G222" s="449" t="str">
        <f>IF(VLOOKUP($A222,'Pre-Assessment Estimator'!$A$10:$Z$227,G$2,FALSE)=0,"",VLOOKUP($A222,'Pre-Assessment Estimator'!$A$10:$Z$227,G$2,FALSE))</f>
        <v/>
      </c>
      <c r="H222" s="948">
        <f>VLOOKUP($A222,'Pre-Assessment Estimator'!$A$10:$Z$227,H$2,FALSE)</f>
        <v>0</v>
      </c>
      <c r="I222" s="445" t="str">
        <f>VLOOKUP($A222,'Pre-Assessment Estimator'!$A$10:$Z$227,I$2,FALSE)</f>
        <v>N/A</v>
      </c>
      <c r="J222" s="446" t="str">
        <f>IF(VLOOKUP($A222,'Pre-Assessment Estimator'!$A$10:$Z$227,J$2,FALSE)=0,"",VLOOKUP($A222,'Pre-Assessment Estimator'!$A$10:$Z$227,J$2,FALSE))</f>
        <v/>
      </c>
      <c r="K222" s="446" t="str">
        <f>IF(VLOOKUP($A222,'Pre-Assessment Estimator'!$A$10:$Z$227,K$2,FALSE)=0,"",VLOOKUP($A222,'Pre-Assessment Estimator'!$A$10:$Z$227,K$2,FALSE))</f>
        <v/>
      </c>
      <c r="L222" s="447" t="str">
        <f>IF(VLOOKUP($A222,'Pre-Assessment Estimator'!$A$10:$Z$227,L$2,FALSE)=0,"",VLOOKUP($A222,'Pre-Assessment Estimator'!$A$10:$Z$227,L$2,FALSE))</f>
        <v/>
      </c>
      <c r="M222" s="448"/>
      <c r="N222" s="449" t="str">
        <f>IF(VLOOKUP($A222,'Pre-Assessment Estimator'!$A$10:$Z$227,N$2,FALSE)=0,"",VLOOKUP($A222,'Pre-Assessment Estimator'!$A$10:$Z$227,N$2,FALSE))</f>
        <v/>
      </c>
      <c r="O222" s="444">
        <f>VLOOKUP($A222,'Pre-Assessment Estimator'!$A$10:$Z$227,O$2,FALSE)</f>
        <v>0</v>
      </c>
      <c r="P222" s="443" t="str">
        <f>VLOOKUP($A222,'Pre-Assessment Estimator'!$A$10:$Z$227,P$2,FALSE)</f>
        <v>N/A</v>
      </c>
      <c r="Q222" s="446" t="str">
        <f>IF(VLOOKUP($A222,'Pre-Assessment Estimator'!$A$10:$Z$227,Q$2,FALSE)=0,"",VLOOKUP($A222,'Pre-Assessment Estimator'!$A$10:$Z$227,Q$2,FALSE))</f>
        <v/>
      </c>
      <c r="R222" s="446" t="str">
        <f>IF(VLOOKUP($A222,'Pre-Assessment Estimator'!$A$10:$Z$227,R$2,FALSE)=0,"",VLOOKUP($A222,'Pre-Assessment Estimator'!$A$10:$Z$227,R$2,FALSE))</f>
        <v/>
      </c>
      <c r="S222" s="447" t="str">
        <f>IF(VLOOKUP($A222,'Pre-Assessment Estimator'!$A$10:$Z$227,S$2,FALSE)=0,"",VLOOKUP($A222,'Pre-Assessment Estimator'!$A$10:$Z$227,S$2,FALSE))</f>
        <v/>
      </c>
      <c r="T222" s="450"/>
      <c r="U222" s="449" t="str">
        <f>IF(VLOOKUP($A222,'Pre-Assessment Estimator'!$A$10:$Z$227,U$2,FALSE)=0,"",VLOOKUP($A222,'Pre-Assessment Estimator'!$A$10:$Z$227,U$2,FALSE))</f>
        <v/>
      </c>
      <c r="V222" s="444">
        <f>VLOOKUP($A222,'Pre-Assessment Estimator'!$A$10:$Z$227,V$2,FALSE)</f>
        <v>0</v>
      </c>
      <c r="W222" s="443" t="str">
        <f>VLOOKUP($A222,'Pre-Assessment Estimator'!$A$10:$Z$227,W$2,FALSE)</f>
        <v>N/A</v>
      </c>
      <c r="X222" s="446" t="str">
        <f>IF(VLOOKUP($A222,'Pre-Assessment Estimator'!$A$10:$Z$227,X$2,FALSE)=0,"",VLOOKUP($A222,'Pre-Assessment Estimator'!$A$10:$Z$227,X$2,FALSE))</f>
        <v/>
      </c>
      <c r="Y222" s="446" t="str">
        <f>IF(VLOOKUP($A222,'Pre-Assessment Estimator'!$A$10:$Z$227,Y$2,FALSE)=0,"",VLOOKUP($A222,'Pre-Assessment Estimator'!$A$10:$Z$227,Y$2,FALSE))</f>
        <v/>
      </c>
      <c r="Z222" s="313" t="str">
        <f>IF(VLOOKUP($A222,'Pre-Assessment Estimator'!$A$10:$Z$227,Z$2,FALSE)=0,"",VLOOKUP($A222,'Pre-Assessment Estimator'!$A$10:$Z$227,Z$2,FALSE))</f>
        <v/>
      </c>
      <c r="AA222" s="544">
        <v>210</v>
      </c>
      <c r="AB222" s="446" t="str">
        <f>IF(VLOOKUP($A222,'Pre-Assessment Estimator'!$A$10:$AB$227,AB$2,FALSE)=0,"",VLOOKUP($A222,'Pre-Assessment Estimator'!$A$10:$AB$227,AB$2,FALSE))</f>
        <v/>
      </c>
      <c r="AF222" s="13">
        <f t="shared" si="5"/>
        <v>1</v>
      </c>
    </row>
    <row r="223" spans="1:32">
      <c r="A223" s="652">
        <v>214</v>
      </c>
      <c r="B223" s="958" t="s">
        <v>1084</v>
      </c>
      <c r="C223" s="958"/>
      <c r="D223" s="984" t="str">
        <f>VLOOKUP($A223,'Pre-Assessment Estimator'!$A$10:$Z$227,D$2,FALSE)</f>
        <v>Exemplary Level</v>
      </c>
      <c r="E223" s="980" t="str">
        <f>VLOOKUP($A223,'Pre-Assessment Estimator'!$A$10:$Z$227,E$2,FALSE)</f>
        <v>Inn 11 - LE 02: Wider sustainability for the site</v>
      </c>
      <c r="F223" s="443">
        <f>VLOOKUP($A223,'Pre-Assessment Estimator'!$A$10:$Z$227,F$2,FALSE)</f>
        <v>1</v>
      </c>
      <c r="G223" s="449" t="str">
        <f>IF(VLOOKUP($A223,'Pre-Assessment Estimator'!$A$10:$Z$227,G$2,FALSE)=0,"",VLOOKUP($A223,'Pre-Assessment Estimator'!$A$10:$Z$227,G$2,FALSE))</f>
        <v/>
      </c>
      <c r="H223" s="948">
        <f>VLOOKUP($A223,'Pre-Assessment Estimator'!$A$10:$Z$227,H$2,FALSE)</f>
        <v>0</v>
      </c>
      <c r="I223" s="445" t="str">
        <f>VLOOKUP($A223,'Pre-Assessment Estimator'!$A$10:$Z$227,I$2,FALSE)</f>
        <v>N/A</v>
      </c>
      <c r="J223" s="446" t="str">
        <f>IF(VLOOKUP($A223,'Pre-Assessment Estimator'!$A$10:$Z$227,J$2,FALSE)=0,"",VLOOKUP($A223,'Pre-Assessment Estimator'!$A$10:$Z$227,J$2,FALSE))</f>
        <v/>
      </c>
      <c r="K223" s="446" t="str">
        <f>IF(VLOOKUP($A223,'Pre-Assessment Estimator'!$A$10:$Z$227,K$2,FALSE)=0,"",VLOOKUP($A223,'Pre-Assessment Estimator'!$A$10:$Z$227,K$2,FALSE))</f>
        <v/>
      </c>
      <c r="L223" s="447" t="str">
        <f>IF(VLOOKUP($A223,'Pre-Assessment Estimator'!$A$10:$Z$227,L$2,FALSE)=0,"",VLOOKUP($A223,'Pre-Assessment Estimator'!$A$10:$Z$227,L$2,FALSE))</f>
        <v/>
      </c>
      <c r="M223" s="448"/>
      <c r="N223" s="449" t="str">
        <f>IF(VLOOKUP($A223,'Pre-Assessment Estimator'!$A$10:$Z$227,N$2,FALSE)=0,"",VLOOKUP($A223,'Pre-Assessment Estimator'!$A$10:$Z$227,N$2,FALSE))</f>
        <v/>
      </c>
      <c r="O223" s="444">
        <f>VLOOKUP($A223,'Pre-Assessment Estimator'!$A$10:$Z$227,O$2,FALSE)</f>
        <v>0</v>
      </c>
      <c r="P223" s="443" t="str">
        <f>VLOOKUP($A223,'Pre-Assessment Estimator'!$A$10:$Z$227,P$2,FALSE)</f>
        <v>N/A</v>
      </c>
      <c r="Q223" s="446" t="str">
        <f>IF(VLOOKUP($A223,'Pre-Assessment Estimator'!$A$10:$Z$227,Q$2,FALSE)=0,"",VLOOKUP($A223,'Pre-Assessment Estimator'!$A$10:$Z$227,Q$2,FALSE))</f>
        <v/>
      </c>
      <c r="R223" s="446" t="str">
        <f>IF(VLOOKUP($A223,'Pre-Assessment Estimator'!$A$10:$Z$227,R$2,FALSE)=0,"",VLOOKUP($A223,'Pre-Assessment Estimator'!$A$10:$Z$227,R$2,FALSE))</f>
        <v/>
      </c>
      <c r="S223" s="447" t="str">
        <f>IF(VLOOKUP($A223,'Pre-Assessment Estimator'!$A$10:$Z$227,S$2,FALSE)=0,"",VLOOKUP($A223,'Pre-Assessment Estimator'!$A$10:$Z$227,S$2,FALSE))</f>
        <v/>
      </c>
      <c r="T223" s="450"/>
      <c r="U223" s="449" t="str">
        <f>IF(VLOOKUP($A223,'Pre-Assessment Estimator'!$A$10:$Z$227,U$2,FALSE)=0,"",VLOOKUP($A223,'Pre-Assessment Estimator'!$A$10:$Z$227,U$2,FALSE))</f>
        <v/>
      </c>
      <c r="V223" s="444">
        <f>VLOOKUP($A223,'Pre-Assessment Estimator'!$A$10:$Z$227,V$2,FALSE)</f>
        <v>0</v>
      </c>
      <c r="W223" s="443" t="str">
        <f>VLOOKUP($A223,'Pre-Assessment Estimator'!$A$10:$Z$227,W$2,FALSE)</f>
        <v>N/A</v>
      </c>
      <c r="X223" s="446" t="str">
        <f>IF(VLOOKUP($A223,'Pre-Assessment Estimator'!$A$10:$Z$227,X$2,FALSE)=0,"",VLOOKUP($A223,'Pre-Assessment Estimator'!$A$10:$Z$227,X$2,FALSE))</f>
        <v/>
      </c>
      <c r="Y223" s="446" t="str">
        <f>IF(VLOOKUP($A223,'Pre-Assessment Estimator'!$A$10:$Z$227,Y$2,FALSE)=0,"",VLOOKUP($A223,'Pre-Assessment Estimator'!$A$10:$Z$227,Y$2,FALSE))</f>
        <v/>
      </c>
      <c r="Z223" s="313" t="str">
        <f>IF(VLOOKUP($A223,'Pre-Assessment Estimator'!$A$10:$Z$227,Z$2,FALSE)=0,"",VLOOKUP($A223,'Pre-Assessment Estimator'!$A$10:$Z$227,Z$2,FALSE))</f>
        <v/>
      </c>
      <c r="AA223" s="544">
        <v>211</v>
      </c>
      <c r="AB223" s="446" t="str">
        <f>IF(VLOOKUP($A223,'Pre-Assessment Estimator'!$A$10:$AB$227,AB$2,FALSE)=0,"",VLOOKUP($A223,'Pre-Assessment Estimator'!$A$10:$AB$227,AB$2,FALSE))</f>
        <v/>
      </c>
      <c r="AF223" s="13">
        <f t="shared" si="5"/>
        <v>1</v>
      </c>
    </row>
    <row r="224" spans="1:32">
      <c r="A224" s="652">
        <v>215</v>
      </c>
      <c r="B224" s="958" t="s">
        <v>1084</v>
      </c>
      <c r="C224" s="958"/>
      <c r="D224" s="984" t="str">
        <f>VLOOKUP($A224,'Pre-Assessment Estimator'!$A$10:$Z$227,D$2,FALSE)</f>
        <v>Exemplary Level</v>
      </c>
      <c r="E224" s="980" t="str">
        <f>VLOOKUP($A224,'Pre-Assessment Estimator'!$A$10:$Z$227,E$2,FALSE)</f>
        <v>Inn 12 - LE 04: Significant net gain of biodiversity</v>
      </c>
      <c r="F224" s="443">
        <f>VLOOKUP($A224,'Pre-Assessment Estimator'!$A$10:$Z$227,F$2,FALSE)</f>
        <v>1</v>
      </c>
      <c r="G224" s="449" t="str">
        <f>IF(VLOOKUP($A224,'Pre-Assessment Estimator'!$A$10:$Z$227,G$2,FALSE)=0,"",VLOOKUP($A224,'Pre-Assessment Estimator'!$A$10:$Z$227,G$2,FALSE))</f>
        <v/>
      </c>
      <c r="H224" s="948">
        <f>VLOOKUP($A224,'Pre-Assessment Estimator'!$A$10:$Z$227,H$2,FALSE)</f>
        <v>0</v>
      </c>
      <c r="I224" s="445" t="str">
        <f>VLOOKUP($A224,'Pre-Assessment Estimator'!$A$10:$Z$227,I$2,FALSE)</f>
        <v>N/A</v>
      </c>
      <c r="J224" s="446" t="str">
        <f>IF(VLOOKUP($A224,'Pre-Assessment Estimator'!$A$10:$Z$227,J$2,FALSE)=0,"",VLOOKUP($A224,'Pre-Assessment Estimator'!$A$10:$Z$227,J$2,FALSE))</f>
        <v/>
      </c>
      <c r="K224" s="446" t="str">
        <f>IF(VLOOKUP($A224,'Pre-Assessment Estimator'!$A$10:$Z$227,K$2,FALSE)=0,"",VLOOKUP($A224,'Pre-Assessment Estimator'!$A$10:$Z$227,K$2,FALSE))</f>
        <v/>
      </c>
      <c r="L224" s="447" t="str">
        <f>IF(VLOOKUP($A224,'Pre-Assessment Estimator'!$A$10:$Z$227,L$2,FALSE)=0,"",VLOOKUP($A224,'Pre-Assessment Estimator'!$A$10:$Z$227,L$2,FALSE))</f>
        <v/>
      </c>
      <c r="M224" s="448"/>
      <c r="N224" s="449" t="str">
        <f>IF(VLOOKUP($A224,'Pre-Assessment Estimator'!$A$10:$Z$227,N$2,FALSE)=0,"",VLOOKUP($A224,'Pre-Assessment Estimator'!$A$10:$Z$227,N$2,FALSE))</f>
        <v/>
      </c>
      <c r="O224" s="444">
        <f>VLOOKUP($A224,'Pre-Assessment Estimator'!$A$10:$Z$227,O$2,FALSE)</f>
        <v>0</v>
      </c>
      <c r="P224" s="443" t="str">
        <f>VLOOKUP($A224,'Pre-Assessment Estimator'!$A$10:$Z$227,P$2,FALSE)</f>
        <v>N/A</v>
      </c>
      <c r="Q224" s="446" t="str">
        <f>IF(VLOOKUP($A224,'Pre-Assessment Estimator'!$A$10:$Z$227,Q$2,FALSE)=0,"",VLOOKUP($A224,'Pre-Assessment Estimator'!$A$10:$Z$227,Q$2,FALSE))</f>
        <v/>
      </c>
      <c r="R224" s="446" t="str">
        <f>IF(VLOOKUP($A224,'Pre-Assessment Estimator'!$A$10:$Z$227,R$2,FALSE)=0,"",VLOOKUP($A224,'Pre-Assessment Estimator'!$A$10:$Z$227,R$2,FALSE))</f>
        <v/>
      </c>
      <c r="S224" s="447" t="str">
        <f>IF(VLOOKUP($A224,'Pre-Assessment Estimator'!$A$10:$Z$227,S$2,FALSE)=0,"",VLOOKUP($A224,'Pre-Assessment Estimator'!$A$10:$Z$227,S$2,FALSE))</f>
        <v/>
      </c>
      <c r="T224" s="450"/>
      <c r="U224" s="449" t="str">
        <f>IF(VLOOKUP($A224,'Pre-Assessment Estimator'!$A$10:$Z$227,U$2,FALSE)=0,"",VLOOKUP($A224,'Pre-Assessment Estimator'!$A$10:$Z$227,U$2,FALSE))</f>
        <v/>
      </c>
      <c r="V224" s="444">
        <f>VLOOKUP($A224,'Pre-Assessment Estimator'!$A$10:$Z$227,V$2,FALSE)</f>
        <v>0</v>
      </c>
      <c r="W224" s="443" t="str">
        <f>VLOOKUP($A224,'Pre-Assessment Estimator'!$A$10:$Z$227,W$2,FALSE)</f>
        <v>N/A</v>
      </c>
      <c r="X224" s="446" t="str">
        <f>IF(VLOOKUP($A224,'Pre-Assessment Estimator'!$A$10:$Z$227,X$2,FALSE)=0,"",VLOOKUP($A224,'Pre-Assessment Estimator'!$A$10:$Z$227,X$2,FALSE))</f>
        <v/>
      </c>
      <c r="Y224" s="446" t="str">
        <f>IF(VLOOKUP($A224,'Pre-Assessment Estimator'!$A$10:$Z$227,Y$2,FALSE)=0,"",VLOOKUP($A224,'Pre-Assessment Estimator'!$A$10:$Z$227,Y$2,FALSE))</f>
        <v/>
      </c>
      <c r="Z224" s="313" t="str">
        <f>IF(VLOOKUP($A224,'Pre-Assessment Estimator'!$A$10:$Z$227,Z$2,FALSE)=0,"",VLOOKUP($A224,'Pre-Assessment Estimator'!$A$10:$Z$227,Z$2,FALSE))</f>
        <v/>
      </c>
      <c r="AA224" s="544">
        <v>212</v>
      </c>
      <c r="AB224" s="446" t="str">
        <f>IF(VLOOKUP($A224,'Pre-Assessment Estimator'!$A$10:$AB$227,AB$2,FALSE)=0,"",VLOOKUP($A224,'Pre-Assessment Estimator'!$A$10:$AB$227,AB$2,FALSE))</f>
        <v/>
      </c>
      <c r="AF224" s="13">
        <f t="shared" si="5"/>
        <v>1</v>
      </c>
    </row>
    <row r="225" spans="1:44">
      <c r="A225" s="652">
        <v>216</v>
      </c>
      <c r="B225" s="958" t="s">
        <v>1084</v>
      </c>
      <c r="C225" s="958"/>
      <c r="D225" s="984" t="str">
        <f>VLOOKUP($A225,'Pre-Assessment Estimator'!$A$10:$Z$227,D$2,FALSE)</f>
        <v>Exemplary Level</v>
      </c>
      <c r="E225" s="980" t="str">
        <f>VLOOKUP($A225,'Pre-Assessment Estimator'!$A$10:$Z$227,E$2,FALSE)</f>
        <v>Inn 13 - LE 06: Responding to climate change</v>
      </c>
      <c r="F225" s="443">
        <f>VLOOKUP($A225,'Pre-Assessment Estimator'!$A$10:$Z$227,F$2,FALSE)</f>
        <v>1</v>
      </c>
      <c r="G225" s="449" t="str">
        <f>IF(VLOOKUP($A225,'Pre-Assessment Estimator'!$A$10:$Z$227,G$2,FALSE)=0,"",VLOOKUP($A225,'Pre-Assessment Estimator'!$A$10:$Z$227,G$2,FALSE))</f>
        <v/>
      </c>
      <c r="H225" s="948">
        <f>VLOOKUP($A225,'Pre-Assessment Estimator'!$A$10:$Z$227,H$2,FALSE)</f>
        <v>0</v>
      </c>
      <c r="I225" s="445" t="str">
        <f>VLOOKUP($A225,'Pre-Assessment Estimator'!$A$10:$Z$227,I$2,FALSE)</f>
        <v>N/A</v>
      </c>
      <c r="J225" s="446" t="str">
        <f>IF(VLOOKUP($A225,'Pre-Assessment Estimator'!$A$10:$Z$227,J$2,FALSE)=0,"",VLOOKUP($A225,'Pre-Assessment Estimator'!$A$10:$Z$227,J$2,FALSE))</f>
        <v/>
      </c>
      <c r="K225" s="446" t="str">
        <f>IF(VLOOKUP($A225,'Pre-Assessment Estimator'!$A$10:$Z$227,K$2,FALSE)=0,"",VLOOKUP($A225,'Pre-Assessment Estimator'!$A$10:$Z$227,K$2,FALSE))</f>
        <v/>
      </c>
      <c r="L225" s="447" t="str">
        <f>IF(VLOOKUP($A225,'Pre-Assessment Estimator'!$A$10:$Z$227,L$2,FALSE)=0,"",VLOOKUP($A225,'Pre-Assessment Estimator'!$A$10:$Z$227,L$2,FALSE))</f>
        <v/>
      </c>
      <c r="M225" s="448"/>
      <c r="N225" s="449" t="str">
        <f>IF(VLOOKUP($A225,'Pre-Assessment Estimator'!$A$10:$Z$227,N$2,FALSE)=0,"",VLOOKUP($A225,'Pre-Assessment Estimator'!$A$10:$Z$227,N$2,FALSE))</f>
        <v/>
      </c>
      <c r="O225" s="444">
        <f>VLOOKUP($A225,'Pre-Assessment Estimator'!$A$10:$Z$227,O$2,FALSE)</f>
        <v>0</v>
      </c>
      <c r="P225" s="443" t="str">
        <f>VLOOKUP($A225,'Pre-Assessment Estimator'!$A$10:$Z$227,P$2,FALSE)</f>
        <v>N/A</v>
      </c>
      <c r="Q225" s="446" t="str">
        <f>IF(VLOOKUP($A225,'Pre-Assessment Estimator'!$A$10:$Z$227,Q$2,FALSE)=0,"",VLOOKUP($A225,'Pre-Assessment Estimator'!$A$10:$Z$227,Q$2,FALSE))</f>
        <v/>
      </c>
      <c r="R225" s="446" t="str">
        <f>IF(VLOOKUP($A225,'Pre-Assessment Estimator'!$A$10:$Z$227,R$2,FALSE)=0,"",VLOOKUP($A225,'Pre-Assessment Estimator'!$A$10:$Z$227,R$2,FALSE))</f>
        <v/>
      </c>
      <c r="S225" s="447" t="str">
        <f>IF(VLOOKUP($A225,'Pre-Assessment Estimator'!$A$10:$Z$227,S$2,FALSE)=0,"",VLOOKUP($A225,'Pre-Assessment Estimator'!$A$10:$Z$227,S$2,FALSE))</f>
        <v/>
      </c>
      <c r="T225" s="450"/>
      <c r="U225" s="449" t="str">
        <f>IF(VLOOKUP($A225,'Pre-Assessment Estimator'!$A$10:$Z$227,U$2,FALSE)=0,"",VLOOKUP($A225,'Pre-Assessment Estimator'!$A$10:$Z$227,U$2,FALSE))</f>
        <v/>
      </c>
      <c r="V225" s="444">
        <f>VLOOKUP($A225,'Pre-Assessment Estimator'!$A$10:$Z$227,V$2,FALSE)</f>
        <v>0</v>
      </c>
      <c r="W225" s="443" t="str">
        <f>VLOOKUP($A225,'Pre-Assessment Estimator'!$A$10:$Z$227,W$2,FALSE)</f>
        <v>N/A</v>
      </c>
      <c r="X225" s="446" t="str">
        <f>IF(VLOOKUP($A225,'Pre-Assessment Estimator'!$A$10:$Z$227,X$2,FALSE)=0,"",VLOOKUP($A225,'Pre-Assessment Estimator'!$A$10:$Z$227,X$2,FALSE))</f>
        <v/>
      </c>
      <c r="Y225" s="446" t="str">
        <f>IF(VLOOKUP($A225,'Pre-Assessment Estimator'!$A$10:$Z$227,Y$2,FALSE)=0,"",VLOOKUP($A225,'Pre-Assessment Estimator'!$A$10:$Z$227,Y$2,FALSE))</f>
        <v/>
      </c>
      <c r="Z225" s="313" t="str">
        <f>IF(VLOOKUP($A225,'Pre-Assessment Estimator'!$A$10:$Z$227,Z$2,FALSE)=0,"",VLOOKUP($A225,'Pre-Assessment Estimator'!$A$10:$Z$227,Z$2,FALSE))</f>
        <v/>
      </c>
      <c r="AA225" s="544">
        <v>213</v>
      </c>
    </row>
    <row r="226" spans="1:44">
      <c r="A226" s="652">
        <v>217</v>
      </c>
      <c r="B226" s="958" t="s">
        <v>1084</v>
      </c>
      <c r="C226" s="654"/>
      <c r="D226" s="984" t="str">
        <f>VLOOKUP($A226,'Pre-Assessment Estimator'!$A$10:$Z$227,D$2,FALSE)</f>
        <v>Exemplary Level</v>
      </c>
      <c r="E226" s="980" t="str">
        <f>VLOOKUP($A226,'Pre-Assessment Estimator'!$A$10:$Z$227,E$2,FALSE)</f>
        <v>Inn 14 - LE 08: Wider approach to surface water management</v>
      </c>
      <c r="F226" s="443">
        <f>VLOOKUP($A226,'Pre-Assessment Estimator'!$A$10:$Z$227,F$2,FALSE)</f>
        <v>1</v>
      </c>
      <c r="G226" s="449" t="str">
        <f>IF(VLOOKUP($A226,'Pre-Assessment Estimator'!$A$10:$Z$227,G$2,FALSE)=0,"",VLOOKUP($A226,'Pre-Assessment Estimator'!$A$10:$Z$227,G$2,FALSE))</f>
        <v/>
      </c>
      <c r="H226" s="948">
        <f>VLOOKUP($A226,'Pre-Assessment Estimator'!$A$10:$Z$227,H$2,FALSE)</f>
        <v>0</v>
      </c>
      <c r="I226" s="445" t="str">
        <f>VLOOKUP($A226,'Pre-Assessment Estimator'!$A$10:$Z$227,I$2,FALSE)</f>
        <v>N/A</v>
      </c>
      <c r="J226" s="446" t="str">
        <f>IF(VLOOKUP($A226,'Pre-Assessment Estimator'!$A$10:$Z$227,J$2,FALSE)=0,"",VLOOKUP($A226,'Pre-Assessment Estimator'!$A$10:$Z$227,J$2,FALSE))</f>
        <v/>
      </c>
      <c r="K226" s="446" t="str">
        <f>IF(VLOOKUP($A226,'Pre-Assessment Estimator'!$A$10:$Z$227,K$2,FALSE)=0,"",VLOOKUP($A226,'Pre-Assessment Estimator'!$A$10:$Z$227,K$2,FALSE))</f>
        <v/>
      </c>
      <c r="L226" s="447" t="str">
        <f>IF(VLOOKUP($A226,'Pre-Assessment Estimator'!$A$10:$Z$227,L$2,FALSE)=0,"",VLOOKUP($A226,'Pre-Assessment Estimator'!$A$10:$Z$227,L$2,FALSE))</f>
        <v/>
      </c>
      <c r="M226" s="448"/>
      <c r="N226" s="449" t="str">
        <f>IF(VLOOKUP($A226,'Pre-Assessment Estimator'!$A$10:$Z$227,N$2,FALSE)=0,"",VLOOKUP($A226,'Pre-Assessment Estimator'!$A$10:$Z$227,N$2,FALSE))</f>
        <v/>
      </c>
      <c r="O226" s="444">
        <f>VLOOKUP($A226,'Pre-Assessment Estimator'!$A$10:$Z$227,O$2,FALSE)</f>
        <v>0</v>
      </c>
      <c r="P226" s="443" t="str">
        <f>VLOOKUP($A226,'Pre-Assessment Estimator'!$A$10:$Z$227,P$2,FALSE)</f>
        <v>N/A</v>
      </c>
      <c r="Q226" s="446" t="str">
        <f>IF(VLOOKUP($A226,'Pre-Assessment Estimator'!$A$10:$Z$227,Q$2,FALSE)=0,"",VLOOKUP($A226,'Pre-Assessment Estimator'!$A$10:$Z$227,Q$2,FALSE))</f>
        <v/>
      </c>
      <c r="R226" s="446" t="str">
        <f>IF(VLOOKUP($A226,'Pre-Assessment Estimator'!$A$10:$Z$227,R$2,FALSE)=0,"",VLOOKUP($A226,'Pre-Assessment Estimator'!$A$10:$Z$227,R$2,FALSE))</f>
        <v/>
      </c>
      <c r="S226" s="447" t="str">
        <f>IF(VLOOKUP($A226,'Pre-Assessment Estimator'!$A$10:$Z$227,S$2,FALSE)=0,"",VLOOKUP($A226,'Pre-Assessment Estimator'!$A$10:$Z$227,S$2,FALSE))</f>
        <v/>
      </c>
      <c r="T226" s="450"/>
      <c r="U226" s="449" t="str">
        <f>IF(VLOOKUP($A226,'Pre-Assessment Estimator'!$A$10:$Z$227,U$2,FALSE)=0,"",VLOOKUP($A226,'Pre-Assessment Estimator'!$A$10:$Z$227,U$2,FALSE))</f>
        <v/>
      </c>
      <c r="V226" s="444">
        <f>VLOOKUP($A226,'Pre-Assessment Estimator'!$A$10:$Z$227,V$2,FALSE)</f>
        <v>0</v>
      </c>
      <c r="W226" s="443" t="str">
        <f>VLOOKUP($A226,'Pre-Assessment Estimator'!$A$10:$Z$227,W$2,FALSE)</f>
        <v>N/A</v>
      </c>
      <c r="X226" s="446" t="str">
        <f>IF(VLOOKUP($A226,'Pre-Assessment Estimator'!$A$10:$Z$227,X$2,FALSE)=0,"",VLOOKUP($A226,'Pre-Assessment Estimator'!$A$10:$Z$227,X$2,FALSE))</f>
        <v/>
      </c>
      <c r="Y226" s="446" t="str">
        <f>IF(VLOOKUP($A226,'Pre-Assessment Estimator'!$A$10:$Z$227,Y$2,FALSE)=0,"",VLOOKUP($A226,'Pre-Assessment Estimator'!$A$10:$Z$227,Y$2,FALSE))</f>
        <v/>
      </c>
      <c r="Z226" s="313" t="str">
        <f>IF(VLOOKUP($A226,'Pre-Assessment Estimator'!$A$10:$Z$227,Z$2,FALSE)=0,"",VLOOKUP($A226,'Pre-Assessment Estimator'!$A$10:$Z$227,Z$2,FALSE))</f>
        <v/>
      </c>
      <c r="AA226" s="544">
        <v>214</v>
      </c>
    </row>
    <row r="227" spans="1:44" ht="30" customHeight="1" thickBot="1">
      <c r="A227" s="652">
        <v>218</v>
      </c>
      <c r="B227" s="958" t="s">
        <v>1084</v>
      </c>
      <c r="C227" s="654"/>
      <c r="D227" s="982"/>
      <c r="E227" s="982" t="str">
        <f>VLOOKUP($A227,'Pre-Assessment Estimator'!$A$10:$Z$227,E$2,FALSE)</f>
        <v>Total indicative environmental section performance</v>
      </c>
      <c r="F227" s="451">
        <f>VLOOKUP($A227,'Pre-Assessment Estimator'!$A$10:$Z$227,F$2,FALSE)</f>
        <v>10</v>
      </c>
      <c r="G227" s="453" t="str">
        <f>IF(VLOOKUP($A227,'Pre-Assessment Estimator'!$A$10:$Z$227,G$2,FALSE)=0,"",VLOOKUP($A227,'Pre-Assessment Estimator'!$A$10:$Z$227,G$2,FALSE))</f>
        <v/>
      </c>
      <c r="H227" s="452">
        <f>VLOOKUP($A227,'Pre-Assessment Estimator'!$A$10:$Z$227,H$2,FALSE)</f>
        <v>0</v>
      </c>
      <c r="I227" s="451" t="str">
        <f>VLOOKUP($A227,'Pre-Assessment Estimator'!$A$10:$Z$227,I$2,FALSE)</f>
        <v>Credits achieved: 0</v>
      </c>
      <c r="J227" s="930" t="str">
        <f>IF(VLOOKUP($A227,'Pre-Assessment Estimator'!$A$10:$Z$227,J$2,FALSE)=0,"",VLOOKUP($A227,'Pre-Assessment Estimator'!$A$10:$Z$227,J$2,FALSE))</f>
        <v/>
      </c>
      <c r="K227" s="930" t="str">
        <f>IF(VLOOKUP($A227,'Pre-Assessment Estimator'!$A$10:$Z$227,K$2,FALSE)=0,"",VLOOKUP($A227,'Pre-Assessment Estimator'!$A$10:$Z$227,K$2,FALSE))</f>
        <v/>
      </c>
      <c r="L227" s="949" t="str">
        <f>IF(VLOOKUP($A227,'Pre-Assessment Estimator'!$A$10:$Z$227,L$2,FALSE)=0,"",VLOOKUP($A227,'Pre-Assessment Estimator'!$A$10:$Z$227,L$2,FALSE))</f>
        <v/>
      </c>
      <c r="M227" s="950"/>
      <c r="N227" s="453" t="str">
        <f>IF(VLOOKUP($A227,'Pre-Assessment Estimator'!$A$10:$Z$227,N$2,FALSE)=0,"",VLOOKUP($A227,'Pre-Assessment Estimator'!$A$10:$Z$227,N$2,FALSE))</f>
        <v/>
      </c>
      <c r="O227" s="452">
        <f>VLOOKUP($A227,'Pre-Assessment Estimator'!$A$10:$Z$227,O$2,FALSE)</f>
        <v>0</v>
      </c>
      <c r="P227" s="451" t="str">
        <f>VLOOKUP($A227,'Pre-Assessment Estimator'!$A$10:$Z$227,P$2,FALSE)</f>
        <v>Credits achieved: 0</v>
      </c>
      <c r="Q227" s="930" t="str">
        <f>IF(VLOOKUP($A227,'Pre-Assessment Estimator'!$A$10:$Z$227,Q$2,FALSE)=0,"",VLOOKUP($A227,'Pre-Assessment Estimator'!$A$10:$Z$227,Q$2,FALSE))</f>
        <v/>
      </c>
      <c r="R227" s="930" t="str">
        <f>IF(VLOOKUP($A227,'Pre-Assessment Estimator'!$A$10:$Z$227,R$2,FALSE)=0,"",VLOOKUP($A227,'Pre-Assessment Estimator'!$A$10:$Z$227,R$2,FALSE))</f>
        <v/>
      </c>
      <c r="S227" s="949" t="str">
        <f>IF(VLOOKUP($A227,'Pre-Assessment Estimator'!$A$10:$Z$227,S$2,FALSE)=0,"",VLOOKUP($A227,'Pre-Assessment Estimator'!$A$10:$Z$227,S$2,FALSE))</f>
        <v/>
      </c>
      <c r="T227" s="951"/>
      <c r="U227" s="453" t="str">
        <f>IF(VLOOKUP($A227,'Pre-Assessment Estimator'!$A$10:$Z$227,U$2,FALSE)=0,"",VLOOKUP($A227,'Pre-Assessment Estimator'!$A$10:$Z$227,U$2,FALSE))</f>
        <v/>
      </c>
      <c r="V227" s="452">
        <f>VLOOKUP($A227,'Pre-Assessment Estimator'!$A$10:$Z$227,V$2,FALSE)</f>
        <v>0</v>
      </c>
      <c r="W227" s="451" t="str">
        <f>VLOOKUP($A227,'Pre-Assessment Estimator'!$A$10:$Z$227,W$2,FALSE)</f>
        <v>Credits achieved: 0</v>
      </c>
      <c r="X227" s="930" t="str">
        <f>IF(VLOOKUP($A227,'Pre-Assessment Estimator'!$A$10:$Z$227,X$2,FALSE)=0,"",VLOOKUP($A227,'Pre-Assessment Estimator'!$A$10:$Z$227,X$2,FALSE))</f>
        <v/>
      </c>
      <c r="Y227" s="930" t="str">
        <f>IF(VLOOKUP($A227,'Pre-Assessment Estimator'!$A$10:$Z$227,Y$2,FALSE)=0,"",VLOOKUP($A227,'Pre-Assessment Estimator'!$A$10:$Z$227,Y$2,FALSE))</f>
        <v/>
      </c>
      <c r="Z227" s="952" t="str">
        <f>IF(VLOOKUP($A227,'Pre-Assessment Estimator'!$A$10:$Z$227,Z$2,FALSE)=0,"",VLOOKUP($A227,'Pre-Assessment Estimator'!$A$10:$Z$227,Z$2,FALSE))</f>
        <v/>
      </c>
      <c r="AA227" s="544">
        <v>215</v>
      </c>
    </row>
    <row r="228" spans="1:44">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row>
    <row r="229" spans="1:44">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row>
    <row r="230" spans="1:44">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342"/>
      <c r="AK230" s="342"/>
      <c r="AL230" s="342"/>
      <c r="AM230" s="342"/>
      <c r="AN230" s="342"/>
      <c r="AO230" s="342"/>
      <c r="AP230" s="342"/>
      <c r="AQ230" s="342"/>
      <c r="AR230" s="342"/>
    </row>
    <row r="231" spans="1:44">
      <c r="E231" s="1"/>
      <c r="M231" s="1"/>
      <c r="T231" s="1"/>
      <c r="AB231" s="1"/>
      <c r="AC231" s="1"/>
      <c r="AD231" s="1"/>
      <c r="AE231" s="1"/>
      <c r="AF231" s="1"/>
    </row>
    <row r="232" spans="1:44">
      <c r="E232" s="1"/>
      <c r="M232" s="1"/>
      <c r="T232" s="1"/>
      <c r="AB232" s="1"/>
      <c r="AC232" s="1"/>
      <c r="AD232" s="1"/>
      <c r="AE232" s="1"/>
      <c r="AF232" s="1"/>
    </row>
    <row r="233" spans="1:44">
      <c r="E233" s="1"/>
      <c r="M233" s="1"/>
      <c r="T233" s="1"/>
      <c r="AB233" s="1"/>
      <c r="AC233" s="1"/>
      <c r="AD233" s="1"/>
      <c r="AE233" s="1"/>
      <c r="AF233" s="1"/>
    </row>
    <row r="383" spans="5:27" s="13" customFormat="1" ht="15.75">
      <c r="E383" s="3"/>
      <c r="F383" s="344"/>
      <c r="G383" s="344"/>
      <c r="H383" s="344"/>
      <c r="I383" s="344"/>
      <c r="J383" s="344"/>
      <c r="K383" s="344"/>
      <c r="L383" s="1186"/>
      <c r="N383" s="344"/>
      <c r="O383" s="344"/>
      <c r="P383" s="344"/>
      <c r="Q383" s="344"/>
      <c r="R383" s="344"/>
      <c r="S383" s="344"/>
      <c r="U383" s="344"/>
      <c r="V383" s="344"/>
      <c r="W383" s="344"/>
      <c r="X383" s="344"/>
      <c r="Y383" s="344"/>
      <c r="Z383" s="344"/>
      <c r="AA383" s="344"/>
    </row>
  </sheetData>
  <sheetProtection algorithmName="SHA-512" hashValue="dqEHAUxqmVLvPWl4HU7bMJaR0hjgwcRn0RkjkJlyXrbiQBbUceAjlVrKkrLIeCc91QpSmCFDkVVHWG8dCCwZgw==" saltValue="JQKku4mBY3zAgOemi2UlGQ==" spinCount="100000" sheet="1" formatRows="0" sort="0" autoFilter="0"/>
  <autoFilter ref="A9:AF227" xr:uid="{00000000-0001-0000-0600-000000000000}"/>
  <conditionalFormatting sqref="E103:L103 J10:L10 J37:L37 J65:L65 J95:L95 J104:L104 AB11:AB36 E36:L36 AB96:AB103 E64:L64 AB38:AB39 E94:L94 AB66:AB71 AB105:AB116 AB118:AB145 AB147:AB159 AB161:AB172 AB193:AB208 F11:L35 AB210:AB224 F73:L92 F149:L160 F164:L172 F196:L209 F213:L226 U161:Z163 U193:Z195 U210:Z212 U227:Z227 N10:S39 U10:AA39 U41:AA71 N41:S71 AB41:AB64 N174:S227 AA174:AA227 F174:L192 AB174:AB191 N73:S172 U73:Z148 AA73:AA172 AB73:AB94">
    <cfRule type="expression" dxfId="493" priority="1630">
      <formula>$AF10=2</formula>
    </cfRule>
  </conditionalFormatting>
  <conditionalFormatting sqref="N2:S2 U2:AA2">
    <cfRule type="expression" dxfId="492" priority="1596">
      <formula>$AF10=2</formula>
    </cfRule>
  </conditionalFormatting>
  <conditionalFormatting sqref="AB10">
    <cfRule type="expression" dxfId="491" priority="1204">
      <formula>$AF10=2</formula>
    </cfRule>
  </conditionalFormatting>
  <conditionalFormatting sqref="AB37">
    <cfRule type="expression" dxfId="490" priority="1201">
      <formula>$AF37=2</formula>
    </cfRule>
  </conditionalFormatting>
  <conditionalFormatting sqref="AB65">
    <cfRule type="expression" dxfId="489" priority="1198">
      <formula>$AF65=2</formula>
    </cfRule>
  </conditionalFormatting>
  <conditionalFormatting sqref="AB95">
    <cfRule type="expression" dxfId="488" priority="1195">
      <formula>$AF95=2</formula>
    </cfRule>
  </conditionalFormatting>
  <conditionalFormatting sqref="AB104">
    <cfRule type="expression" dxfId="487" priority="1192">
      <formula>$AF104=2</formula>
    </cfRule>
  </conditionalFormatting>
  <conditionalFormatting sqref="AB117">
    <cfRule type="expression" dxfId="486" priority="1189">
      <formula>$AF117=2</formula>
    </cfRule>
  </conditionalFormatting>
  <conditionalFormatting sqref="AB146">
    <cfRule type="expression" dxfId="485" priority="1186">
      <formula>$AF146=2</formula>
    </cfRule>
  </conditionalFormatting>
  <conditionalFormatting sqref="AB160">
    <cfRule type="expression" dxfId="484" priority="1183">
      <formula>$AF160=2</formula>
    </cfRule>
  </conditionalFormatting>
  <conditionalFormatting sqref="AB192">
    <cfRule type="expression" dxfId="483" priority="1180">
      <formula>$AF192=2</formula>
    </cfRule>
  </conditionalFormatting>
  <conditionalFormatting sqref="AB209">
    <cfRule type="expression" dxfId="482" priority="1177">
      <formula>$AF209=2</formula>
    </cfRule>
  </conditionalFormatting>
  <conditionalFormatting sqref="F63:L63">
    <cfRule type="expression" dxfId="481" priority="1133">
      <formula>$AF63=2</formula>
    </cfRule>
  </conditionalFormatting>
  <conditionalFormatting sqref="F93:L93">
    <cfRule type="expression" dxfId="480" priority="1110">
      <formula>$AF93=2</formula>
    </cfRule>
  </conditionalFormatting>
  <conditionalFormatting sqref="F102:L102">
    <cfRule type="expression" dxfId="479" priority="1087">
      <formula>$AF102=2</formula>
    </cfRule>
  </conditionalFormatting>
  <conditionalFormatting sqref="F38:L39 F41:L62">
    <cfRule type="expression" dxfId="478" priority="903">
      <formula>$AF38=2</formula>
    </cfRule>
  </conditionalFormatting>
  <conditionalFormatting sqref="F66:L70">
    <cfRule type="expression" dxfId="477" priority="868">
      <formula>$AF66=2</formula>
    </cfRule>
  </conditionalFormatting>
  <conditionalFormatting sqref="F96:L101">
    <cfRule type="expression" dxfId="476" priority="833">
      <formula>$AF96=2</formula>
    </cfRule>
  </conditionalFormatting>
  <conditionalFormatting sqref="F105:L115">
    <cfRule type="expression" dxfId="475" priority="798">
      <formula>$AF105=2</formula>
    </cfRule>
  </conditionalFormatting>
  <conditionalFormatting sqref="F119:L145">
    <cfRule type="expression" dxfId="474" priority="763">
      <formula>$AF119=2</formula>
    </cfRule>
  </conditionalFormatting>
  <conditionalFormatting sqref="U149:Z160">
    <cfRule type="expression" dxfId="473" priority="728">
      <formula>$AF149=2</formula>
    </cfRule>
  </conditionalFormatting>
  <conditionalFormatting sqref="U164:Z172 U174:Z192">
    <cfRule type="expression" dxfId="472" priority="693">
      <formula>$AF164=2</formula>
    </cfRule>
  </conditionalFormatting>
  <conditionalFormatting sqref="U196:Z209">
    <cfRule type="expression" dxfId="471" priority="658">
      <formula>$AF196=2</formula>
    </cfRule>
  </conditionalFormatting>
  <conditionalFormatting sqref="U213:Z226">
    <cfRule type="expression" dxfId="470" priority="623">
      <formula>$AF213=2</formula>
    </cfRule>
  </conditionalFormatting>
  <conditionalFormatting sqref="J118:L118">
    <cfRule type="expression" dxfId="469" priority="600">
      <formula>$AF118=2</formula>
    </cfRule>
  </conditionalFormatting>
  <conditionalFormatting sqref="E117:L117">
    <cfRule type="expression" dxfId="468" priority="571">
      <formula>$AF117=2</formula>
    </cfRule>
  </conditionalFormatting>
  <conditionalFormatting sqref="F116:L116">
    <cfRule type="expression" dxfId="467" priority="554">
      <formula>$AF116=2</formula>
    </cfRule>
  </conditionalFormatting>
  <conditionalFormatting sqref="J148:L148">
    <cfRule type="expression" dxfId="466" priority="543">
      <formula>$AF148=2</formula>
    </cfRule>
  </conditionalFormatting>
  <conditionalFormatting sqref="E147:L147">
    <cfRule type="expression" dxfId="465" priority="497">
      <formula>$AF147=2</formula>
    </cfRule>
  </conditionalFormatting>
  <conditionalFormatting sqref="F146:L146">
    <cfRule type="expression" dxfId="464" priority="480">
      <formula>$AF146=2</formula>
    </cfRule>
  </conditionalFormatting>
  <conditionalFormatting sqref="J163:L163">
    <cfRule type="expression" dxfId="463" priority="469">
      <formula>$AF163=2</formula>
    </cfRule>
  </conditionalFormatting>
  <conditionalFormatting sqref="E162:L162">
    <cfRule type="expression" dxfId="462" priority="406">
      <formula>$AF162=2</formula>
    </cfRule>
  </conditionalFormatting>
  <conditionalFormatting sqref="J195:L195">
    <cfRule type="expression" dxfId="461" priority="401">
      <formula>$AF195=2</formula>
    </cfRule>
  </conditionalFormatting>
  <conditionalFormatting sqref="E194:L194">
    <cfRule type="expression" dxfId="460" priority="338">
      <formula>$AF194=2</formula>
    </cfRule>
  </conditionalFormatting>
  <conditionalFormatting sqref="F161:L161">
    <cfRule type="expression" dxfId="459" priority="321">
      <formula>$AF161=2</formula>
    </cfRule>
  </conditionalFormatting>
  <conditionalFormatting sqref="F193:L193">
    <cfRule type="expression" dxfId="458" priority="298">
      <formula>$AF193=2</formula>
    </cfRule>
  </conditionalFormatting>
  <conditionalFormatting sqref="J212:L212">
    <cfRule type="expression" dxfId="457" priority="287">
      <formula>$AF212=2</formula>
    </cfRule>
  </conditionalFormatting>
  <conditionalFormatting sqref="E211:L211">
    <cfRule type="expression" dxfId="456" priority="224">
      <formula>$AF211=2</formula>
    </cfRule>
  </conditionalFormatting>
  <conditionalFormatting sqref="F210:L210">
    <cfRule type="expression" dxfId="455" priority="207">
      <formula>$AF210=2</formula>
    </cfRule>
  </conditionalFormatting>
  <conditionalFormatting sqref="F227:L227">
    <cfRule type="expression" dxfId="454" priority="184">
      <formula>$AF227=2</formula>
    </cfRule>
  </conditionalFormatting>
  <conditionalFormatting sqref="F71:L71">
    <cfRule type="expression" dxfId="453" priority="161">
      <formula>$AF71=2</formula>
    </cfRule>
  </conditionalFormatting>
  <conditionalFormatting sqref="D103 D36 D64 D94">
    <cfRule type="expression" dxfId="452" priority="140">
      <formula>$AF36=2</formula>
    </cfRule>
  </conditionalFormatting>
  <conditionalFormatting sqref="D117">
    <cfRule type="expression" dxfId="451" priority="139">
      <formula>$AF117=2</formula>
    </cfRule>
  </conditionalFormatting>
  <conditionalFormatting sqref="D147">
    <cfRule type="expression" dxfId="450" priority="138">
      <formula>$AF147=2</formula>
    </cfRule>
  </conditionalFormatting>
  <conditionalFormatting sqref="D162">
    <cfRule type="expression" dxfId="449" priority="137">
      <formula>$AF162=2</formula>
    </cfRule>
  </conditionalFormatting>
  <conditionalFormatting sqref="D194">
    <cfRule type="expression" dxfId="448" priority="136">
      <formula>$AF194=2</formula>
    </cfRule>
  </conditionalFormatting>
  <conditionalFormatting sqref="D211">
    <cfRule type="expression" dxfId="447" priority="135">
      <formula>$AF211=2</formula>
    </cfRule>
  </conditionalFormatting>
  <conditionalFormatting sqref="N40:S40 U40:AB40">
    <cfRule type="expression" dxfId="446" priority="132">
      <formula>$AF40=2</formula>
    </cfRule>
  </conditionalFormatting>
  <conditionalFormatting sqref="F40:L40">
    <cfRule type="expression" dxfId="445" priority="114">
      <formula>$AF40=2</formula>
    </cfRule>
  </conditionalFormatting>
  <conditionalFormatting sqref="Q11:R11 X11:Y11 Q96:R101 X96:Y101 Q105:R115 X105:Y115 Q119:R145 X119:Y145 Q149:R160 X149:Y160 Q164:R172 X164:Y172 Q196:R209 X196:Y209 Q213:R226 X213:Y226 Q66:R71 X66:Y71 J10:K71 Q38:R62 X38:Y62 J174:K227 X174:Y192 Q174:R192 J73:K172 X73:Y92 Q73:R92">
    <cfRule type="expression" dxfId="444" priority="7020">
      <formula>#REF!=4</formula>
    </cfRule>
    <cfRule type="expression" dxfId="443" priority="7021">
      <formula>#REF!=3</formula>
    </cfRule>
    <cfRule type="expression" dxfId="442" priority="7022">
      <formula>#REF!=2</formula>
    </cfRule>
    <cfRule type="expression" dxfId="441" priority="7023">
      <formula>#REF!=1</formula>
    </cfRule>
  </conditionalFormatting>
  <conditionalFormatting sqref="Q10:R71 Q174:R227 Q73:R172">
    <cfRule type="expression" dxfId="440" priority="7036">
      <formula>#REF!=4</formula>
    </cfRule>
    <cfRule type="expression" dxfId="439" priority="7037">
      <formula>#REF!=3</formula>
    </cfRule>
    <cfRule type="expression" dxfId="438" priority="7038">
      <formula>#REF!=2</formula>
    </cfRule>
    <cfRule type="expression" dxfId="437" priority="7039">
      <formula>#REF!=1</formula>
    </cfRule>
  </conditionalFormatting>
  <conditionalFormatting sqref="X10:Y71 X174:Y227 X73:Y172">
    <cfRule type="expression" dxfId="436" priority="7044">
      <formula>#REF!=4</formula>
    </cfRule>
    <cfRule type="expression" dxfId="435" priority="7045">
      <formula>#REF!=3</formula>
    </cfRule>
    <cfRule type="expression" dxfId="434" priority="7046">
      <formula>#REF!=2</formula>
    </cfRule>
    <cfRule type="expression" dxfId="433" priority="7047">
      <formula>#REF!=1</formula>
    </cfRule>
  </conditionalFormatting>
  <conditionalFormatting sqref="Q2:R2">
    <cfRule type="expression" dxfId="432" priority="7088">
      <formula>#REF!=4</formula>
    </cfRule>
    <cfRule type="expression" dxfId="431" priority="7089">
      <formula>#REF!=3</formula>
    </cfRule>
    <cfRule type="expression" dxfId="430" priority="7090">
      <formula>#REF!=2</formula>
    </cfRule>
    <cfRule type="expression" dxfId="429" priority="7091">
      <formula>#REF!=1</formula>
    </cfRule>
  </conditionalFormatting>
  <conditionalFormatting sqref="X2:Y2">
    <cfRule type="expression" dxfId="428" priority="7092">
      <formula>#REF!=4</formula>
    </cfRule>
    <cfRule type="expression" dxfId="427" priority="7093">
      <formula>#REF!=3</formula>
    </cfRule>
    <cfRule type="expression" dxfId="426" priority="7094">
      <formula>#REF!=2</formula>
    </cfRule>
    <cfRule type="expression" dxfId="425" priority="7095">
      <formula>#REF!=1</formula>
    </cfRule>
  </conditionalFormatting>
  <conditionalFormatting sqref="K11:K71 K174:K227 K73:K172">
    <cfRule type="expression" dxfId="424" priority="85">
      <formula>K11=$AH$12</formula>
    </cfRule>
    <cfRule type="expression" dxfId="423" priority="86">
      <formula>K11=$AH$11</formula>
    </cfRule>
    <cfRule type="expression" dxfId="422" priority="93">
      <formula>K11=$AH$10</formula>
    </cfRule>
  </conditionalFormatting>
  <conditionalFormatting sqref="R11:R71 R174:R227 R73:R172">
    <cfRule type="expression" dxfId="421" priority="90">
      <formula>R11=$AH$12</formula>
    </cfRule>
    <cfRule type="expression" dxfId="420" priority="91">
      <formula>R11=$AH$11</formula>
    </cfRule>
    <cfRule type="expression" dxfId="419" priority="92">
      <formula>R11=$AH$10</formula>
    </cfRule>
  </conditionalFormatting>
  <conditionalFormatting sqref="Y174:Y227">
    <cfRule type="expression" dxfId="418" priority="87">
      <formula>Y1048536=$AH$12</formula>
    </cfRule>
    <cfRule type="expression" dxfId="417" priority="88">
      <formula>Y1048536=$AH$11</formula>
    </cfRule>
    <cfRule type="expression" dxfId="416" priority="89">
      <formula>Y1048536=$AH$10</formula>
    </cfRule>
  </conditionalFormatting>
  <conditionalFormatting sqref="Y73:Y172">
    <cfRule type="expression" dxfId="415" priority="7096">
      <formula>Y1048436=$AH$12</formula>
    </cfRule>
    <cfRule type="expression" dxfId="414" priority="7097">
      <formula>Y1048436=$AH$11</formula>
    </cfRule>
    <cfRule type="expression" dxfId="413" priority="7098">
      <formula>Y1048436=$AH$10</formula>
    </cfRule>
  </conditionalFormatting>
  <conditionalFormatting sqref="F173:L173 AA173:AB173 N173:S173">
    <cfRule type="expression" dxfId="412" priority="67">
      <formula>$AF173=2</formula>
    </cfRule>
  </conditionalFormatting>
  <conditionalFormatting sqref="U173:Z173">
    <cfRule type="expression" dxfId="411" priority="61">
      <formula>$AF173=2</formula>
    </cfRule>
  </conditionalFormatting>
  <conditionalFormatting sqref="Q173:R173 X173:Y173 J173:K173">
    <cfRule type="expression" dxfId="410" priority="70">
      <formula>#REF!=4</formula>
    </cfRule>
    <cfRule type="expression" dxfId="409" priority="71">
      <formula>#REF!=3</formula>
    </cfRule>
    <cfRule type="expression" dxfId="408" priority="72">
      <formula>#REF!=2</formula>
    </cfRule>
    <cfRule type="expression" dxfId="407" priority="73">
      <formula>#REF!=1</formula>
    </cfRule>
  </conditionalFormatting>
  <conditionalFormatting sqref="Q173:R173">
    <cfRule type="expression" dxfId="406" priority="74">
      <formula>#REF!=4</formula>
    </cfRule>
    <cfRule type="expression" dxfId="405" priority="75">
      <formula>#REF!=3</formula>
    </cfRule>
    <cfRule type="expression" dxfId="404" priority="76">
      <formula>#REF!=2</formula>
    </cfRule>
    <cfRule type="expression" dxfId="403" priority="77">
      <formula>#REF!=1</formula>
    </cfRule>
  </conditionalFormatting>
  <conditionalFormatting sqref="X173:Y173">
    <cfRule type="expression" dxfId="402" priority="78">
      <formula>#REF!=4</formula>
    </cfRule>
    <cfRule type="expression" dxfId="401" priority="79">
      <formula>#REF!=3</formula>
    </cfRule>
    <cfRule type="expression" dxfId="400" priority="80">
      <formula>#REF!=2</formula>
    </cfRule>
    <cfRule type="expression" dxfId="399" priority="81">
      <formula>#REF!=1</formula>
    </cfRule>
  </conditionalFormatting>
  <conditionalFormatting sqref="K173">
    <cfRule type="expression" dxfId="398" priority="43">
      <formula>K173=$AH$12</formula>
    </cfRule>
    <cfRule type="expression" dxfId="397" priority="44">
      <formula>K173=$AH$11</formula>
    </cfRule>
    <cfRule type="expression" dxfId="396" priority="48">
      <formula>K173=$AH$10</formula>
    </cfRule>
  </conditionalFormatting>
  <conditionalFormatting sqref="R173">
    <cfRule type="expression" dxfId="395" priority="45">
      <formula>R173=$AH$12</formula>
    </cfRule>
    <cfRule type="expression" dxfId="394" priority="46">
      <formula>R173=$AH$11</formula>
    </cfRule>
    <cfRule type="expression" dxfId="393" priority="47">
      <formula>R173=$AH$10</formula>
    </cfRule>
  </conditionalFormatting>
  <conditionalFormatting sqref="Y173">
    <cfRule type="expression" dxfId="392" priority="82">
      <formula>Y1048536=$AH$12</formula>
    </cfRule>
    <cfRule type="expression" dxfId="391" priority="83">
      <formula>Y1048536=$AH$11</formula>
    </cfRule>
    <cfRule type="expression" dxfId="390" priority="84">
      <formula>Y1048536=$AH$10</formula>
    </cfRule>
  </conditionalFormatting>
  <conditionalFormatting sqref="Y11:Y71">
    <cfRule type="expression" dxfId="389" priority="7099">
      <formula>Y1048375=$AH$12</formula>
    </cfRule>
    <cfRule type="expression" dxfId="388" priority="7100">
      <formula>Y1048375=$AH$11</formula>
    </cfRule>
    <cfRule type="expression" dxfId="387" priority="7101">
      <formula>Y1048375=$AH$10</formula>
    </cfRule>
  </conditionalFormatting>
  <conditionalFormatting sqref="U72:AB72 N72:S72">
    <cfRule type="expression" dxfId="386" priority="25">
      <formula>$AF72=2</formula>
    </cfRule>
  </conditionalFormatting>
  <conditionalFormatting sqref="F72:L72">
    <cfRule type="expression" dxfId="385" priority="19">
      <formula>$AF72=2</formula>
    </cfRule>
  </conditionalFormatting>
  <conditionalFormatting sqref="Q72:R72 X72:Y72 J72:K72">
    <cfRule type="expression" dxfId="384" priority="28">
      <formula>#REF!=4</formula>
    </cfRule>
    <cfRule type="expression" dxfId="383" priority="29">
      <formula>#REF!=3</formula>
    </cfRule>
    <cfRule type="expression" dxfId="382" priority="30">
      <formula>#REF!=2</formula>
    </cfRule>
    <cfRule type="expression" dxfId="381" priority="31">
      <formula>#REF!=1</formula>
    </cfRule>
  </conditionalFormatting>
  <conditionalFormatting sqref="Q72:R72">
    <cfRule type="expression" dxfId="380" priority="32">
      <formula>#REF!=4</formula>
    </cfRule>
    <cfRule type="expression" dxfId="379" priority="33">
      <formula>#REF!=3</formula>
    </cfRule>
    <cfRule type="expression" dxfId="378" priority="34">
      <formula>#REF!=2</formula>
    </cfRule>
    <cfRule type="expression" dxfId="377" priority="35">
      <formula>#REF!=1</formula>
    </cfRule>
  </conditionalFormatting>
  <conditionalFormatting sqref="X72:Y72">
    <cfRule type="expression" dxfId="376" priority="36">
      <formula>#REF!=4</formula>
    </cfRule>
    <cfRule type="expression" dxfId="375" priority="37">
      <formula>#REF!=3</formula>
    </cfRule>
    <cfRule type="expression" dxfId="374" priority="38">
      <formula>#REF!=2</formula>
    </cfRule>
    <cfRule type="expression" dxfId="373" priority="39">
      <formula>#REF!=1</formula>
    </cfRule>
  </conditionalFormatting>
  <conditionalFormatting sqref="K72">
    <cfRule type="expression" dxfId="372" priority="1">
      <formula>K72=$AH$12</formula>
    </cfRule>
    <cfRule type="expression" dxfId="371" priority="2">
      <formula>K72=$AH$11</formula>
    </cfRule>
    <cfRule type="expression" dxfId="370" priority="6">
      <formula>K72=$AH$10</formula>
    </cfRule>
  </conditionalFormatting>
  <conditionalFormatting sqref="R72">
    <cfRule type="expression" dxfId="369" priority="3">
      <formula>R72=$AH$12</formula>
    </cfRule>
    <cfRule type="expression" dxfId="368" priority="4">
      <formula>R72=$AH$11</formula>
    </cfRule>
    <cfRule type="expression" dxfId="367" priority="5">
      <formula>R72=$AH$10</formula>
    </cfRule>
  </conditionalFormatting>
  <conditionalFormatting sqref="Y72">
    <cfRule type="expression" dxfId="366" priority="40">
      <formula>Y1048436=$AH$12</formula>
    </cfRule>
    <cfRule type="expression" dxfId="365" priority="41">
      <formula>Y1048436=$AH$11</formula>
    </cfRule>
    <cfRule type="expression" dxfId="364" priority="42">
      <formula>Y1048436=$AH$10</formula>
    </cfRule>
  </conditionalFormatting>
  <dataValidations count="2">
    <dataValidation allowBlank="1" showInputMessage="1" showErrorMessage="1" promptTitle="Sorting" prompt="Sort from smallest to largest to get original sorting" sqref="A9" xr:uid="{00000000-0002-0000-0600-000001000000}"/>
    <dataValidation type="decimal" operator="lessThanOrEqual" allowBlank="1" errorTitle="Invalid entry" error="Cannot award more credits than available" sqref="E11:Z227" xr:uid="{00000000-0002-0000-0600-000000000000}">
      <formula1>$F11</formula1>
    </dataValidation>
  </dataValidations>
  <pageMargins left="0.43307086614173229" right="0.19685039370078741" top="0.6692913385826772" bottom="0.59055118110236227" header="0.31496062992125984" footer="0.31496062992125984"/>
  <pageSetup paperSize="9" scale="39" fitToHeight="0" orientation="landscape" r:id="rId1"/>
  <headerFooter>
    <oddFooter xml:space="preserve">&amp;L&amp;F&amp;C&amp;D&amp;RPage &amp;P of &amp;N  </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627" id="{B963291B-988D-4012-8C32-6BE515380621}">
            <xm:f>$S$8='Assessment Details'!$Q$23</xm:f>
            <x14:dxf>
              <font>
                <color theme="0"/>
              </font>
              <fill>
                <patternFill>
                  <bgColor theme="0"/>
                </patternFill>
              </fill>
              <border>
                <vertical/>
                <horizontal/>
              </border>
            </x14:dxf>
          </x14:cfRule>
          <xm:sqref>AB101:AB103 AB96:AB99 AB210:AB224 AB11:AB36 N2:S2 AB38:AB39 AB66:AB71 AB105:AB116 AB118:AB145 AB147:AB159 AB161:AB172 AB193:AB208 N10:S37 N64:S65 N94:S95 N103:S104 G73:G92 N73:S92 U73:U92 W73:W92 AB41:AB64 AB174:AB191 AB73:AB94</xm:sqref>
        </x14:conditionalFormatting>
        <x14:conditionalFormatting xmlns:xm="http://schemas.microsoft.com/office/excel/2006/main">
          <x14:cfRule type="expression" priority="1626" id="{D6CE8378-0295-43A4-B4D2-FF97977D5B54}">
            <xm:f>$S$8='Assessment Details'!$Q$23</xm:f>
            <x14:dxf>
              <border>
                <left style="thin">
                  <color theme="0"/>
                </left>
                <right style="thin">
                  <color theme="0"/>
                </right>
                <top style="thin">
                  <color theme="0"/>
                </top>
                <bottom style="thin">
                  <color theme="0"/>
                </bottom>
                <vertical/>
                <horizontal/>
              </border>
            </x14:dxf>
          </x14:cfRule>
          <xm:sqref>AB101:AB103 AB96:AB99 AB210:AB224 AB11:AB36 N2:S2 AB38:AB39 AB66:AB71 AB105:AB116 AB118:AB145 AB147:AB159 AB161:AB172 AB193:AB208 N10:S37 N64:S65 N94:S95 N103:S104 G73:G92 N73:S92 U73:U92 W73:W92 AB41:AB64 AB174:AB191 AB73:AB94</xm:sqref>
        </x14:conditionalFormatting>
        <x14:conditionalFormatting xmlns:xm="http://schemas.microsoft.com/office/excel/2006/main">
          <x14:cfRule type="expression" priority="1206" id="{D4A1FB8B-9A6F-4D5A-87DE-8437C2FEA5F4}">
            <xm:f>$S$8='Assessment Details'!$Q$23</xm:f>
            <x14:dxf>
              <font>
                <color theme="0"/>
              </font>
              <fill>
                <patternFill>
                  <bgColor theme="0"/>
                </patternFill>
              </fill>
              <border>
                <vertical/>
                <horizontal/>
              </border>
            </x14:dxf>
          </x14:cfRule>
          <xm:sqref>AB100</xm:sqref>
        </x14:conditionalFormatting>
        <x14:conditionalFormatting xmlns:xm="http://schemas.microsoft.com/office/excel/2006/main">
          <x14:cfRule type="expression" priority="1205" id="{702E3ADF-3980-4B25-89A5-EF096DCCD8F6}">
            <xm:f>$S$8='Assessment Details'!$Q$23</xm:f>
            <x14:dxf>
              <border>
                <left style="thin">
                  <color theme="0"/>
                </left>
                <right style="thin">
                  <color theme="0"/>
                </right>
                <top style="thin">
                  <color theme="0"/>
                </top>
                <bottom style="thin">
                  <color theme="0"/>
                </bottom>
                <vertical/>
                <horizontal/>
              </border>
            </x14:dxf>
          </x14:cfRule>
          <xm:sqref>AB100</xm:sqref>
        </x14:conditionalFormatting>
        <x14:conditionalFormatting xmlns:xm="http://schemas.microsoft.com/office/excel/2006/main">
          <x14:cfRule type="expression" priority="1203" id="{258B7964-1DDD-42CC-8176-865BF7F43F24}">
            <xm:f>$S$8='Assessment Details'!$Q$23</xm:f>
            <x14:dxf>
              <font>
                <color theme="0"/>
              </font>
              <fill>
                <patternFill>
                  <bgColor theme="0"/>
                </patternFill>
              </fill>
              <border>
                <vertical/>
                <horizontal/>
              </border>
            </x14:dxf>
          </x14:cfRule>
          <xm:sqref>AB10</xm:sqref>
        </x14:conditionalFormatting>
        <x14:conditionalFormatting xmlns:xm="http://schemas.microsoft.com/office/excel/2006/main">
          <x14:cfRule type="expression" priority="1202" id="{7BB3A65E-2FFF-4780-BA07-E396F8C92B2F}">
            <xm:f>$S$8='Assessment Details'!$Q$23</xm:f>
            <x14:dxf>
              <border>
                <left style="thin">
                  <color theme="0"/>
                </left>
                <right style="thin">
                  <color theme="0"/>
                </right>
                <top style="thin">
                  <color theme="0"/>
                </top>
                <bottom style="thin">
                  <color theme="0"/>
                </bottom>
                <vertical/>
                <horizontal/>
              </border>
            </x14:dxf>
          </x14:cfRule>
          <xm:sqref>AB10</xm:sqref>
        </x14:conditionalFormatting>
        <x14:conditionalFormatting xmlns:xm="http://schemas.microsoft.com/office/excel/2006/main">
          <x14:cfRule type="expression" priority="1200" id="{779EE763-74DF-4BD9-9F1F-3F97AD73E70F}">
            <xm:f>$S$8='Assessment Details'!$Q$23</xm:f>
            <x14:dxf>
              <font>
                <color theme="0"/>
              </font>
              <fill>
                <patternFill>
                  <bgColor theme="0"/>
                </patternFill>
              </fill>
              <border>
                <vertical/>
                <horizontal/>
              </border>
            </x14:dxf>
          </x14:cfRule>
          <xm:sqref>AB37</xm:sqref>
        </x14:conditionalFormatting>
        <x14:conditionalFormatting xmlns:xm="http://schemas.microsoft.com/office/excel/2006/main">
          <x14:cfRule type="expression" priority="1199" id="{F92D0C3A-CBEC-4FCE-86A8-17D840D00825}">
            <xm:f>$S$8='Assessment Details'!$Q$23</xm:f>
            <x14:dxf>
              <border>
                <left style="thin">
                  <color theme="0"/>
                </left>
                <right style="thin">
                  <color theme="0"/>
                </right>
                <top style="thin">
                  <color theme="0"/>
                </top>
                <bottom style="thin">
                  <color theme="0"/>
                </bottom>
                <vertical/>
                <horizontal/>
              </border>
            </x14:dxf>
          </x14:cfRule>
          <xm:sqref>AB37</xm:sqref>
        </x14:conditionalFormatting>
        <x14:conditionalFormatting xmlns:xm="http://schemas.microsoft.com/office/excel/2006/main">
          <x14:cfRule type="expression" priority="1197" id="{027B81C1-6272-451D-B4B8-47058050C058}">
            <xm:f>$S$8='Assessment Details'!$Q$23</xm:f>
            <x14:dxf>
              <font>
                <color theme="0"/>
              </font>
              <fill>
                <patternFill>
                  <bgColor theme="0"/>
                </patternFill>
              </fill>
              <border>
                <vertical/>
                <horizontal/>
              </border>
            </x14:dxf>
          </x14:cfRule>
          <xm:sqref>AB65</xm:sqref>
        </x14:conditionalFormatting>
        <x14:conditionalFormatting xmlns:xm="http://schemas.microsoft.com/office/excel/2006/main">
          <x14:cfRule type="expression" priority="1196" id="{4D3B5EA4-9B11-4F47-A1E2-053463420900}">
            <xm:f>$S$8='Assessment Details'!$Q$23</xm:f>
            <x14:dxf>
              <border>
                <left style="thin">
                  <color theme="0"/>
                </left>
                <right style="thin">
                  <color theme="0"/>
                </right>
                <top style="thin">
                  <color theme="0"/>
                </top>
                <bottom style="thin">
                  <color theme="0"/>
                </bottom>
                <vertical/>
                <horizontal/>
              </border>
            </x14:dxf>
          </x14:cfRule>
          <xm:sqref>AB65</xm:sqref>
        </x14:conditionalFormatting>
        <x14:conditionalFormatting xmlns:xm="http://schemas.microsoft.com/office/excel/2006/main">
          <x14:cfRule type="expression" priority="1194" id="{D1977690-7C99-4F9A-A385-8225523AE7C5}">
            <xm:f>$S$8='Assessment Details'!$Q$23</xm:f>
            <x14:dxf>
              <font>
                <color theme="0"/>
              </font>
              <fill>
                <patternFill>
                  <bgColor theme="0"/>
                </patternFill>
              </fill>
              <border>
                <vertical/>
                <horizontal/>
              </border>
            </x14:dxf>
          </x14:cfRule>
          <xm:sqref>AB95</xm:sqref>
        </x14:conditionalFormatting>
        <x14:conditionalFormatting xmlns:xm="http://schemas.microsoft.com/office/excel/2006/main">
          <x14:cfRule type="expression" priority="1193" id="{02B16B7F-9900-4D08-AD13-3051DACA57E6}">
            <xm:f>$S$8='Assessment Details'!$Q$23</xm:f>
            <x14:dxf>
              <border>
                <left style="thin">
                  <color theme="0"/>
                </left>
                <right style="thin">
                  <color theme="0"/>
                </right>
                <top style="thin">
                  <color theme="0"/>
                </top>
                <bottom style="thin">
                  <color theme="0"/>
                </bottom>
                <vertical/>
                <horizontal/>
              </border>
            </x14:dxf>
          </x14:cfRule>
          <xm:sqref>AB95</xm:sqref>
        </x14:conditionalFormatting>
        <x14:conditionalFormatting xmlns:xm="http://schemas.microsoft.com/office/excel/2006/main">
          <x14:cfRule type="expression" priority="1191" id="{851B2D0E-EE59-432B-86AE-4FC98C58D018}">
            <xm:f>$S$8='Assessment Details'!$Q$23</xm:f>
            <x14:dxf>
              <font>
                <color theme="0"/>
              </font>
              <fill>
                <patternFill>
                  <bgColor theme="0"/>
                </patternFill>
              </fill>
              <border>
                <vertical/>
                <horizontal/>
              </border>
            </x14:dxf>
          </x14:cfRule>
          <xm:sqref>AB104</xm:sqref>
        </x14:conditionalFormatting>
        <x14:conditionalFormatting xmlns:xm="http://schemas.microsoft.com/office/excel/2006/main">
          <x14:cfRule type="expression" priority="1190" id="{AF11453C-7B9A-47F5-A23D-103B7E6120F5}">
            <xm:f>$S$8='Assessment Details'!$Q$23</xm:f>
            <x14:dxf>
              <border>
                <left style="thin">
                  <color theme="0"/>
                </left>
                <right style="thin">
                  <color theme="0"/>
                </right>
                <top style="thin">
                  <color theme="0"/>
                </top>
                <bottom style="thin">
                  <color theme="0"/>
                </bottom>
                <vertical/>
                <horizontal/>
              </border>
            </x14:dxf>
          </x14:cfRule>
          <xm:sqref>AB104</xm:sqref>
        </x14:conditionalFormatting>
        <x14:conditionalFormatting xmlns:xm="http://schemas.microsoft.com/office/excel/2006/main">
          <x14:cfRule type="expression" priority="1188" id="{BDA04989-118F-431C-9128-402229EDB742}">
            <xm:f>$S$8='Assessment Details'!$Q$23</xm:f>
            <x14:dxf>
              <font>
                <color theme="0"/>
              </font>
              <fill>
                <patternFill>
                  <bgColor theme="0"/>
                </patternFill>
              </fill>
              <border>
                <vertical/>
                <horizontal/>
              </border>
            </x14:dxf>
          </x14:cfRule>
          <xm:sqref>AB117</xm:sqref>
        </x14:conditionalFormatting>
        <x14:conditionalFormatting xmlns:xm="http://schemas.microsoft.com/office/excel/2006/main">
          <x14:cfRule type="expression" priority="1187" id="{DD27F743-136F-4F86-96CC-24A0C7078F4D}">
            <xm:f>$S$8='Assessment Details'!$Q$23</xm:f>
            <x14:dxf>
              <border>
                <left style="thin">
                  <color theme="0"/>
                </left>
                <right style="thin">
                  <color theme="0"/>
                </right>
                <top style="thin">
                  <color theme="0"/>
                </top>
                <bottom style="thin">
                  <color theme="0"/>
                </bottom>
                <vertical/>
                <horizontal/>
              </border>
            </x14:dxf>
          </x14:cfRule>
          <xm:sqref>AB117</xm:sqref>
        </x14:conditionalFormatting>
        <x14:conditionalFormatting xmlns:xm="http://schemas.microsoft.com/office/excel/2006/main">
          <x14:cfRule type="expression" priority="1185" id="{FF303370-E145-4234-90FB-DE980C45532D}">
            <xm:f>$S$8='Assessment Details'!$Q$23</xm:f>
            <x14:dxf>
              <font>
                <color theme="0"/>
              </font>
              <fill>
                <patternFill>
                  <bgColor theme="0"/>
                </patternFill>
              </fill>
              <border>
                <vertical/>
                <horizontal/>
              </border>
            </x14:dxf>
          </x14:cfRule>
          <xm:sqref>AB146</xm:sqref>
        </x14:conditionalFormatting>
        <x14:conditionalFormatting xmlns:xm="http://schemas.microsoft.com/office/excel/2006/main">
          <x14:cfRule type="expression" priority="1184" id="{2632A259-519C-48E3-8FBB-B6242A1337A6}">
            <xm:f>$S$8='Assessment Details'!$Q$23</xm:f>
            <x14:dxf>
              <border>
                <left style="thin">
                  <color theme="0"/>
                </left>
                <right style="thin">
                  <color theme="0"/>
                </right>
                <top style="thin">
                  <color theme="0"/>
                </top>
                <bottom style="thin">
                  <color theme="0"/>
                </bottom>
                <vertical/>
                <horizontal/>
              </border>
            </x14:dxf>
          </x14:cfRule>
          <xm:sqref>AB146</xm:sqref>
        </x14:conditionalFormatting>
        <x14:conditionalFormatting xmlns:xm="http://schemas.microsoft.com/office/excel/2006/main">
          <x14:cfRule type="expression" priority="1182" id="{187E2EFC-BF3D-45C7-925F-2464160CBCBF}">
            <xm:f>$S$8='Assessment Details'!$Q$23</xm:f>
            <x14:dxf>
              <font>
                <color theme="0"/>
              </font>
              <fill>
                <patternFill>
                  <bgColor theme="0"/>
                </patternFill>
              </fill>
              <border>
                <vertical/>
                <horizontal/>
              </border>
            </x14:dxf>
          </x14:cfRule>
          <xm:sqref>AB160</xm:sqref>
        </x14:conditionalFormatting>
        <x14:conditionalFormatting xmlns:xm="http://schemas.microsoft.com/office/excel/2006/main">
          <x14:cfRule type="expression" priority="1181" id="{3C5F7B95-E605-4AD1-9B8A-92CCF8687D8A}">
            <xm:f>$S$8='Assessment Details'!$Q$23</xm:f>
            <x14:dxf>
              <border>
                <left style="thin">
                  <color theme="0"/>
                </left>
                <right style="thin">
                  <color theme="0"/>
                </right>
                <top style="thin">
                  <color theme="0"/>
                </top>
                <bottom style="thin">
                  <color theme="0"/>
                </bottom>
                <vertical/>
                <horizontal/>
              </border>
            </x14:dxf>
          </x14:cfRule>
          <xm:sqref>AB160</xm:sqref>
        </x14:conditionalFormatting>
        <x14:conditionalFormatting xmlns:xm="http://schemas.microsoft.com/office/excel/2006/main">
          <x14:cfRule type="expression" priority="1179" id="{8312C7E2-5FCA-405D-A25A-378E6A65001A}">
            <xm:f>$S$8='Assessment Details'!$Q$23</xm:f>
            <x14:dxf>
              <font>
                <color theme="0"/>
              </font>
              <fill>
                <patternFill>
                  <bgColor theme="0"/>
                </patternFill>
              </fill>
              <border>
                <vertical/>
                <horizontal/>
              </border>
            </x14:dxf>
          </x14:cfRule>
          <xm:sqref>AB192</xm:sqref>
        </x14:conditionalFormatting>
        <x14:conditionalFormatting xmlns:xm="http://schemas.microsoft.com/office/excel/2006/main">
          <x14:cfRule type="expression" priority="1178" id="{2ABA13B5-80B7-40DC-BBE5-C00321C31963}">
            <xm:f>$S$8='Assessment Details'!$Q$23</xm:f>
            <x14:dxf>
              <border>
                <left style="thin">
                  <color theme="0"/>
                </left>
                <right style="thin">
                  <color theme="0"/>
                </right>
                <top style="thin">
                  <color theme="0"/>
                </top>
                <bottom style="thin">
                  <color theme="0"/>
                </bottom>
                <vertical/>
                <horizontal/>
              </border>
            </x14:dxf>
          </x14:cfRule>
          <xm:sqref>AB192</xm:sqref>
        </x14:conditionalFormatting>
        <x14:conditionalFormatting xmlns:xm="http://schemas.microsoft.com/office/excel/2006/main">
          <x14:cfRule type="expression" priority="1176" id="{A6D317C5-B5ED-435A-990C-B88E15394D9C}">
            <xm:f>$S$8='Assessment Details'!$Q$23</xm:f>
            <x14:dxf>
              <font>
                <color theme="0"/>
              </font>
              <fill>
                <patternFill>
                  <bgColor theme="0"/>
                </patternFill>
              </fill>
              <border>
                <vertical/>
                <horizontal/>
              </border>
            </x14:dxf>
          </x14:cfRule>
          <xm:sqref>AB209</xm:sqref>
        </x14:conditionalFormatting>
        <x14:conditionalFormatting xmlns:xm="http://schemas.microsoft.com/office/excel/2006/main">
          <x14:cfRule type="expression" priority="1175" id="{94E5855F-7FDC-4C62-97F8-C2DC96E16261}">
            <xm:f>$S$8='Assessment Details'!$Q$23</xm:f>
            <x14:dxf>
              <border>
                <left style="thin">
                  <color theme="0"/>
                </left>
                <right style="thin">
                  <color theme="0"/>
                </right>
                <top style="thin">
                  <color theme="0"/>
                </top>
                <bottom style="thin">
                  <color theme="0"/>
                </bottom>
                <vertical/>
                <horizontal/>
              </border>
            </x14:dxf>
          </x14:cfRule>
          <xm:sqref>AB209</xm:sqref>
        </x14:conditionalFormatting>
        <x14:conditionalFormatting xmlns:xm="http://schemas.microsoft.com/office/excel/2006/main">
          <x14:cfRule type="expression" priority="1174" id="{CA85C2F4-B3B6-4EDC-AAA8-13898B5EA085}">
            <xm:f>'Pre-Assessment Estimator'!$AJ$4=ais_nei</xm:f>
            <x14:dxf>
              <font>
                <color theme="0"/>
              </font>
              <fill>
                <patternFill>
                  <bgColor theme="0"/>
                </patternFill>
              </fill>
              <border>
                <left/>
                <right/>
                <top/>
                <bottom/>
                <vertical/>
                <horizontal/>
              </border>
            </x14:dxf>
          </x14:cfRule>
          <xm:sqref>AB10:AB39 AB41:AB71 AB174:AB224 AB73:AB172</xm:sqref>
        </x14:conditionalFormatting>
        <x14:conditionalFormatting xmlns:xm="http://schemas.microsoft.com/office/excel/2006/main">
          <x14:cfRule type="expression" priority="1165" id="{91A40F5D-EE13-49A1-A431-4C7B3D2E9120}">
            <xm:f>$S$8='Assessment Details'!$Q$23</xm:f>
            <x14:dxf>
              <font>
                <color theme="0"/>
              </font>
              <fill>
                <patternFill>
                  <bgColor theme="0"/>
                </patternFill>
              </fill>
              <border>
                <vertical/>
                <horizontal/>
              </border>
            </x14:dxf>
          </x14:cfRule>
          <xm:sqref>G11:G35</xm:sqref>
        </x14:conditionalFormatting>
        <x14:conditionalFormatting xmlns:xm="http://schemas.microsoft.com/office/excel/2006/main">
          <x14:cfRule type="expression" priority="1164" id="{25BB7F43-1C6E-4013-94FE-A8FA867514C0}">
            <xm:f>$S$8='Assessment Details'!$Q$23</xm:f>
            <x14:dxf>
              <border>
                <left style="thin">
                  <color theme="0"/>
                </left>
                <right style="thin">
                  <color theme="0"/>
                </right>
                <top style="thin">
                  <color theme="0"/>
                </top>
                <bottom style="thin">
                  <color theme="0"/>
                </bottom>
                <vertical/>
                <horizontal/>
              </border>
            </x14:dxf>
          </x14:cfRule>
          <xm:sqref>G11:G35</xm:sqref>
        </x14:conditionalFormatting>
        <x14:conditionalFormatting xmlns:xm="http://schemas.microsoft.com/office/excel/2006/main">
          <x14:cfRule type="expression" priority="1163" id="{8CAF9B23-775E-4F2C-B1CB-447B2061AE74}">
            <xm:f>$S$8='Assessment Details'!$Q$23</xm:f>
            <x14:dxf>
              <font>
                <color theme="0"/>
              </font>
              <fill>
                <patternFill>
                  <bgColor theme="0"/>
                </patternFill>
              </fill>
              <border>
                <vertical/>
                <horizontal/>
              </border>
            </x14:dxf>
          </x14:cfRule>
          <xm:sqref>U11:U35</xm:sqref>
        </x14:conditionalFormatting>
        <x14:conditionalFormatting xmlns:xm="http://schemas.microsoft.com/office/excel/2006/main">
          <x14:cfRule type="expression" priority="1162" id="{3DF2DC78-BBCF-4376-A8AD-D065CD3831D1}">
            <xm:f>$S$8='Assessment Details'!$Q$23</xm:f>
            <x14:dxf>
              <border>
                <left style="thin">
                  <color theme="0"/>
                </left>
                <right style="thin">
                  <color theme="0"/>
                </right>
                <top style="thin">
                  <color theme="0"/>
                </top>
                <bottom style="thin">
                  <color theme="0"/>
                </bottom>
                <vertical/>
                <horizontal/>
              </border>
            </x14:dxf>
          </x14:cfRule>
          <xm:sqref>U11:U35</xm:sqref>
        </x14:conditionalFormatting>
        <x14:conditionalFormatting xmlns:xm="http://schemas.microsoft.com/office/excel/2006/main">
          <x14:cfRule type="expression" priority="1157" id="{1BC73C47-1758-4EB7-86BE-2E2AD60FD100}">
            <xm:f>$S$8='Assessment Details'!$Q$23</xm:f>
            <x14:dxf>
              <font>
                <color theme="0"/>
              </font>
              <fill>
                <patternFill>
                  <bgColor theme="0"/>
                </patternFill>
              </fill>
              <border>
                <vertical/>
                <horizontal/>
              </border>
            </x14:dxf>
          </x14:cfRule>
          <xm:sqref>N11</xm:sqref>
        </x14:conditionalFormatting>
        <x14:conditionalFormatting xmlns:xm="http://schemas.microsoft.com/office/excel/2006/main">
          <x14:cfRule type="expression" priority="1156" id="{D2619090-6BDB-4792-A8E2-73C3E3F709E0}">
            <xm:f>$S$8='Assessment Details'!$Q$23</xm:f>
            <x14:dxf>
              <border>
                <left style="thin">
                  <color theme="0"/>
                </left>
                <right style="thin">
                  <color theme="0"/>
                </right>
                <top style="thin">
                  <color theme="0"/>
                </top>
                <bottom style="thin">
                  <color theme="0"/>
                </bottom>
                <vertical/>
                <horizontal/>
              </border>
            </x14:dxf>
          </x14:cfRule>
          <xm:sqref>N11</xm:sqref>
        </x14:conditionalFormatting>
        <x14:conditionalFormatting xmlns:xm="http://schemas.microsoft.com/office/excel/2006/main">
          <x14:cfRule type="expression" priority="1151" id="{66255529-4F29-43F6-BFD1-3ADCBB7A00F0}">
            <xm:f>$S$8='Assessment Details'!$Q$23</xm:f>
            <x14:dxf>
              <font>
                <color theme="0"/>
              </font>
              <fill>
                <patternFill>
                  <bgColor theme="0"/>
                </patternFill>
              </fill>
              <border>
                <vertical/>
                <horizontal/>
              </border>
            </x14:dxf>
          </x14:cfRule>
          <xm:sqref>U11</xm:sqref>
        </x14:conditionalFormatting>
        <x14:conditionalFormatting xmlns:xm="http://schemas.microsoft.com/office/excel/2006/main">
          <x14:cfRule type="expression" priority="1150" id="{786DA6F1-B0B2-44B0-ABD6-7C02B98EB7B2}">
            <xm:f>$S$8='Assessment Details'!$Q$23</xm:f>
            <x14:dxf>
              <border>
                <left style="thin">
                  <color theme="0"/>
                </left>
                <right style="thin">
                  <color theme="0"/>
                </right>
                <top style="thin">
                  <color theme="0"/>
                </top>
                <bottom style="thin">
                  <color theme="0"/>
                </bottom>
                <vertical/>
                <horizontal/>
              </border>
            </x14:dxf>
          </x14:cfRule>
          <xm:sqref>U11</xm:sqref>
        </x14:conditionalFormatting>
        <x14:conditionalFormatting xmlns:xm="http://schemas.microsoft.com/office/excel/2006/main">
          <x14:cfRule type="expression" priority="1149" id="{E8E0CC8E-C1ED-4FB6-B617-50244357E13B}">
            <xm:f>$S$8='Assessment Details'!$Q$23</xm:f>
            <x14:dxf>
              <font>
                <color theme="0"/>
              </font>
              <fill>
                <patternFill>
                  <bgColor theme="0"/>
                </patternFill>
              </fill>
              <border>
                <vertical/>
                <horizontal/>
              </border>
            </x14:dxf>
          </x14:cfRule>
          <xm:sqref>W11:W35</xm:sqref>
        </x14:conditionalFormatting>
        <x14:conditionalFormatting xmlns:xm="http://schemas.microsoft.com/office/excel/2006/main">
          <x14:cfRule type="expression" priority="1148" id="{8FA22E55-62A0-4B65-BF55-2B7B3F01900D}">
            <xm:f>$S$8='Assessment Details'!$Q$23</xm:f>
            <x14:dxf>
              <border>
                <left style="thin">
                  <color theme="0"/>
                </left>
                <right style="thin">
                  <color theme="0"/>
                </right>
                <top style="thin">
                  <color theme="0"/>
                </top>
                <bottom style="thin">
                  <color theme="0"/>
                </bottom>
                <vertical/>
                <horizontal/>
              </border>
            </x14:dxf>
          </x14:cfRule>
          <xm:sqref>W11:W35</xm:sqref>
        </x14:conditionalFormatting>
        <x14:conditionalFormatting xmlns:xm="http://schemas.microsoft.com/office/excel/2006/main">
          <x14:cfRule type="expression" priority="7015" id="{DB805B39-675F-4529-AAA9-84C1652FC9E0}">
            <xm:f>$Z$8='Assessment Details'!$Q$23</xm:f>
            <x14:dxf>
              <font>
                <color theme="0"/>
              </font>
              <fill>
                <patternFill>
                  <bgColor theme="0"/>
                </patternFill>
              </fill>
            </x14:dxf>
          </x14:cfRule>
          <xm:sqref>U2:AA2 U10:AA10 U64:Z65 U94:Z95 U103:Z104 U73:Z92 U11:Z37 AA11:AA39 AA41:AA71 AA174:AA227 AA73:AA172</xm:sqref>
        </x14:conditionalFormatting>
        <x14:conditionalFormatting xmlns:xm="http://schemas.microsoft.com/office/excel/2006/main">
          <x14:cfRule type="expression" priority="7019" id="{6470B74F-A8AF-495C-B6F5-853222BCD4E5}">
            <xm:f>$Z$8='Assessment Details'!$Q$23</xm:f>
            <x14:dxf>
              <border>
                <left style="thin">
                  <color theme="0"/>
                </left>
                <right style="thin">
                  <color theme="0"/>
                </right>
                <top style="thin">
                  <color theme="0"/>
                </top>
                <bottom style="thin">
                  <color theme="0"/>
                </bottom>
                <vertical/>
                <horizontal/>
              </border>
            </x14:dxf>
          </x14:cfRule>
          <xm:sqref>U2:AA2 U10:AA10 U64:Z65 U94:Z95 U103:Z104 U73:Z92 U11:Z37 AA11:AA39 AA41:AA71 AA174:AA227 AA73:AA172</xm:sqref>
        </x14:conditionalFormatting>
        <x14:conditionalFormatting xmlns:xm="http://schemas.microsoft.com/office/excel/2006/main">
          <x14:cfRule type="expression" priority="1132" id="{2298EEF2-E470-443F-B53F-42C72C43AD19}">
            <xm:f>$S$8='Assessment Details'!$Q$23</xm:f>
            <x14:dxf>
              <font>
                <color theme="0"/>
              </font>
              <fill>
                <patternFill>
                  <bgColor theme="0"/>
                </patternFill>
              </fill>
              <border>
                <vertical/>
                <horizontal/>
              </border>
            </x14:dxf>
          </x14:cfRule>
          <xm:sqref>N63:S63</xm:sqref>
        </x14:conditionalFormatting>
        <x14:conditionalFormatting xmlns:xm="http://schemas.microsoft.com/office/excel/2006/main">
          <x14:cfRule type="expression" priority="1131" id="{F02FCAFD-237A-4971-86FA-60B30CE34A99}">
            <xm:f>$S$8='Assessment Details'!$Q$23</xm:f>
            <x14:dxf>
              <border>
                <left style="thin">
                  <color theme="0"/>
                </left>
                <right style="thin">
                  <color theme="0"/>
                </right>
                <top style="thin">
                  <color theme="0"/>
                </top>
                <bottom style="thin">
                  <color theme="0"/>
                </bottom>
                <vertical/>
                <horizontal/>
              </border>
            </x14:dxf>
          </x14:cfRule>
          <xm:sqref>N63:S63</xm:sqref>
        </x14:conditionalFormatting>
        <x14:conditionalFormatting xmlns:xm="http://schemas.microsoft.com/office/excel/2006/main">
          <x14:cfRule type="expression" priority="1130" id="{74BF6AB4-4ABE-453C-B3E5-BE12679CD5B4}">
            <xm:f>$S$8='Assessment Details'!$Q$23</xm:f>
            <x14:dxf>
              <font>
                <color theme="0"/>
              </font>
              <fill>
                <patternFill>
                  <bgColor theme="0"/>
                </patternFill>
              </fill>
              <border>
                <vertical/>
                <horizontal/>
              </border>
            </x14:dxf>
          </x14:cfRule>
          <xm:sqref>G63</xm:sqref>
        </x14:conditionalFormatting>
        <x14:conditionalFormatting xmlns:xm="http://schemas.microsoft.com/office/excel/2006/main">
          <x14:cfRule type="expression" priority="1129" id="{8B45EB01-FFD3-4C24-88F9-D8238CE5143B}">
            <xm:f>$S$8='Assessment Details'!$Q$23</xm:f>
            <x14:dxf>
              <border>
                <left style="thin">
                  <color theme="0"/>
                </left>
                <right style="thin">
                  <color theme="0"/>
                </right>
                <top style="thin">
                  <color theme="0"/>
                </top>
                <bottom style="thin">
                  <color theme="0"/>
                </bottom>
                <vertical/>
                <horizontal/>
              </border>
            </x14:dxf>
          </x14:cfRule>
          <xm:sqref>G63</xm:sqref>
        </x14:conditionalFormatting>
        <x14:conditionalFormatting xmlns:xm="http://schemas.microsoft.com/office/excel/2006/main">
          <x14:cfRule type="expression" priority="1128" id="{CBF5C216-270B-4918-BA3E-52FA360B4524}">
            <xm:f>$S$8='Assessment Details'!$Q$23</xm:f>
            <x14:dxf>
              <font>
                <color theme="0"/>
              </font>
              <fill>
                <patternFill>
                  <bgColor theme="0"/>
                </patternFill>
              </fill>
              <border>
                <vertical/>
                <horizontal/>
              </border>
            </x14:dxf>
          </x14:cfRule>
          <xm:sqref>U63</xm:sqref>
        </x14:conditionalFormatting>
        <x14:conditionalFormatting xmlns:xm="http://schemas.microsoft.com/office/excel/2006/main">
          <x14:cfRule type="expression" priority="1127" id="{3BA86F3E-1084-48B8-BAE0-F7699C420902}">
            <xm:f>$S$8='Assessment Details'!$Q$23</xm:f>
            <x14:dxf>
              <border>
                <left style="thin">
                  <color theme="0"/>
                </left>
                <right style="thin">
                  <color theme="0"/>
                </right>
                <top style="thin">
                  <color theme="0"/>
                </top>
                <bottom style="thin">
                  <color theme="0"/>
                </bottom>
                <vertical/>
                <horizontal/>
              </border>
            </x14:dxf>
          </x14:cfRule>
          <xm:sqref>U63</xm:sqref>
        </x14:conditionalFormatting>
        <x14:conditionalFormatting xmlns:xm="http://schemas.microsoft.com/office/excel/2006/main">
          <x14:cfRule type="expression" priority="1126" id="{72E64144-6FFD-48BF-A705-7EA30C4EFA31}">
            <xm:f>$S$8='Assessment Details'!$Q$23</xm:f>
            <x14:dxf>
              <font>
                <color theme="0"/>
              </font>
              <fill>
                <patternFill>
                  <bgColor theme="0"/>
                </patternFill>
              </fill>
              <border>
                <vertical/>
                <horizontal/>
              </border>
            </x14:dxf>
          </x14:cfRule>
          <xm:sqref>W63</xm:sqref>
        </x14:conditionalFormatting>
        <x14:conditionalFormatting xmlns:xm="http://schemas.microsoft.com/office/excel/2006/main">
          <x14:cfRule type="expression" priority="1125" id="{5DF2B492-F90B-4162-8AE4-E733DD748AE4}">
            <xm:f>$S$8='Assessment Details'!$Q$23</xm:f>
            <x14:dxf>
              <border>
                <left style="thin">
                  <color theme="0"/>
                </left>
                <right style="thin">
                  <color theme="0"/>
                </right>
                <top style="thin">
                  <color theme="0"/>
                </top>
                <bottom style="thin">
                  <color theme="0"/>
                </bottom>
                <vertical/>
                <horizontal/>
              </border>
            </x14:dxf>
          </x14:cfRule>
          <xm:sqref>W63</xm:sqref>
        </x14:conditionalFormatting>
        <x14:conditionalFormatting xmlns:xm="http://schemas.microsoft.com/office/excel/2006/main">
          <x14:cfRule type="expression" priority="1146" id="{DDE52D2E-1E3C-4979-8EC8-6DEE293965C2}">
            <xm:f>$Z$8='Assessment Details'!$Q$23</xm:f>
            <x14:dxf>
              <font>
                <color theme="0"/>
              </font>
              <fill>
                <patternFill>
                  <bgColor theme="0"/>
                </patternFill>
              </fill>
            </x14:dxf>
          </x14:cfRule>
          <xm:sqref>U63:Z63</xm:sqref>
        </x14:conditionalFormatting>
        <x14:conditionalFormatting xmlns:xm="http://schemas.microsoft.com/office/excel/2006/main">
          <x14:cfRule type="expression" priority="1147" id="{D7372E7F-6A45-4FAB-8CA3-6F4D54C418E7}">
            <xm:f>$Z$8='Assessment Details'!$Q$23</xm:f>
            <x14:dxf>
              <border>
                <left style="thin">
                  <color theme="0"/>
                </left>
                <right style="thin">
                  <color theme="0"/>
                </right>
                <top style="thin">
                  <color theme="0"/>
                </top>
                <bottom style="thin">
                  <color theme="0"/>
                </bottom>
                <vertical/>
                <horizontal/>
              </border>
            </x14:dxf>
          </x14:cfRule>
          <xm:sqref>U63:Z63</xm:sqref>
        </x14:conditionalFormatting>
        <x14:conditionalFormatting xmlns:xm="http://schemas.microsoft.com/office/excel/2006/main">
          <x14:cfRule type="expression" priority="1109" id="{28C3C2BD-E73D-4494-8B6F-8E058FE9734D}">
            <xm:f>$S$8='Assessment Details'!$Q$23</xm:f>
            <x14:dxf>
              <font>
                <color theme="0"/>
              </font>
              <fill>
                <patternFill>
                  <bgColor theme="0"/>
                </patternFill>
              </fill>
              <border>
                <vertical/>
                <horizontal/>
              </border>
            </x14:dxf>
          </x14:cfRule>
          <xm:sqref>N93:S93</xm:sqref>
        </x14:conditionalFormatting>
        <x14:conditionalFormatting xmlns:xm="http://schemas.microsoft.com/office/excel/2006/main">
          <x14:cfRule type="expression" priority="1108" id="{074C1696-F965-4065-A9BB-04540D9CEFC0}">
            <xm:f>$S$8='Assessment Details'!$Q$23</xm:f>
            <x14:dxf>
              <border>
                <left style="thin">
                  <color theme="0"/>
                </left>
                <right style="thin">
                  <color theme="0"/>
                </right>
                <top style="thin">
                  <color theme="0"/>
                </top>
                <bottom style="thin">
                  <color theme="0"/>
                </bottom>
                <vertical/>
                <horizontal/>
              </border>
            </x14:dxf>
          </x14:cfRule>
          <xm:sqref>N93:S93</xm:sqref>
        </x14:conditionalFormatting>
        <x14:conditionalFormatting xmlns:xm="http://schemas.microsoft.com/office/excel/2006/main">
          <x14:cfRule type="expression" priority="1107" id="{27722DD9-AEEA-49F7-8B9E-F80E4399173D}">
            <xm:f>$S$8='Assessment Details'!$Q$23</xm:f>
            <x14:dxf>
              <font>
                <color theme="0"/>
              </font>
              <fill>
                <patternFill>
                  <bgColor theme="0"/>
                </patternFill>
              </fill>
              <border>
                <vertical/>
                <horizontal/>
              </border>
            </x14:dxf>
          </x14:cfRule>
          <xm:sqref>G93</xm:sqref>
        </x14:conditionalFormatting>
        <x14:conditionalFormatting xmlns:xm="http://schemas.microsoft.com/office/excel/2006/main">
          <x14:cfRule type="expression" priority="1106" id="{DDFAADA0-5956-48C0-BB4B-E4386CCFDE34}">
            <xm:f>$S$8='Assessment Details'!$Q$23</xm:f>
            <x14:dxf>
              <border>
                <left style="thin">
                  <color theme="0"/>
                </left>
                <right style="thin">
                  <color theme="0"/>
                </right>
                <top style="thin">
                  <color theme="0"/>
                </top>
                <bottom style="thin">
                  <color theme="0"/>
                </bottom>
                <vertical/>
                <horizontal/>
              </border>
            </x14:dxf>
          </x14:cfRule>
          <xm:sqref>G93</xm:sqref>
        </x14:conditionalFormatting>
        <x14:conditionalFormatting xmlns:xm="http://schemas.microsoft.com/office/excel/2006/main">
          <x14:cfRule type="expression" priority="1105" id="{7626F755-BD30-4B95-8FF9-61BB470D4AE5}">
            <xm:f>$S$8='Assessment Details'!$Q$23</xm:f>
            <x14:dxf>
              <font>
                <color theme="0"/>
              </font>
              <fill>
                <patternFill>
                  <bgColor theme="0"/>
                </patternFill>
              </fill>
              <border>
                <vertical/>
                <horizontal/>
              </border>
            </x14:dxf>
          </x14:cfRule>
          <xm:sqref>U93</xm:sqref>
        </x14:conditionalFormatting>
        <x14:conditionalFormatting xmlns:xm="http://schemas.microsoft.com/office/excel/2006/main">
          <x14:cfRule type="expression" priority="1104" id="{9C1229C9-1672-47D2-ADE6-9A30C3F01FB3}">
            <xm:f>$S$8='Assessment Details'!$Q$23</xm:f>
            <x14:dxf>
              <border>
                <left style="thin">
                  <color theme="0"/>
                </left>
                <right style="thin">
                  <color theme="0"/>
                </right>
                <top style="thin">
                  <color theme="0"/>
                </top>
                <bottom style="thin">
                  <color theme="0"/>
                </bottom>
                <vertical/>
                <horizontal/>
              </border>
            </x14:dxf>
          </x14:cfRule>
          <xm:sqref>U93</xm:sqref>
        </x14:conditionalFormatting>
        <x14:conditionalFormatting xmlns:xm="http://schemas.microsoft.com/office/excel/2006/main">
          <x14:cfRule type="expression" priority="1103" id="{A0B802F6-4141-411F-848C-73D4DE6FF722}">
            <xm:f>$S$8='Assessment Details'!$Q$23</xm:f>
            <x14:dxf>
              <font>
                <color theme="0"/>
              </font>
              <fill>
                <patternFill>
                  <bgColor theme="0"/>
                </patternFill>
              </fill>
              <border>
                <vertical/>
                <horizontal/>
              </border>
            </x14:dxf>
          </x14:cfRule>
          <xm:sqref>W93</xm:sqref>
        </x14:conditionalFormatting>
        <x14:conditionalFormatting xmlns:xm="http://schemas.microsoft.com/office/excel/2006/main">
          <x14:cfRule type="expression" priority="1102" id="{F02BC133-491D-402D-AC41-2A263B5F9395}">
            <xm:f>$S$8='Assessment Details'!$Q$23</xm:f>
            <x14:dxf>
              <border>
                <left style="thin">
                  <color theme="0"/>
                </left>
                <right style="thin">
                  <color theme="0"/>
                </right>
                <top style="thin">
                  <color theme="0"/>
                </top>
                <bottom style="thin">
                  <color theme="0"/>
                </bottom>
                <vertical/>
                <horizontal/>
              </border>
            </x14:dxf>
          </x14:cfRule>
          <xm:sqref>W93</xm:sqref>
        </x14:conditionalFormatting>
        <x14:conditionalFormatting xmlns:xm="http://schemas.microsoft.com/office/excel/2006/main">
          <x14:cfRule type="expression" priority="1123" id="{ED122FC8-685A-4CD0-B196-3B87E709F630}">
            <xm:f>$Z$8='Assessment Details'!$Q$23</xm:f>
            <x14:dxf>
              <font>
                <color theme="0"/>
              </font>
              <fill>
                <patternFill>
                  <bgColor theme="0"/>
                </patternFill>
              </fill>
            </x14:dxf>
          </x14:cfRule>
          <xm:sqref>U93:Z93</xm:sqref>
        </x14:conditionalFormatting>
        <x14:conditionalFormatting xmlns:xm="http://schemas.microsoft.com/office/excel/2006/main">
          <x14:cfRule type="expression" priority="1124" id="{37BD6D06-D11A-49DB-8816-96940871D5C0}">
            <xm:f>$Z$8='Assessment Details'!$Q$23</xm:f>
            <x14:dxf>
              <border>
                <left style="thin">
                  <color theme="0"/>
                </left>
                <right style="thin">
                  <color theme="0"/>
                </right>
                <top style="thin">
                  <color theme="0"/>
                </top>
                <bottom style="thin">
                  <color theme="0"/>
                </bottom>
                <vertical/>
                <horizontal/>
              </border>
            </x14:dxf>
          </x14:cfRule>
          <xm:sqref>U93:Z93</xm:sqref>
        </x14:conditionalFormatting>
        <x14:conditionalFormatting xmlns:xm="http://schemas.microsoft.com/office/excel/2006/main">
          <x14:cfRule type="expression" priority="1086" id="{7AA700BF-8308-41D7-833B-82FD6E7F9262}">
            <xm:f>$S$8='Assessment Details'!$Q$23</xm:f>
            <x14:dxf>
              <font>
                <color theme="0"/>
              </font>
              <fill>
                <patternFill>
                  <bgColor theme="0"/>
                </patternFill>
              </fill>
              <border>
                <vertical/>
                <horizontal/>
              </border>
            </x14:dxf>
          </x14:cfRule>
          <xm:sqref>N102:S102</xm:sqref>
        </x14:conditionalFormatting>
        <x14:conditionalFormatting xmlns:xm="http://schemas.microsoft.com/office/excel/2006/main">
          <x14:cfRule type="expression" priority="1085" id="{0FA4A83B-69D5-4C51-A6A3-5A737EA07BE0}">
            <xm:f>$S$8='Assessment Details'!$Q$23</xm:f>
            <x14:dxf>
              <border>
                <left style="thin">
                  <color theme="0"/>
                </left>
                <right style="thin">
                  <color theme="0"/>
                </right>
                <top style="thin">
                  <color theme="0"/>
                </top>
                <bottom style="thin">
                  <color theme="0"/>
                </bottom>
                <vertical/>
                <horizontal/>
              </border>
            </x14:dxf>
          </x14:cfRule>
          <xm:sqref>N102:S102</xm:sqref>
        </x14:conditionalFormatting>
        <x14:conditionalFormatting xmlns:xm="http://schemas.microsoft.com/office/excel/2006/main">
          <x14:cfRule type="expression" priority="1084" id="{F21151FC-D5C3-42E0-9A86-C2A9031DC0EB}">
            <xm:f>$S$8='Assessment Details'!$Q$23</xm:f>
            <x14:dxf>
              <font>
                <color theme="0"/>
              </font>
              <fill>
                <patternFill>
                  <bgColor theme="0"/>
                </patternFill>
              </fill>
              <border>
                <vertical/>
                <horizontal/>
              </border>
            </x14:dxf>
          </x14:cfRule>
          <xm:sqref>G102</xm:sqref>
        </x14:conditionalFormatting>
        <x14:conditionalFormatting xmlns:xm="http://schemas.microsoft.com/office/excel/2006/main">
          <x14:cfRule type="expression" priority="1083" id="{E0C6D475-8D15-4C28-B210-641FF14B3A49}">
            <xm:f>$S$8='Assessment Details'!$Q$23</xm:f>
            <x14:dxf>
              <border>
                <left style="thin">
                  <color theme="0"/>
                </left>
                <right style="thin">
                  <color theme="0"/>
                </right>
                <top style="thin">
                  <color theme="0"/>
                </top>
                <bottom style="thin">
                  <color theme="0"/>
                </bottom>
                <vertical/>
                <horizontal/>
              </border>
            </x14:dxf>
          </x14:cfRule>
          <xm:sqref>G102</xm:sqref>
        </x14:conditionalFormatting>
        <x14:conditionalFormatting xmlns:xm="http://schemas.microsoft.com/office/excel/2006/main">
          <x14:cfRule type="expression" priority="1082" id="{33965755-1D96-4E8D-83F2-5EC690BE09B0}">
            <xm:f>$S$8='Assessment Details'!$Q$23</xm:f>
            <x14:dxf>
              <font>
                <color theme="0"/>
              </font>
              <fill>
                <patternFill>
                  <bgColor theme="0"/>
                </patternFill>
              </fill>
              <border>
                <vertical/>
                <horizontal/>
              </border>
            </x14:dxf>
          </x14:cfRule>
          <xm:sqref>U102</xm:sqref>
        </x14:conditionalFormatting>
        <x14:conditionalFormatting xmlns:xm="http://schemas.microsoft.com/office/excel/2006/main">
          <x14:cfRule type="expression" priority="1081" id="{81DA8577-C4D2-4D60-B1A7-4DBDA5DD5CE0}">
            <xm:f>$S$8='Assessment Details'!$Q$23</xm:f>
            <x14:dxf>
              <border>
                <left style="thin">
                  <color theme="0"/>
                </left>
                <right style="thin">
                  <color theme="0"/>
                </right>
                <top style="thin">
                  <color theme="0"/>
                </top>
                <bottom style="thin">
                  <color theme="0"/>
                </bottom>
                <vertical/>
                <horizontal/>
              </border>
            </x14:dxf>
          </x14:cfRule>
          <xm:sqref>U102</xm:sqref>
        </x14:conditionalFormatting>
        <x14:conditionalFormatting xmlns:xm="http://schemas.microsoft.com/office/excel/2006/main">
          <x14:cfRule type="expression" priority="1080" id="{C3E2AB4D-853E-4EE3-A770-FB3D4DC5CFB8}">
            <xm:f>$S$8='Assessment Details'!$Q$23</xm:f>
            <x14:dxf>
              <font>
                <color theme="0"/>
              </font>
              <fill>
                <patternFill>
                  <bgColor theme="0"/>
                </patternFill>
              </fill>
              <border>
                <vertical/>
                <horizontal/>
              </border>
            </x14:dxf>
          </x14:cfRule>
          <xm:sqref>W102</xm:sqref>
        </x14:conditionalFormatting>
        <x14:conditionalFormatting xmlns:xm="http://schemas.microsoft.com/office/excel/2006/main">
          <x14:cfRule type="expression" priority="1079" id="{22F2B09E-E77C-4A35-9724-B076655A268F}">
            <xm:f>$S$8='Assessment Details'!$Q$23</xm:f>
            <x14:dxf>
              <border>
                <left style="thin">
                  <color theme="0"/>
                </left>
                <right style="thin">
                  <color theme="0"/>
                </right>
                <top style="thin">
                  <color theme="0"/>
                </top>
                <bottom style="thin">
                  <color theme="0"/>
                </bottom>
                <vertical/>
                <horizontal/>
              </border>
            </x14:dxf>
          </x14:cfRule>
          <xm:sqref>W102</xm:sqref>
        </x14:conditionalFormatting>
        <x14:conditionalFormatting xmlns:xm="http://schemas.microsoft.com/office/excel/2006/main">
          <x14:cfRule type="expression" priority="1100" id="{0253E361-59AA-4EF7-B5FB-2B4A9F3133B7}">
            <xm:f>$Z$8='Assessment Details'!$Q$23</xm:f>
            <x14:dxf>
              <font>
                <color theme="0"/>
              </font>
              <fill>
                <patternFill>
                  <bgColor theme="0"/>
                </patternFill>
              </fill>
            </x14:dxf>
          </x14:cfRule>
          <xm:sqref>U102:Z102</xm:sqref>
        </x14:conditionalFormatting>
        <x14:conditionalFormatting xmlns:xm="http://schemas.microsoft.com/office/excel/2006/main">
          <x14:cfRule type="expression" priority="1101" id="{A6659ED7-93B4-4CE8-A9C7-02A05248F6FE}">
            <xm:f>$Z$8='Assessment Details'!$Q$23</xm:f>
            <x14:dxf>
              <border>
                <left style="thin">
                  <color theme="0"/>
                </left>
                <right style="thin">
                  <color theme="0"/>
                </right>
                <top style="thin">
                  <color theme="0"/>
                </top>
                <bottom style="thin">
                  <color theme="0"/>
                </bottom>
                <vertical/>
                <horizontal/>
              </border>
            </x14:dxf>
          </x14:cfRule>
          <xm:sqref>U102:Z102</xm:sqref>
        </x14:conditionalFormatting>
        <x14:conditionalFormatting xmlns:xm="http://schemas.microsoft.com/office/excel/2006/main">
          <x14:cfRule type="expression" priority="902" id="{9C42B326-4946-45BE-9FA3-67FDB0291C68}">
            <xm:f>$S$8='Assessment Details'!$Q$23</xm:f>
            <x14:dxf>
              <font>
                <color theme="0"/>
              </font>
              <fill>
                <patternFill>
                  <bgColor theme="0"/>
                </patternFill>
              </fill>
              <border>
                <vertical/>
                <horizontal/>
              </border>
            </x14:dxf>
          </x14:cfRule>
          <xm:sqref>N38:S39 N41:S62</xm:sqref>
        </x14:conditionalFormatting>
        <x14:conditionalFormatting xmlns:xm="http://schemas.microsoft.com/office/excel/2006/main">
          <x14:cfRule type="expression" priority="901" id="{5D6CE809-3ABC-4CAA-9C25-4DCB04855D26}">
            <xm:f>$S$8='Assessment Details'!$Q$23</xm:f>
            <x14:dxf>
              <border>
                <left style="thin">
                  <color theme="0"/>
                </left>
                <right style="thin">
                  <color theme="0"/>
                </right>
                <top style="thin">
                  <color theme="0"/>
                </top>
                <bottom style="thin">
                  <color theme="0"/>
                </bottom>
                <vertical/>
                <horizontal/>
              </border>
            </x14:dxf>
          </x14:cfRule>
          <xm:sqref>N38:S39 N41:S62</xm:sqref>
        </x14:conditionalFormatting>
        <x14:conditionalFormatting xmlns:xm="http://schemas.microsoft.com/office/excel/2006/main">
          <x14:cfRule type="expression" priority="900" id="{3EB1206A-4193-4D0A-B517-6ACDCEB1C113}">
            <xm:f>$S$8='Assessment Details'!$Q$23</xm:f>
            <x14:dxf>
              <font>
                <color theme="0"/>
              </font>
              <fill>
                <patternFill>
                  <bgColor theme="0"/>
                </patternFill>
              </fill>
              <border>
                <vertical/>
                <horizontal/>
              </border>
            </x14:dxf>
          </x14:cfRule>
          <xm:sqref>G38:G39 G41:G62</xm:sqref>
        </x14:conditionalFormatting>
        <x14:conditionalFormatting xmlns:xm="http://schemas.microsoft.com/office/excel/2006/main">
          <x14:cfRule type="expression" priority="899" id="{30E26A2C-1B8E-48F0-BA66-8AFE45EE3DF2}">
            <xm:f>$S$8='Assessment Details'!$Q$23</xm:f>
            <x14:dxf>
              <border>
                <left style="thin">
                  <color theme="0"/>
                </left>
                <right style="thin">
                  <color theme="0"/>
                </right>
                <top style="thin">
                  <color theme="0"/>
                </top>
                <bottom style="thin">
                  <color theme="0"/>
                </bottom>
                <vertical/>
                <horizontal/>
              </border>
            </x14:dxf>
          </x14:cfRule>
          <xm:sqref>G38:G39 G41:G62</xm:sqref>
        </x14:conditionalFormatting>
        <x14:conditionalFormatting xmlns:xm="http://schemas.microsoft.com/office/excel/2006/main">
          <x14:cfRule type="expression" priority="898" id="{7B8499D6-4B13-49D3-B4C8-E519E69B9855}">
            <xm:f>$S$8='Assessment Details'!$Q$23</xm:f>
            <x14:dxf>
              <font>
                <color theme="0"/>
              </font>
              <fill>
                <patternFill>
                  <bgColor theme="0"/>
                </patternFill>
              </fill>
              <border>
                <vertical/>
                <horizontal/>
              </border>
            </x14:dxf>
          </x14:cfRule>
          <xm:sqref>U38:U39 U41:U62</xm:sqref>
        </x14:conditionalFormatting>
        <x14:conditionalFormatting xmlns:xm="http://schemas.microsoft.com/office/excel/2006/main">
          <x14:cfRule type="expression" priority="897" id="{A117033E-E655-4A44-BFA9-08E218A7EB1E}">
            <xm:f>$S$8='Assessment Details'!$Q$23</xm:f>
            <x14:dxf>
              <border>
                <left style="thin">
                  <color theme="0"/>
                </left>
                <right style="thin">
                  <color theme="0"/>
                </right>
                <top style="thin">
                  <color theme="0"/>
                </top>
                <bottom style="thin">
                  <color theme="0"/>
                </bottom>
                <vertical/>
                <horizontal/>
              </border>
            </x14:dxf>
          </x14:cfRule>
          <xm:sqref>U38:U39 U41:U62</xm:sqref>
        </x14:conditionalFormatting>
        <x14:conditionalFormatting xmlns:xm="http://schemas.microsoft.com/office/excel/2006/main">
          <x14:cfRule type="expression" priority="892" id="{58BBA893-EE42-479E-A228-CEB617BB1DFE}">
            <xm:f>$S$8='Assessment Details'!$Q$23</xm:f>
            <x14:dxf>
              <font>
                <color theme="0"/>
              </font>
              <fill>
                <patternFill>
                  <bgColor theme="0"/>
                </patternFill>
              </fill>
              <border>
                <vertical/>
                <horizontal/>
              </border>
            </x14:dxf>
          </x14:cfRule>
          <xm:sqref>N38:N39 N41:N62</xm:sqref>
        </x14:conditionalFormatting>
        <x14:conditionalFormatting xmlns:xm="http://schemas.microsoft.com/office/excel/2006/main">
          <x14:cfRule type="expression" priority="891" id="{60E74A6C-F277-4877-A9A1-CD29765B9645}">
            <xm:f>$S$8='Assessment Details'!$Q$23</xm:f>
            <x14:dxf>
              <border>
                <left style="thin">
                  <color theme="0"/>
                </left>
                <right style="thin">
                  <color theme="0"/>
                </right>
                <top style="thin">
                  <color theme="0"/>
                </top>
                <bottom style="thin">
                  <color theme="0"/>
                </bottom>
                <vertical/>
                <horizontal/>
              </border>
            </x14:dxf>
          </x14:cfRule>
          <xm:sqref>N38:N39 N41:N62</xm:sqref>
        </x14:conditionalFormatting>
        <x14:conditionalFormatting xmlns:xm="http://schemas.microsoft.com/office/excel/2006/main">
          <x14:cfRule type="expression" priority="886" id="{BB31C667-15BE-44DF-8F3B-9A880991D59B}">
            <xm:f>$S$8='Assessment Details'!$Q$23</xm:f>
            <x14:dxf>
              <font>
                <color theme="0"/>
              </font>
              <fill>
                <patternFill>
                  <bgColor theme="0"/>
                </patternFill>
              </fill>
              <border>
                <vertical/>
                <horizontal/>
              </border>
            </x14:dxf>
          </x14:cfRule>
          <xm:sqref>U38:U39 U41:U62</xm:sqref>
        </x14:conditionalFormatting>
        <x14:conditionalFormatting xmlns:xm="http://schemas.microsoft.com/office/excel/2006/main">
          <x14:cfRule type="expression" priority="885" id="{24CC7E33-6DA0-4FC9-B3D0-1954DB89AA81}">
            <xm:f>$S$8='Assessment Details'!$Q$23</xm:f>
            <x14:dxf>
              <border>
                <left style="thin">
                  <color theme="0"/>
                </left>
                <right style="thin">
                  <color theme="0"/>
                </right>
                <top style="thin">
                  <color theme="0"/>
                </top>
                <bottom style="thin">
                  <color theme="0"/>
                </bottom>
                <vertical/>
                <horizontal/>
              </border>
            </x14:dxf>
          </x14:cfRule>
          <xm:sqref>U38:U39 U41:U62</xm:sqref>
        </x14:conditionalFormatting>
        <x14:conditionalFormatting xmlns:xm="http://schemas.microsoft.com/office/excel/2006/main">
          <x14:cfRule type="expression" priority="884" id="{929D4BA1-9A0C-4A8B-A3B4-6BCE04D15D41}">
            <xm:f>$S$8='Assessment Details'!$Q$23</xm:f>
            <x14:dxf>
              <font>
                <color theme="0"/>
              </font>
              <fill>
                <patternFill>
                  <bgColor theme="0"/>
                </patternFill>
              </fill>
              <border>
                <vertical/>
                <horizontal/>
              </border>
            </x14:dxf>
          </x14:cfRule>
          <xm:sqref>W38:W39 W41:W62</xm:sqref>
        </x14:conditionalFormatting>
        <x14:conditionalFormatting xmlns:xm="http://schemas.microsoft.com/office/excel/2006/main">
          <x14:cfRule type="expression" priority="883" id="{88D20FA6-DEF5-489A-861F-47DA95BA509C}">
            <xm:f>$S$8='Assessment Details'!$Q$23</xm:f>
            <x14:dxf>
              <border>
                <left style="thin">
                  <color theme="0"/>
                </left>
                <right style="thin">
                  <color theme="0"/>
                </right>
                <top style="thin">
                  <color theme="0"/>
                </top>
                <bottom style="thin">
                  <color theme="0"/>
                </bottom>
                <vertical/>
                <horizontal/>
              </border>
            </x14:dxf>
          </x14:cfRule>
          <xm:sqref>W38:W39 W41:W62</xm:sqref>
        </x14:conditionalFormatting>
        <x14:conditionalFormatting xmlns:xm="http://schemas.microsoft.com/office/excel/2006/main">
          <x14:cfRule type="expression" priority="916" id="{C66728D3-1D28-4219-89FD-72DCBD8DE62E}">
            <xm:f>$Z$8='Assessment Details'!$Q$23</xm:f>
            <x14:dxf>
              <font>
                <color theme="0"/>
              </font>
              <fill>
                <patternFill>
                  <bgColor theme="0"/>
                </patternFill>
              </fill>
            </x14:dxf>
          </x14:cfRule>
          <xm:sqref>U38:Z39 U41:Z62</xm:sqref>
        </x14:conditionalFormatting>
        <x14:conditionalFormatting xmlns:xm="http://schemas.microsoft.com/office/excel/2006/main">
          <x14:cfRule type="expression" priority="917" id="{57837F53-3A9F-4F0C-854D-8A4F5A398BCE}">
            <xm:f>$Z$8='Assessment Details'!$Q$23</xm:f>
            <x14:dxf>
              <border>
                <left style="thin">
                  <color theme="0"/>
                </left>
                <right style="thin">
                  <color theme="0"/>
                </right>
                <top style="thin">
                  <color theme="0"/>
                </top>
                <bottom style="thin">
                  <color theme="0"/>
                </bottom>
                <vertical/>
                <horizontal/>
              </border>
            </x14:dxf>
          </x14:cfRule>
          <xm:sqref>U38:Z39 U41:Z62</xm:sqref>
        </x14:conditionalFormatting>
        <x14:conditionalFormatting xmlns:xm="http://schemas.microsoft.com/office/excel/2006/main">
          <x14:cfRule type="expression" priority="867" id="{4FCADA7D-A197-4415-9BA2-3504C54CD72D}">
            <xm:f>$S$8='Assessment Details'!$Q$23</xm:f>
            <x14:dxf>
              <font>
                <color theme="0"/>
              </font>
              <fill>
                <patternFill>
                  <bgColor theme="0"/>
                </patternFill>
              </fill>
              <border>
                <vertical/>
                <horizontal/>
              </border>
            </x14:dxf>
          </x14:cfRule>
          <xm:sqref>N66:S70</xm:sqref>
        </x14:conditionalFormatting>
        <x14:conditionalFormatting xmlns:xm="http://schemas.microsoft.com/office/excel/2006/main">
          <x14:cfRule type="expression" priority="866" id="{FB2B46D0-D2BC-403B-922F-12790164563A}">
            <xm:f>$S$8='Assessment Details'!$Q$23</xm:f>
            <x14:dxf>
              <border>
                <left style="thin">
                  <color theme="0"/>
                </left>
                <right style="thin">
                  <color theme="0"/>
                </right>
                <top style="thin">
                  <color theme="0"/>
                </top>
                <bottom style="thin">
                  <color theme="0"/>
                </bottom>
                <vertical/>
                <horizontal/>
              </border>
            </x14:dxf>
          </x14:cfRule>
          <xm:sqref>N66:S70</xm:sqref>
        </x14:conditionalFormatting>
        <x14:conditionalFormatting xmlns:xm="http://schemas.microsoft.com/office/excel/2006/main">
          <x14:cfRule type="expression" priority="865" id="{E2A84904-571E-4F8D-95B1-9B870836F8EA}">
            <xm:f>$S$8='Assessment Details'!$Q$23</xm:f>
            <x14:dxf>
              <font>
                <color theme="0"/>
              </font>
              <fill>
                <patternFill>
                  <bgColor theme="0"/>
                </patternFill>
              </fill>
              <border>
                <vertical/>
                <horizontal/>
              </border>
            </x14:dxf>
          </x14:cfRule>
          <xm:sqref>G66:G70</xm:sqref>
        </x14:conditionalFormatting>
        <x14:conditionalFormatting xmlns:xm="http://schemas.microsoft.com/office/excel/2006/main">
          <x14:cfRule type="expression" priority="864" id="{EA486EF2-13DC-46B1-BF5A-E0AB6C967967}">
            <xm:f>$S$8='Assessment Details'!$Q$23</xm:f>
            <x14:dxf>
              <border>
                <left style="thin">
                  <color theme="0"/>
                </left>
                <right style="thin">
                  <color theme="0"/>
                </right>
                <top style="thin">
                  <color theme="0"/>
                </top>
                <bottom style="thin">
                  <color theme="0"/>
                </bottom>
                <vertical/>
                <horizontal/>
              </border>
            </x14:dxf>
          </x14:cfRule>
          <xm:sqref>G66:G70</xm:sqref>
        </x14:conditionalFormatting>
        <x14:conditionalFormatting xmlns:xm="http://schemas.microsoft.com/office/excel/2006/main">
          <x14:cfRule type="expression" priority="863" id="{15950DC4-CC84-44B1-AC60-7AF91F1FDD6F}">
            <xm:f>$S$8='Assessment Details'!$Q$23</xm:f>
            <x14:dxf>
              <font>
                <color theme="0"/>
              </font>
              <fill>
                <patternFill>
                  <bgColor theme="0"/>
                </patternFill>
              </fill>
              <border>
                <vertical/>
                <horizontal/>
              </border>
            </x14:dxf>
          </x14:cfRule>
          <xm:sqref>U66:U70</xm:sqref>
        </x14:conditionalFormatting>
        <x14:conditionalFormatting xmlns:xm="http://schemas.microsoft.com/office/excel/2006/main">
          <x14:cfRule type="expression" priority="862" id="{B667FFB4-5A4F-4B9A-90AD-6C8824424B54}">
            <xm:f>$S$8='Assessment Details'!$Q$23</xm:f>
            <x14:dxf>
              <border>
                <left style="thin">
                  <color theme="0"/>
                </left>
                <right style="thin">
                  <color theme="0"/>
                </right>
                <top style="thin">
                  <color theme="0"/>
                </top>
                <bottom style="thin">
                  <color theme="0"/>
                </bottom>
                <vertical/>
                <horizontal/>
              </border>
            </x14:dxf>
          </x14:cfRule>
          <xm:sqref>U66:U70</xm:sqref>
        </x14:conditionalFormatting>
        <x14:conditionalFormatting xmlns:xm="http://schemas.microsoft.com/office/excel/2006/main">
          <x14:cfRule type="expression" priority="857" id="{62E45316-1115-49E1-B404-4F808D4A7630}">
            <xm:f>$S$8='Assessment Details'!$Q$23</xm:f>
            <x14:dxf>
              <font>
                <color theme="0"/>
              </font>
              <fill>
                <patternFill>
                  <bgColor theme="0"/>
                </patternFill>
              </fill>
              <border>
                <vertical/>
                <horizontal/>
              </border>
            </x14:dxf>
          </x14:cfRule>
          <xm:sqref>N66:N70</xm:sqref>
        </x14:conditionalFormatting>
        <x14:conditionalFormatting xmlns:xm="http://schemas.microsoft.com/office/excel/2006/main">
          <x14:cfRule type="expression" priority="856" id="{EE69091F-85CF-4D4C-87ED-CA760913C1BA}">
            <xm:f>$S$8='Assessment Details'!$Q$23</xm:f>
            <x14:dxf>
              <border>
                <left style="thin">
                  <color theme="0"/>
                </left>
                <right style="thin">
                  <color theme="0"/>
                </right>
                <top style="thin">
                  <color theme="0"/>
                </top>
                <bottom style="thin">
                  <color theme="0"/>
                </bottom>
                <vertical/>
                <horizontal/>
              </border>
            </x14:dxf>
          </x14:cfRule>
          <xm:sqref>N66:N70</xm:sqref>
        </x14:conditionalFormatting>
        <x14:conditionalFormatting xmlns:xm="http://schemas.microsoft.com/office/excel/2006/main">
          <x14:cfRule type="expression" priority="851" id="{23C69510-D6C1-47E6-A291-45444BED47B6}">
            <xm:f>$S$8='Assessment Details'!$Q$23</xm:f>
            <x14:dxf>
              <font>
                <color theme="0"/>
              </font>
              <fill>
                <patternFill>
                  <bgColor theme="0"/>
                </patternFill>
              </fill>
              <border>
                <vertical/>
                <horizontal/>
              </border>
            </x14:dxf>
          </x14:cfRule>
          <xm:sqref>U66:U70</xm:sqref>
        </x14:conditionalFormatting>
        <x14:conditionalFormatting xmlns:xm="http://schemas.microsoft.com/office/excel/2006/main">
          <x14:cfRule type="expression" priority="850" id="{0C34D3B8-4096-4716-9C2A-64A7B6470AFB}">
            <xm:f>$S$8='Assessment Details'!$Q$23</xm:f>
            <x14:dxf>
              <border>
                <left style="thin">
                  <color theme="0"/>
                </left>
                <right style="thin">
                  <color theme="0"/>
                </right>
                <top style="thin">
                  <color theme="0"/>
                </top>
                <bottom style="thin">
                  <color theme="0"/>
                </bottom>
                <vertical/>
                <horizontal/>
              </border>
            </x14:dxf>
          </x14:cfRule>
          <xm:sqref>U66:U70</xm:sqref>
        </x14:conditionalFormatting>
        <x14:conditionalFormatting xmlns:xm="http://schemas.microsoft.com/office/excel/2006/main">
          <x14:cfRule type="expression" priority="849" id="{91C3642B-20F9-48C8-BBCE-E25B520CAF1E}">
            <xm:f>$S$8='Assessment Details'!$Q$23</xm:f>
            <x14:dxf>
              <font>
                <color theme="0"/>
              </font>
              <fill>
                <patternFill>
                  <bgColor theme="0"/>
                </patternFill>
              </fill>
              <border>
                <vertical/>
                <horizontal/>
              </border>
            </x14:dxf>
          </x14:cfRule>
          <xm:sqref>W66:W70</xm:sqref>
        </x14:conditionalFormatting>
        <x14:conditionalFormatting xmlns:xm="http://schemas.microsoft.com/office/excel/2006/main">
          <x14:cfRule type="expression" priority="848" id="{07FA1C11-BD85-4132-BD42-DA6D5718C888}">
            <xm:f>$S$8='Assessment Details'!$Q$23</xm:f>
            <x14:dxf>
              <border>
                <left style="thin">
                  <color theme="0"/>
                </left>
                <right style="thin">
                  <color theme="0"/>
                </right>
                <top style="thin">
                  <color theme="0"/>
                </top>
                <bottom style="thin">
                  <color theme="0"/>
                </bottom>
                <vertical/>
                <horizontal/>
              </border>
            </x14:dxf>
          </x14:cfRule>
          <xm:sqref>W66:W70</xm:sqref>
        </x14:conditionalFormatting>
        <x14:conditionalFormatting xmlns:xm="http://schemas.microsoft.com/office/excel/2006/main">
          <x14:cfRule type="expression" priority="881" id="{C3B53F49-D624-4668-A88D-CC265C4732FF}">
            <xm:f>$Z$8='Assessment Details'!$Q$23</xm:f>
            <x14:dxf>
              <font>
                <color theme="0"/>
              </font>
              <fill>
                <patternFill>
                  <bgColor theme="0"/>
                </patternFill>
              </fill>
            </x14:dxf>
          </x14:cfRule>
          <xm:sqref>U66:Z70</xm:sqref>
        </x14:conditionalFormatting>
        <x14:conditionalFormatting xmlns:xm="http://schemas.microsoft.com/office/excel/2006/main">
          <x14:cfRule type="expression" priority="882" id="{DB88EE05-05EF-43A8-9AA0-6A823E6BC540}">
            <xm:f>$Z$8='Assessment Details'!$Q$23</xm:f>
            <x14:dxf>
              <border>
                <left style="thin">
                  <color theme="0"/>
                </left>
                <right style="thin">
                  <color theme="0"/>
                </right>
                <top style="thin">
                  <color theme="0"/>
                </top>
                <bottom style="thin">
                  <color theme="0"/>
                </bottom>
                <vertical/>
                <horizontal/>
              </border>
            </x14:dxf>
          </x14:cfRule>
          <xm:sqref>U66:Z70</xm:sqref>
        </x14:conditionalFormatting>
        <x14:conditionalFormatting xmlns:xm="http://schemas.microsoft.com/office/excel/2006/main">
          <x14:cfRule type="expression" priority="832" id="{1BD591E1-08F2-4CEF-981B-4CB9B55473D0}">
            <xm:f>$S$8='Assessment Details'!$Q$23</xm:f>
            <x14:dxf>
              <font>
                <color theme="0"/>
              </font>
              <fill>
                <patternFill>
                  <bgColor theme="0"/>
                </patternFill>
              </fill>
              <border>
                <vertical/>
                <horizontal/>
              </border>
            </x14:dxf>
          </x14:cfRule>
          <xm:sqref>N96:S101</xm:sqref>
        </x14:conditionalFormatting>
        <x14:conditionalFormatting xmlns:xm="http://schemas.microsoft.com/office/excel/2006/main">
          <x14:cfRule type="expression" priority="831" id="{9F776836-5CD3-462B-9032-6508E16C50BC}">
            <xm:f>$S$8='Assessment Details'!$Q$23</xm:f>
            <x14:dxf>
              <border>
                <left style="thin">
                  <color theme="0"/>
                </left>
                <right style="thin">
                  <color theme="0"/>
                </right>
                <top style="thin">
                  <color theme="0"/>
                </top>
                <bottom style="thin">
                  <color theme="0"/>
                </bottom>
                <vertical/>
                <horizontal/>
              </border>
            </x14:dxf>
          </x14:cfRule>
          <xm:sqref>N96:S101</xm:sqref>
        </x14:conditionalFormatting>
        <x14:conditionalFormatting xmlns:xm="http://schemas.microsoft.com/office/excel/2006/main">
          <x14:cfRule type="expression" priority="830" id="{E06107F4-0797-42C3-AF12-3E69A082790E}">
            <xm:f>$S$8='Assessment Details'!$Q$23</xm:f>
            <x14:dxf>
              <font>
                <color theme="0"/>
              </font>
              <fill>
                <patternFill>
                  <bgColor theme="0"/>
                </patternFill>
              </fill>
              <border>
                <vertical/>
                <horizontal/>
              </border>
            </x14:dxf>
          </x14:cfRule>
          <xm:sqref>G96:G101</xm:sqref>
        </x14:conditionalFormatting>
        <x14:conditionalFormatting xmlns:xm="http://schemas.microsoft.com/office/excel/2006/main">
          <x14:cfRule type="expression" priority="829" id="{00C83373-3E86-4A05-A623-37C5B664E25B}">
            <xm:f>$S$8='Assessment Details'!$Q$23</xm:f>
            <x14:dxf>
              <border>
                <left style="thin">
                  <color theme="0"/>
                </left>
                <right style="thin">
                  <color theme="0"/>
                </right>
                <top style="thin">
                  <color theme="0"/>
                </top>
                <bottom style="thin">
                  <color theme="0"/>
                </bottom>
                <vertical/>
                <horizontal/>
              </border>
            </x14:dxf>
          </x14:cfRule>
          <xm:sqref>G96:G101</xm:sqref>
        </x14:conditionalFormatting>
        <x14:conditionalFormatting xmlns:xm="http://schemas.microsoft.com/office/excel/2006/main">
          <x14:cfRule type="expression" priority="828" id="{5961EE5E-4BD1-4B3C-9C32-851077EA884D}">
            <xm:f>$S$8='Assessment Details'!$Q$23</xm:f>
            <x14:dxf>
              <font>
                <color theme="0"/>
              </font>
              <fill>
                <patternFill>
                  <bgColor theme="0"/>
                </patternFill>
              </fill>
              <border>
                <vertical/>
                <horizontal/>
              </border>
            </x14:dxf>
          </x14:cfRule>
          <xm:sqref>U96:U101</xm:sqref>
        </x14:conditionalFormatting>
        <x14:conditionalFormatting xmlns:xm="http://schemas.microsoft.com/office/excel/2006/main">
          <x14:cfRule type="expression" priority="827" id="{333D927D-615B-45D6-87AC-469DC68A1A11}">
            <xm:f>$S$8='Assessment Details'!$Q$23</xm:f>
            <x14:dxf>
              <border>
                <left style="thin">
                  <color theme="0"/>
                </left>
                <right style="thin">
                  <color theme="0"/>
                </right>
                <top style="thin">
                  <color theme="0"/>
                </top>
                <bottom style="thin">
                  <color theme="0"/>
                </bottom>
                <vertical/>
                <horizontal/>
              </border>
            </x14:dxf>
          </x14:cfRule>
          <xm:sqref>U96:U101</xm:sqref>
        </x14:conditionalFormatting>
        <x14:conditionalFormatting xmlns:xm="http://schemas.microsoft.com/office/excel/2006/main">
          <x14:cfRule type="expression" priority="822" id="{E6B6E013-951B-4DFA-97E6-BCEE0A6E2E5A}">
            <xm:f>$S$8='Assessment Details'!$Q$23</xm:f>
            <x14:dxf>
              <font>
                <color theme="0"/>
              </font>
              <fill>
                <patternFill>
                  <bgColor theme="0"/>
                </patternFill>
              </fill>
              <border>
                <vertical/>
                <horizontal/>
              </border>
            </x14:dxf>
          </x14:cfRule>
          <xm:sqref>N96:N101</xm:sqref>
        </x14:conditionalFormatting>
        <x14:conditionalFormatting xmlns:xm="http://schemas.microsoft.com/office/excel/2006/main">
          <x14:cfRule type="expression" priority="821" id="{DB63DD7B-A191-4D5E-A766-8ED092A8AD25}">
            <xm:f>$S$8='Assessment Details'!$Q$23</xm:f>
            <x14:dxf>
              <border>
                <left style="thin">
                  <color theme="0"/>
                </left>
                <right style="thin">
                  <color theme="0"/>
                </right>
                <top style="thin">
                  <color theme="0"/>
                </top>
                <bottom style="thin">
                  <color theme="0"/>
                </bottom>
                <vertical/>
                <horizontal/>
              </border>
            </x14:dxf>
          </x14:cfRule>
          <xm:sqref>N96:N101</xm:sqref>
        </x14:conditionalFormatting>
        <x14:conditionalFormatting xmlns:xm="http://schemas.microsoft.com/office/excel/2006/main">
          <x14:cfRule type="expression" priority="816" id="{F7F980A3-F13E-48B5-8235-DF2D2320CBA3}">
            <xm:f>$S$8='Assessment Details'!$Q$23</xm:f>
            <x14:dxf>
              <font>
                <color theme="0"/>
              </font>
              <fill>
                <patternFill>
                  <bgColor theme="0"/>
                </patternFill>
              </fill>
              <border>
                <vertical/>
                <horizontal/>
              </border>
            </x14:dxf>
          </x14:cfRule>
          <xm:sqref>U96:U101</xm:sqref>
        </x14:conditionalFormatting>
        <x14:conditionalFormatting xmlns:xm="http://schemas.microsoft.com/office/excel/2006/main">
          <x14:cfRule type="expression" priority="815" id="{EDE00C90-27FD-4C1B-8983-B51F2271A337}">
            <xm:f>$S$8='Assessment Details'!$Q$23</xm:f>
            <x14:dxf>
              <border>
                <left style="thin">
                  <color theme="0"/>
                </left>
                <right style="thin">
                  <color theme="0"/>
                </right>
                <top style="thin">
                  <color theme="0"/>
                </top>
                <bottom style="thin">
                  <color theme="0"/>
                </bottom>
                <vertical/>
                <horizontal/>
              </border>
            </x14:dxf>
          </x14:cfRule>
          <xm:sqref>U96:U101</xm:sqref>
        </x14:conditionalFormatting>
        <x14:conditionalFormatting xmlns:xm="http://schemas.microsoft.com/office/excel/2006/main">
          <x14:cfRule type="expression" priority="814" id="{45013F25-A8CD-4875-A8F3-EDB96D31D8DB}">
            <xm:f>$S$8='Assessment Details'!$Q$23</xm:f>
            <x14:dxf>
              <font>
                <color theme="0"/>
              </font>
              <fill>
                <patternFill>
                  <bgColor theme="0"/>
                </patternFill>
              </fill>
              <border>
                <vertical/>
                <horizontal/>
              </border>
            </x14:dxf>
          </x14:cfRule>
          <xm:sqref>W96:W101</xm:sqref>
        </x14:conditionalFormatting>
        <x14:conditionalFormatting xmlns:xm="http://schemas.microsoft.com/office/excel/2006/main">
          <x14:cfRule type="expression" priority="813" id="{38486A5C-B729-4422-8536-52FE6D7F340B}">
            <xm:f>$S$8='Assessment Details'!$Q$23</xm:f>
            <x14:dxf>
              <border>
                <left style="thin">
                  <color theme="0"/>
                </left>
                <right style="thin">
                  <color theme="0"/>
                </right>
                <top style="thin">
                  <color theme="0"/>
                </top>
                <bottom style="thin">
                  <color theme="0"/>
                </bottom>
                <vertical/>
                <horizontal/>
              </border>
            </x14:dxf>
          </x14:cfRule>
          <xm:sqref>W96:W101</xm:sqref>
        </x14:conditionalFormatting>
        <x14:conditionalFormatting xmlns:xm="http://schemas.microsoft.com/office/excel/2006/main">
          <x14:cfRule type="expression" priority="846" id="{523FC504-EDF4-4B28-90CA-F81484708F8D}">
            <xm:f>$Z$8='Assessment Details'!$Q$23</xm:f>
            <x14:dxf>
              <font>
                <color theme="0"/>
              </font>
              <fill>
                <patternFill>
                  <bgColor theme="0"/>
                </patternFill>
              </fill>
            </x14:dxf>
          </x14:cfRule>
          <xm:sqref>U96:Z101</xm:sqref>
        </x14:conditionalFormatting>
        <x14:conditionalFormatting xmlns:xm="http://schemas.microsoft.com/office/excel/2006/main">
          <x14:cfRule type="expression" priority="847" id="{95A0CC1A-0E54-40AC-818C-C97BF29A60BC}">
            <xm:f>$Z$8='Assessment Details'!$Q$23</xm:f>
            <x14:dxf>
              <border>
                <left style="thin">
                  <color theme="0"/>
                </left>
                <right style="thin">
                  <color theme="0"/>
                </right>
                <top style="thin">
                  <color theme="0"/>
                </top>
                <bottom style="thin">
                  <color theme="0"/>
                </bottom>
                <vertical/>
                <horizontal/>
              </border>
            </x14:dxf>
          </x14:cfRule>
          <xm:sqref>U96:Z101</xm:sqref>
        </x14:conditionalFormatting>
        <x14:conditionalFormatting xmlns:xm="http://schemas.microsoft.com/office/excel/2006/main">
          <x14:cfRule type="expression" priority="797" id="{7DE336E1-E5D4-401E-B8D4-7A63000DEAC3}">
            <xm:f>$S$8='Assessment Details'!$Q$23</xm:f>
            <x14:dxf>
              <font>
                <color theme="0"/>
              </font>
              <fill>
                <patternFill>
                  <bgColor theme="0"/>
                </patternFill>
              </fill>
              <border>
                <vertical/>
                <horizontal/>
              </border>
            </x14:dxf>
          </x14:cfRule>
          <xm:sqref>N105:S115</xm:sqref>
        </x14:conditionalFormatting>
        <x14:conditionalFormatting xmlns:xm="http://schemas.microsoft.com/office/excel/2006/main">
          <x14:cfRule type="expression" priority="796" id="{49DA29B4-1630-47B1-A291-04E2B0538837}">
            <xm:f>$S$8='Assessment Details'!$Q$23</xm:f>
            <x14:dxf>
              <border>
                <left style="thin">
                  <color theme="0"/>
                </left>
                <right style="thin">
                  <color theme="0"/>
                </right>
                <top style="thin">
                  <color theme="0"/>
                </top>
                <bottom style="thin">
                  <color theme="0"/>
                </bottom>
                <vertical/>
                <horizontal/>
              </border>
            </x14:dxf>
          </x14:cfRule>
          <xm:sqref>N105:S115</xm:sqref>
        </x14:conditionalFormatting>
        <x14:conditionalFormatting xmlns:xm="http://schemas.microsoft.com/office/excel/2006/main">
          <x14:cfRule type="expression" priority="795" id="{BA618F41-E642-4287-8CC1-4B1B638FEB3B}">
            <xm:f>$S$8='Assessment Details'!$Q$23</xm:f>
            <x14:dxf>
              <font>
                <color theme="0"/>
              </font>
              <fill>
                <patternFill>
                  <bgColor theme="0"/>
                </patternFill>
              </fill>
              <border>
                <vertical/>
                <horizontal/>
              </border>
            </x14:dxf>
          </x14:cfRule>
          <xm:sqref>G105:G115</xm:sqref>
        </x14:conditionalFormatting>
        <x14:conditionalFormatting xmlns:xm="http://schemas.microsoft.com/office/excel/2006/main">
          <x14:cfRule type="expression" priority="794" id="{DF510D98-611C-4B4E-AD84-C8B3C1C3E16A}">
            <xm:f>$S$8='Assessment Details'!$Q$23</xm:f>
            <x14:dxf>
              <border>
                <left style="thin">
                  <color theme="0"/>
                </left>
                <right style="thin">
                  <color theme="0"/>
                </right>
                <top style="thin">
                  <color theme="0"/>
                </top>
                <bottom style="thin">
                  <color theme="0"/>
                </bottom>
                <vertical/>
                <horizontal/>
              </border>
            </x14:dxf>
          </x14:cfRule>
          <xm:sqref>G105:G115</xm:sqref>
        </x14:conditionalFormatting>
        <x14:conditionalFormatting xmlns:xm="http://schemas.microsoft.com/office/excel/2006/main">
          <x14:cfRule type="expression" priority="793" id="{756983B4-32DB-4712-9E4A-B0195C7F9967}">
            <xm:f>$S$8='Assessment Details'!$Q$23</xm:f>
            <x14:dxf>
              <font>
                <color theme="0"/>
              </font>
              <fill>
                <patternFill>
                  <bgColor theme="0"/>
                </patternFill>
              </fill>
              <border>
                <vertical/>
                <horizontal/>
              </border>
            </x14:dxf>
          </x14:cfRule>
          <xm:sqref>U105:U115</xm:sqref>
        </x14:conditionalFormatting>
        <x14:conditionalFormatting xmlns:xm="http://schemas.microsoft.com/office/excel/2006/main">
          <x14:cfRule type="expression" priority="792" id="{067A6CDD-7B63-4779-B8F0-E078EAC87BBB}">
            <xm:f>$S$8='Assessment Details'!$Q$23</xm:f>
            <x14:dxf>
              <border>
                <left style="thin">
                  <color theme="0"/>
                </left>
                <right style="thin">
                  <color theme="0"/>
                </right>
                <top style="thin">
                  <color theme="0"/>
                </top>
                <bottom style="thin">
                  <color theme="0"/>
                </bottom>
                <vertical/>
                <horizontal/>
              </border>
            </x14:dxf>
          </x14:cfRule>
          <xm:sqref>U105:U115</xm:sqref>
        </x14:conditionalFormatting>
        <x14:conditionalFormatting xmlns:xm="http://schemas.microsoft.com/office/excel/2006/main">
          <x14:cfRule type="expression" priority="787" id="{96519392-41EB-42E7-94C2-5B2168E527EE}">
            <xm:f>$S$8='Assessment Details'!$Q$23</xm:f>
            <x14:dxf>
              <font>
                <color theme="0"/>
              </font>
              <fill>
                <patternFill>
                  <bgColor theme="0"/>
                </patternFill>
              </fill>
              <border>
                <vertical/>
                <horizontal/>
              </border>
            </x14:dxf>
          </x14:cfRule>
          <xm:sqref>N105:N115</xm:sqref>
        </x14:conditionalFormatting>
        <x14:conditionalFormatting xmlns:xm="http://schemas.microsoft.com/office/excel/2006/main">
          <x14:cfRule type="expression" priority="786" id="{750009DF-3B7E-4232-9FC0-8318C8C849AC}">
            <xm:f>$S$8='Assessment Details'!$Q$23</xm:f>
            <x14:dxf>
              <border>
                <left style="thin">
                  <color theme="0"/>
                </left>
                <right style="thin">
                  <color theme="0"/>
                </right>
                <top style="thin">
                  <color theme="0"/>
                </top>
                <bottom style="thin">
                  <color theme="0"/>
                </bottom>
                <vertical/>
                <horizontal/>
              </border>
            </x14:dxf>
          </x14:cfRule>
          <xm:sqref>N105:N115</xm:sqref>
        </x14:conditionalFormatting>
        <x14:conditionalFormatting xmlns:xm="http://schemas.microsoft.com/office/excel/2006/main">
          <x14:cfRule type="expression" priority="781" id="{7E831641-C107-4F72-8604-4E0AEFAA2B69}">
            <xm:f>$S$8='Assessment Details'!$Q$23</xm:f>
            <x14:dxf>
              <font>
                <color theme="0"/>
              </font>
              <fill>
                <patternFill>
                  <bgColor theme="0"/>
                </patternFill>
              </fill>
              <border>
                <vertical/>
                <horizontal/>
              </border>
            </x14:dxf>
          </x14:cfRule>
          <xm:sqref>U105:U115</xm:sqref>
        </x14:conditionalFormatting>
        <x14:conditionalFormatting xmlns:xm="http://schemas.microsoft.com/office/excel/2006/main">
          <x14:cfRule type="expression" priority="780" id="{E32F43E0-B962-4DF3-A9EC-3935053A07E3}">
            <xm:f>$S$8='Assessment Details'!$Q$23</xm:f>
            <x14:dxf>
              <border>
                <left style="thin">
                  <color theme="0"/>
                </left>
                <right style="thin">
                  <color theme="0"/>
                </right>
                <top style="thin">
                  <color theme="0"/>
                </top>
                <bottom style="thin">
                  <color theme="0"/>
                </bottom>
                <vertical/>
                <horizontal/>
              </border>
            </x14:dxf>
          </x14:cfRule>
          <xm:sqref>U105:U115</xm:sqref>
        </x14:conditionalFormatting>
        <x14:conditionalFormatting xmlns:xm="http://schemas.microsoft.com/office/excel/2006/main">
          <x14:cfRule type="expression" priority="779" id="{0BB5ED4B-026F-4928-A4EE-B96D789885DA}">
            <xm:f>$S$8='Assessment Details'!$Q$23</xm:f>
            <x14:dxf>
              <font>
                <color theme="0"/>
              </font>
              <fill>
                <patternFill>
                  <bgColor theme="0"/>
                </patternFill>
              </fill>
              <border>
                <vertical/>
                <horizontal/>
              </border>
            </x14:dxf>
          </x14:cfRule>
          <xm:sqref>W105:W115</xm:sqref>
        </x14:conditionalFormatting>
        <x14:conditionalFormatting xmlns:xm="http://schemas.microsoft.com/office/excel/2006/main">
          <x14:cfRule type="expression" priority="778" id="{BC45D543-FEDC-456A-AE61-F84314511591}">
            <xm:f>$S$8='Assessment Details'!$Q$23</xm:f>
            <x14:dxf>
              <border>
                <left style="thin">
                  <color theme="0"/>
                </left>
                <right style="thin">
                  <color theme="0"/>
                </right>
                <top style="thin">
                  <color theme="0"/>
                </top>
                <bottom style="thin">
                  <color theme="0"/>
                </bottom>
                <vertical/>
                <horizontal/>
              </border>
            </x14:dxf>
          </x14:cfRule>
          <xm:sqref>W105:W115</xm:sqref>
        </x14:conditionalFormatting>
        <x14:conditionalFormatting xmlns:xm="http://schemas.microsoft.com/office/excel/2006/main">
          <x14:cfRule type="expression" priority="811" id="{B1599C0C-1824-4B77-A646-BB9489929227}">
            <xm:f>$Z$8='Assessment Details'!$Q$23</xm:f>
            <x14:dxf>
              <font>
                <color theme="0"/>
              </font>
              <fill>
                <patternFill>
                  <bgColor theme="0"/>
                </patternFill>
              </fill>
            </x14:dxf>
          </x14:cfRule>
          <xm:sqref>U105:Z115</xm:sqref>
        </x14:conditionalFormatting>
        <x14:conditionalFormatting xmlns:xm="http://schemas.microsoft.com/office/excel/2006/main">
          <x14:cfRule type="expression" priority="812" id="{7C24B3D7-69A8-472F-9AC4-971295E49E8C}">
            <xm:f>$Z$8='Assessment Details'!$Q$23</xm:f>
            <x14:dxf>
              <border>
                <left style="thin">
                  <color theme="0"/>
                </left>
                <right style="thin">
                  <color theme="0"/>
                </right>
                <top style="thin">
                  <color theme="0"/>
                </top>
                <bottom style="thin">
                  <color theme="0"/>
                </bottom>
                <vertical/>
                <horizontal/>
              </border>
            </x14:dxf>
          </x14:cfRule>
          <xm:sqref>U105:Z115</xm:sqref>
        </x14:conditionalFormatting>
        <x14:conditionalFormatting xmlns:xm="http://schemas.microsoft.com/office/excel/2006/main">
          <x14:cfRule type="expression" priority="762" id="{F63492DD-25C4-472D-9AFC-29D0F2FFCA4E}">
            <xm:f>$S$8='Assessment Details'!$Q$23</xm:f>
            <x14:dxf>
              <font>
                <color theme="0"/>
              </font>
              <fill>
                <patternFill>
                  <bgColor theme="0"/>
                </patternFill>
              </fill>
              <border>
                <vertical/>
                <horizontal/>
              </border>
            </x14:dxf>
          </x14:cfRule>
          <xm:sqref>N119:S145</xm:sqref>
        </x14:conditionalFormatting>
        <x14:conditionalFormatting xmlns:xm="http://schemas.microsoft.com/office/excel/2006/main">
          <x14:cfRule type="expression" priority="761" id="{F8AC1FE8-B5C4-4AF3-AA72-D2DCF4E1FFC1}">
            <xm:f>$S$8='Assessment Details'!$Q$23</xm:f>
            <x14:dxf>
              <border>
                <left style="thin">
                  <color theme="0"/>
                </left>
                <right style="thin">
                  <color theme="0"/>
                </right>
                <top style="thin">
                  <color theme="0"/>
                </top>
                <bottom style="thin">
                  <color theme="0"/>
                </bottom>
                <vertical/>
                <horizontal/>
              </border>
            </x14:dxf>
          </x14:cfRule>
          <xm:sqref>N119:S145</xm:sqref>
        </x14:conditionalFormatting>
        <x14:conditionalFormatting xmlns:xm="http://schemas.microsoft.com/office/excel/2006/main">
          <x14:cfRule type="expression" priority="760" id="{E38FC8F5-B00E-45A0-92B9-74494A8AC0D9}">
            <xm:f>$S$8='Assessment Details'!$Q$23</xm:f>
            <x14:dxf>
              <font>
                <color theme="0"/>
              </font>
              <fill>
                <patternFill>
                  <bgColor theme="0"/>
                </patternFill>
              </fill>
              <border>
                <vertical/>
                <horizontal/>
              </border>
            </x14:dxf>
          </x14:cfRule>
          <xm:sqref>G119:G145</xm:sqref>
        </x14:conditionalFormatting>
        <x14:conditionalFormatting xmlns:xm="http://schemas.microsoft.com/office/excel/2006/main">
          <x14:cfRule type="expression" priority="759" id="{E74AB5C6-EC80-494B-BA5B-D2200366EB60}">
            <xm:f>$S$8='Assessment Details'!$Q$23</xm:f>
            <x14:dxf>
              <border>
                <left style="thin">
                  <color theme="0"/>
                </left>
                <right style="thin">
                  <color theme="0"/>
                </right>
                <top style="thin">
                  <color theme="0"/>
                </top>
                <bottom style="thin">
                  <color theme="0"/>
                </bottom>
                <vertical/>
                <horizontal/>
              </border>
            </x14:dxf>
          </x14:cfRule>
          <xm:sqref>G119:G145</xm:sqref>
        </x14:conditionalFormatting>
        <x14:conditionalFormatting xmlns:xm="http://schemas.microsoft.com/office/excel/2006/main">
          <x14:cfRule type="expression" priority="758" id="{673DFAA5-2055-44C4-887D-2C35F93E8E42}">
            <xm:f>$S$8='Assessment Details'!$Q$23</xm:f>
            <x14:dxf>
              <font>
                <color theme="0"/>
              </font>
              <fill>
                <patternFill>
                  <bgColor theme="0"/>
                </patternFill>
              </fill>
              <border>
                <vertical/>
                <horizontal/>
              </border>
            </x14:dxf>
          </x14:cfRule>
          <xm:sqref>U119:U145</xm:sqref>
        </x14:conditionalFormatting>
        <x14:conditionalFormatting xmlns:xm="http://schemas.microsoft.com/office/excel/2006/main">
          <x14:cfRule type="expression" priority="757" id="{2FB72A45-195A-4D9B-B6A6-6A65A8CBEFBF}">
            <xm:f>$S$8='Assessment Details'!$Q$23</xm:f>
            <x14:dxf>
              <border>
                <left style="thin">
                  <color theme="0"/>
                </left>
                <right style="thin">
                  <color theme="0"/>
                </right>
                <top style="thin">
                  <color theme="0"/>
                </top>
                <bottom style="thin">
                  <color theme="0"/>
                </bottom>
                <vertical/>
                <horizontal/>
              </border>
            </x14:dxf>
          </x14:cfRule>
          <xm:sqref>U119:U145</xm:sqref>
        </x14:conditionalFormatting>
        <x14:conditionalFormatting xmlns:xm="http://schemas.microsoft.com/office/excel/2006/main">
          <x14:cfRule type="expression" priority="752" id="{F4CB3BC1-BF42-4E13-88F7-6746AE0C85AB}">
            <xm:f>$S$8='Assessment Details'!$Q$23</xm:f>
            <x14:dxf>
              <font>
                <color theme="0"/>
              </font>
              <fill>
                <patternFill>
                  <bgColor theme="0"/>
                </patternFill>
              </fill>
              <border>
                <vertical/>
                <horizontal/>
              </border>
            </x14:dxf>
          </x14:cfRule>
          <xm:sqref>N119:N145</xm:sqref>
        </x14:conditionalFormatting>
        <x14:conditionalFormatting xmlns:xm="http://schemas.microsoft.com/office/excel/2006/main">
          <x14:cfRule type="expression" priority="751" id="{F6844507-E947-4893-B9ED-E004BF7954D4}">
            <xm:f>$S$8='Assessment Details'!$Q$23</xm:f>
            <x14:dxf>
              <border>
                <left style="thin">
                  <color theme="0"/>
                </left>
                <right style="thin">
                  <color theme="0"/>
                </right>
                <top style="thin">
                  <color theme="0"/>
                </top>
                <bottom style="thin">
                  <color theme="0"/>
                </bottom>
                <vertical/>
                <horizontal/>
              </border>
            </x14:dxf>
          </x14:cfRule>
          <xm:sqref>N119:N145</xm:sqref>
        </x14:conditionalFormatting>
        <x14:conditionalFormatting xmlns:xm="http://schemas.microsoft.com/office/excel/2006/main">
          <x14:cfRule type="expression" priority="746" id="{F302A555-2F25-42D5-8AAA-616DCC026794}">
            <xm:f>$S$8='Assessment Details'!$Q$23</xm:f>
            <x14:dxf>
              <font>
                <color theme="0"/>
              </font>
              <fill>
                <patternFill>
                  <bgColor theme="0"/>
                </patternFill>
              </fill>
              <border>
                <vertical/>
                <horizontal/>
              </border>
            </x14:dxf>
          </x14:cfRule>
          <xm:sqref>U119:U145</xm:sqref>
        </x14:conditionalFormatting>
        <x14:conditionalFormatting xmlns:xm="http://schemas.microsoft.com/office/excel/2006/main">
          <x14:cfRule type="expression" priority="745" id="{AD450B60-6008-4136-BDB5-B79109E9289D}">
            <xm:f>$S$8='Assessment Details'!$Q$23</xm:f>
            <x14:dxf>
              <border>
                <left style="thin">
                  <color theme="0"/>
                </left>
                <right style="thin">
                  <color theme="0"/>
                </right>
                <top style="thin">
                  <color theme="0"/>
                </top>
                <bottom style="thin">
                  <color theme="0"/>
                </bottom>
                <vertical/>
                <horizontal/>
              </border>
            </x14:dxf>
          </x14:cfRule>
          <xm:sqref>U119:U145</xm:sqref>
        </x14:conditionalFormatting>
        <x14:conditionalFormatting xmlns:xm="http://schemas.microsoft.com/office/excel/2006/main">
          <x14:cfRule type="expression" priority="744" id="{DE80F036-12CD-4EF6-ABDA-A72B56533A28}">
            <xm:f>$S$8='Assessment Details'!$Q$23</xm:f>
            <x14:dxf>
              <font>
                <color theme="0"/>
              </font>
              <fill>
                <patternFill>
                  <bgColor theme="0"/>
                </patternFill>
              </fill>
              <border>
                <vertical/>
                <horizontal/>
              </border>
            </x14:dxf>
          </x14:cfRule>
          <xm:sqref>W119:W145</xm:sqref>
        </x14:conditionalFormatting>
        <x14:conditionalFormatting xmlns:xm="http://schemas.microsoft.com/office/excel/2006/main">
          <x14:cfRule type="expression" priority="743" id="{ED2AA8D5-C35E-4825-A8B3-98F9B47AE8A5}">
            <xm:f>$S$8='Assessment Details'!$Q$23</xm:f>
            <x14:dxf>
              <border>
                <left style="thin">
                  <color theme="0"/>
                </left>
                <right style="thin">
                  <color theme="0"/>
                </right>
                <top style="thin">
                  <color theme="0"/>
                </top>
                <bottom style="thin">
                  <color theme="0"/>
                </bottom>
                <vertical/>
                <horizontal/>
              </border>
            </x14:dxf>
          </x14:cfRule>
          <xm:sqref>W119:W145</xm:sqref>
        </x14:conditionalFormatting>
        <x14:conditionalFormatting xmlns:xm="http://schemas.microsoft.com/office/excel/2006/main">
          <x14:cfRule type="expression" priority="776" id="{8F9F20A1-7D00-404C-BE1C-DEE2255F6C84}">
            <xm:f>$Z$8='Assessment Details'!$Q$23</xm:f>
            <x14:dxf>
              <font>
                <color theme="0"/>
              </font>
              <fill>
                <patternFill>
                  <bgColor theme="0"/>
                </patternFill>
              </fill>
            </x14:dxf>
          </x14:cfRule>
          <xm:sqref>U119:Z145</xm:sqref>
        </x14:conditionalFormatting>
        <x14:conditionalFormatting xmlns:xm="http://schemas.microsoft.com/office/excel/2006/main">
          <x14:cfRule type="expression" priority="777" id="{010FD9E7-F2B6-4B14-9887-5AFA260D8F08}">
            <xm:f>$Z$8='Assessment Details'!$Q$23</xm:f>
            <x14:dxf>
              <border>
                <left style="thin">
                  <color theme="0"/>
                </left>
                <right style="thin">
                  <color theme="0"/>
                </right>
                <top style="thin">
                  <color theme="0"/>
                </top>
                <bottom style="thin">
                  <color theme="0"/>
                </bottom>
                <vertical/>
                <horizontal/>
              </border>
            </x14:dxf>
          </x14:cfRule>
          <xm:sqref>U119:Z145</xm:sqref>
        </x14:conditionalFormatting>
        <x14:conditionalFormatting xmlns:xm="http://schemas.microsoft.com/office/excel/2006/main">
          <x14:cfRule type="expression" priority="727" id="{FDD67AFC-223C-407C-B2FF-9A6AB2820552}">
            <xm:f>$S$8='Assessment Details'!$Q$23</xm:f>
            <x14:dxf>
              <font>
                <color theme="0"/>
              </font>
              <fill>
                <patternFill>
                  <bgColor theme="0"/>
                </patternFill>
              </fill>
              <border>
                <vertical/>
                <horizontal/>
              </border>
            </x14:dxf>
          </x14:cfRule>
          <xm:sqref>N149:S160</xm:sqref>
        </x14:conditionalFormatting>
        <x14:conditionalFormatting xmlns:xm="http://schemas.microsoft.com/office/excel/2006/main">
          <x14:cfRule type="expression" priority="726" id="{7D03C898-9C07-489D-957D-E4B2FB7B043C}">
            <xm:f>$S$8='Assessment Details'!$Q$23</xm:f>
            <x14:dxf>
              <border>
                <left style="thin">
                  <color theme="0"/>
                </left>
                <right style="thin">
                  <color theme="0"/>
                </right>
                <top style="thin">
                  <color theme="0"/>
                </top>
                <bottom style="thin">
                  <color theme="0"/>
                </bottom>
                <vertical/>
                <horizontal/>
              </border>
            </x14:dxf>
          </x14:cfRule>
          <xm:sqref>N149:S160</xm:sqref>
        </x14:conditionalFormatting>
        <x14:conditionalFormatting xmlns:xm="http://schemas.microsoft.com/office/excel/2006/main">
          <x14:cfRule type="expression" priority="725" id="{51B2421E-E8B3-4AB2-B386-77ECA66D1F6B}">
            <xm:f>$S$8='Assessment Details'!$Q$23</xm:f>
            <x14:dxf>
              <font>
                <color theme="0"/>
              </font>
              <fill>
                <patternFill>
                  <bgColor theme="0"/>
                </patternFill>
              </fill>
              <border>
                <vertical/>
                <horizontal/>
              </border>
            </x14:dxf>
          </x14:cfRule>
          <xm:sqref>G149:G160</xm:sqref>
        </x14:conditionalFormatting>
        <x14:conditionalFormatting xmlns:xm="http://schemas.microsoft.com/office/excel/2006/main">
          <x14:cfRule type="expression" priority="724" id="{C1457F96-481E-4D7C-89F2-3AF16BD4EA56}">
            <xm:f>$S$8='Assessment Details'!$Q$23</xm:f>
            <x14:dxf>
              <border>
                <left style="thin">
                  <color theme="0"/>
                </left>
                <right style="thin">
                  <color theme="0"/>
                </right>
                <top style="thin">
                  <color theme="0"/>
                </top>
                <bottom style="thin">
                  <color theme="0"/>
                </bottom>
                <vertical/>
                <horizontal/>
              </border>
            </x14:dxf>
          </x14:cfRule>
          <xm:sqref>G149:G160</xm:sqref>
        </x14:conditionalFormatting>
        <x14:conditionalFormatting xmlns:xm="http://schemas.microsoft.com/office/excel/2006/main">
          <x14:cfRule type="expression" priority="723" id="{049D0A9C-46E9-426F-B254-D588DDA9507D}">
            <xm:f>$S$8='Assessment Details'!$Q$23</xm:f>
            <x14:dxf>
              <font>
                <color theme="0"/>
              </font>
              <fill>
                <patternFill>
                  <bgColor theme="0"/>
                </patternFill>
              </fill>
              <border>
                <vertical/>
                <horizontal/>
              </border>
            </x14:dxf>
          </x14:cfRule>
          <xm:sqref>U149:U160</xm:sqref>
        </x14:conditionalFormatting>
        <x14:conditionalFormatting xmlns:xm="http://schemas.microsoft.com/office/excel/2006/main">
          <x14:cfRule type="expression" priority="722" id="{85444FAC-1617-4551-8CD5-240D164907C6}">
            <xm:f>$S$8='Assessment Details'!$Q$23</xm:f>
            <x14:dxf>
              <border>
                <left style="thin">
                  <color theme="0"/>
                </left>
                <right style="thin">
                  <color theme="0"/>
                </right>
                <top style="thin">
                  <color theme="0"/>
                </top>
                <bottom style="thin">
                  <color theme="0"/>
                </bottom>
                <vertical/>
                <horizontal/>
              </border>
            </x14:dxf>
          </x14:cfRule>
          <xm:sqref>U149:U160</xm:sqref>
        </x14:conditionalFormatting>
        <x14:conditionalFormatting xmlns:xm="http://schemas.microsoft.com/office/excel/2006/main">
          <x14:cfRule type="expression" priority="717" id="{EE91D37B-6967-49FC-8B21-F94042CA4016}">
            <xm:f>$S$8='Assessment Details'!$Q$23</xm:f>
            <x14:dxf>
              <font>
                <color theme="0"/>
              </font>
              <fill>
                <patternFill>
                  <bgColor theme="0"/>
                </patternFill>
              </fill>
              <border>
                <vertical/>
                <horizontal/>
              </border>
            </x14:dxf>
          </x14:cfRule>
          <xm:sqref>N149:N160</xm:sqref>
        </x14:conditionalFormatting>
        <x14:conditionalFormatting xmlns:xm="http://schemas.microsoft.com/office/excel/2006/main">
          <x14:cfRule type="expression" priority="716" id="{8621AEF3-0C3F-4972-80CC-714D754035A7}">
            <xm:f>$S$8='Assessment Details'!$Q$23</xm:f>
            <x14:dxf>
              <border>
                <left style="thin">
                  <color theme="0"/>
                </left>
                <right style="thin">
                  <color theme="0"/>
                </right>
                <top style="thin">
                  <color theme="0"/>
                </top>
                <bottom style="thin">
                  <color theme="0"/>
                </bottom>
                <vertical/>
                <horizontal/>
              </border>
            </x14:dxf>
          </x14:cfRule>
          <xm:sqref>N149:N160</xm:sqref>
        </x14:conditionalFormatting>
        <x14:conditionalFormatting xmlns:xm="http://schemas.microsoft.com/office/excel/2006/main">
          <x14:cfRule type="expression" priority="711" id="{57179EFB-88D6-432B-9A88-0120AAE43F3D}">
            <xm:f>$S$8='Assessment Details'!$Q$23</xm:f>
            <x14:dxf>
              <font>
                <color theme="0"/>
              </font>
              <fill>
                <patternFill>
                  <bgColor theme="0"/>
                </patternFill>
              </fill>
              <border>
                <vertical/>
                <horizontal/>
              </border>
            </x14:dxf>
          </x14:cfRule>
          <xm:sqref>U149:U160</xm:sqref>
        </x14:conditionalFormatting>
        <x14:conditionalFormatting xmlns:xm="http://schemas.microsoft.com/office/excel/2006/main">
          <x14:cfRule type="expression" priority="710" id="{582D4AC3-A38D-4C64-A0CE-58695167D3BF}">
            <xm:f>$S$8='Assessment Details'!$Q$23</xm:f>
            <x14:dxf>
              <border>
                <left style="thin">
                  <color theme="0"/>
                </left>
                <right style="thin">
                  <color theme="0"/>
                </right>
                <top style="thin">
                  <color theme="0"/>
                </top>
                <bottom style="thin">
                  <color theme="0"/>
                </bottom>
                <vertical/>
                <horizontal/>
              </border>
            </x14:dxf>
          </x14:cfRule>
          <xm:sqref>U149:U160</xm:sqref>
        </x14:conditionalFormatting>
        <x14:conditionalFormatting xmlns:xm="http://schemas.microsoft.com/office/excel/2006/main">
          <x14:cfRule type="expression" priority="709" id="{3B203074-BC8A-49D8-B297-3E5E60AE11C7}">
            <xm:f>$S$8='Assessment Details'!$Q$23</xm:f>
            <x14:dxf>
              <font>
                <color theme="0"/>
              </font>
              <fill>
                <patternFill>
                  <bgColor theme="0"/>
                </patternFill>
              </fill>
              <border>
                <vertical/>
                <horizontal/>
              </border>
            </x14:dxf>
          </x14:cfRule>
          <xm:sqref>W149:W160</xm:sqref>
        </x14:conditionalFormatting>
        <x14:conditionalFormatting xmlns:xm="http://schemas.microsoft.com/office/excel/2006/main">
          <x14:cfRule type="expression" priority="708" id="{48AC37E6-979F-4F26-95D4-F2D58AB05DE7}">
            <xm:f>$S$8='Assessment Details'!$Q$23</xm:f>
            <x14:dxf>
              <border>
                <left style="thin">
                  <color theme="0"/>
                </left>
                <right style="thin">
                  <color theme="0"/>
                </right>
                <top style="thin">
                  <color theme="0"/>
                </top>
                <bottom style="thin">
                  <color theme="0"/>
                </bottom>
                <vertical/>
                <horizontal/>
              </border>
            </x14:dxf>
          </x14:cfRule>
          <xm:sqref>W149:W160</xm:sqref>
        </x14:conditionalFormatting>
        <x14:conditionalFormatting xmlns:xm="http://schemas.microsoft.com/office/excel/2006/main">
          <x14:cfRule type="expression" priority="741" id="{89AC23ED-6015-47FA-BEAF-9A6AA375A18E}">
            <xm:f>$Z$8='Assessment Details'!$Q$23</xm:f>
            <x14:dxf>
              <font>
                <color theme="0"/>
              </font>
              <fill>
                <patternFill>
                  <bgColor theme="0"/>
                </patternFill>
              </fill>
            </x14:dxf>
          </x14:cfRule>
          <xm:sqref>U149:Z160</xm:sqref>
        </x14:conditionalFormatting>
        <x14:conditionalFormatting xmlns:xm="http://schemas.microsoft.com/office/excel/2006/main">
          <x14:cfRule type="expression" priority="742" id="{8E8536A4-6749-44D2-BCBD-7D39EE4A4881}">
            <xm:f>$Z$8='Assessment Details'!$Q$23</xm:f>
            <x14:dxf>
              <border>
                <left style="thin">
                  <color theme="0"/>
                </left>
                <right style="thin">
                  <color theme="0"/>
                </right>
                <top style="thin">
                  <color theme="0"/>
                </top>
                <bottom style="thin">
                  <color theme="0"/>
                </bottom>
                <vertical/>
                <horizontal/>
              </border>
            </x14:dxf>
          </x14:cfRule>
          <xm:sqref>U149:Z160</xm:sqref>
        </x14:conditionalFormatting>
        <x14:conditionalFormatting xmlns:xm="http://schemas.microsoft.com/office/excel/2006/main">
          <x14:cfRule type="expression" priority="692" id="{D4D19939-03E7-461D-8DC4-FE096D9DFFFD}">
            <xm:f>$S$8='Assessment Details'!$Q$23</xm:f>
            <x14:dxf>
              <font>
                <color theme="0"/>
              </font>
              <fill>
                <patternFill>
                  <bgColor theme="0"/>
                </patternFill>
              </fill>
              <border>
                <vertical/>
                <horizontal/>
              </border>
            </x14:dxf>
          </x14:cfRule>
          <xm:sqref>N164:S172 N174:S192</xm:sqref>
        </x14:conditionalFormatting>
        <x14:conditionalFormatting xmlns:xm="http://schemas.microsoft.com/office/excel/2006/main">
          <x14:cfRule type="expression" priority="691" id="{BE550D97-26B7-410F-A7F0-AF419623F590}">
            <xm:f>$S$8='Assessment Details'!$Q$23</xm:f>
            <x14:dxf>
              <border>
                <left style="thin">
                  <color theme="0"/>
                </left>
                <right style="thin">
                  <color theme="0"/>
                </right>
                <top style="thin">
                  <color theme="0"/>
                </top>
                <bottom style="thin">
                  <color theme="0"/>
                </bottom>
                <vertical/>
                <horizontal/>
              </border>
            </x14:dxf>
          </x14:cfRule>
          <xm:sqref>N164:S172 N174:S192</xm:sqref>
        </x14:conditionalFormatting>
        <x14:conditionalFormatting xmlns:xm="http://schemas.microsoft.com/office/excel/2006/main">
          <x14:cfRule type="expression" priority="690" id="{7A93FD74-DED4-49B4-9201-176F09C1FEF1}">
            <xm:f>$S$8='Assessment Details'!$Q$23</xm:f>
            <x14:dxf>
              <font>
                <color theme="0"/>
              </font>
              <fill>
                <patternFill>
                  <bgColor theme="0"/>
                </patternFill>
              </fill>
              <border>
                <vertical/>
                <horizontal/>
              </border>
            </x14:dxf>
          </x14:cfRule>
          <xm:sqref>G164:G172 G174:G192</xm:sqref>
        </x14:conditionalFormatting>
        <x14:conditionalFormatting xmlns:xm="http://schemas.microsoft.com/office/excel/2006/main">
          <x14:cfRule type="expression" priority="689" id="{3479F7C1-53ED-41C3-ABA1-64A7E57F64D9}">
            <xm:f>$S$8='Assessment Details'!$Q$23</xm:f>
            <x14:dxf>
              <border>
                <left style="thin">
                  <color theme="0"/>
                </left>
                <right style="thin">
                  <color theme="0"/>
                </right>
                <top style="thin">
                  <color theme="0"/>
                </top>
                <bottom style="thin">
                  <color theme="0"/>
                </bottom>
                <vertical/>
                <horizontal/>
              </border>
            </x14:dxf>
          </x14:cfRule>
          <xm:sqref>G164:G172 G174:G192</xm:sqref>
        </x14:conditionalFormatting>
        <x14:conditionalFormatting xmlns:xm="http://schemas.microsoft.com/office/excel/2006/main">
          <x14:cfRule type="expression" priority="688" id="{1836C5F5-8B8B-402F-9896-1534A68AEBD0}">
            <xm:f>$S$8='Assessment Details'!$Q$23</xm:f>
            <x14:dxf>
              <font>
                <color theme="0"/>
              </font>
              <fill>
                <patternFill>
                  <bgColor theme="0"/>
                </patternFill>
              </fill>
              <border>
                <vertical/>
                <horizontal/>
              </border>
            </x14:dxf>
          </x14:cfRule>
          <xm:sqref>U164:U172 U174:U192</xm:sqref>
        </x14:conditionalFormatting>
        <x14:conditionalFormatting xmlns:xm="http://schemas.microsoft.com/office/excel/2006/main">
          <x14:cfRule type="expression" priority="687" id="{BF1BF6B8-EE67-45EE-8151-CD83A657FDAA}">
            <xm:f>$S$8='Assessment Details'!$Q$23</xm:f>
            <x14:dxf>
              <border>
                <left style="thin">
                  <color theme="0"/>
                </left>
                <right style="thin">
                  <color theme="0"/>
                </right>
                <top style="thin">
                  <color theme="0"/>
                </top>
                <bottom style="thin">
                  <color theme="0"/>
                </bottom>
                <vertical/>
                <horizontal/>
              </border>
            </x14:dxf>
          </x14:cfRule>
          <xm:sqref>U164:U172 U174:U192</xm:sqref>
        </x14:conditionalFormatting>
        <x14:conditionalFormatting xmlns:xm="http://schemas.microsoft.com/office/excel/2006/main">
          <x14:cfRule type="expression" priority="682" id="{5A0129D5-F475-4E7B-9520-37E3A7D82FB5}">
            <xm:f>$S$8='Assessment Details'!$Q$23</xm:f>
            <x14:dxf>
              <font>
                <color theme="0"/>
              </font>
              <fill>
                <patternFill>
                  <bgColor theme="0"/>
                </patternFill>
              </fill>
              <border>
                <vertical/>
                <horizontal/>
              </border>
            </x14:dxf>
          </x14:cfRule>
          <xm:sqref>N164:N172 N174:N192</xm:sqref>
        </x14:conditionalFormatting>
        <x14:conditionalFormatting xmlns:xm="http://schemas.microsoft.com/office/excel/2006/main">
          <x14:cfRule type="expression" priority="681" id="{3EDFE930-693F-44DC-A566-8E16A1730788}">
            <xm:f>$S$8='Assessment Details'!$Q$23</xm:f>
            <x14:dxf>
              <border>
                <left style="thin">
                  <color theme="0"/>
                </left>
                <right style="thin">
                  <color theme="0"/>
                </right>
                <top style="thin">
                  <color theme="0"/>
                </top>
                <bottom style="thin">
                  <color theme="0"/>
                </bottom>
                <vertical/>
                <horizontal/>
              </border>
            </x14:dxf>
          </x14:cfRule>
          <xm:sqref>N164:N172 N174:N192</xm:sqref>
        </x14:conditionalFormatting>
        <x14:conditionalFormatting xmlns:xm="http://schemas.microsoft.com/office/excel/2006/main">
          <x14:cfRule type="expression" priority="676" id="{057F9949-7FFB-45CF-9FA0-E01BA035B3E1}">
            <xm:f>$S$8='Assessment Details'!$Q$23</xm:f>
            <x14:dxf>
              <font>
                <color theme="0"/>
              </font>
              <fill>
                <patternFill>
                  <bgColor theme="0"/>
                </patternFill>
              </fill>
              <border>
                <vertical/>
                <horizontal/>
              </border>
            </x14:dxf>
          </x14:cfRule>
          <xm:sqref>U164:U172 U174:U192</xm:sqref>
        </x14:conditionalFormatting>
        <x14:conditionalFormatting xmlns:xm="http://schemas.microsoft.com/office/excel/2006/main">
          <x14:cfRule type="expression" priority="675" id="{80517BA3-B24B-4CC8-BAF6-4329096F205D}">
            <xm:f>$S$8='Assessment Details'!$Q$23</xm:f>
            <x14:dxf>
              <border>
                <left style="thin">
                  <color theme="0"/>
                </left>
                <right style="thin">
                  <color theme="0"/>
                </right>
                <top style="thin">
                  <color theme="0"/>
                </top>
                <bottom style="thin">
                  <color theme="0"/>
                </bottom>
                <vertical/>
                <horizontal/>
              </border>
            </x14:dxf>
          </x14:cfRule>
          <xm:sqref>U164:U172 U174:U192</xm:sqref>
        </x14:conditionalFormatting>
        <x14:conditionalFormatting xmlns:xm="http://schemas.microsoft.com/office/excel/2006/main">
          <x14:cfRule type="expression" priority="674" id="{E0DE2EBF-C845-49F1-94AF-650660600766}">
            <xm:f>$S$8='Assessment Details'!$Q$23</xm:f>
            <x14:dxf>
              <font>
                <color theme="0"/>
              </font>
              <fill>
                <patternFill>
                  <bgColor theme="0"/>
                </patternFill>
              </fill>
              <border>
                <vertical/>
                <horizontal/>
              </border>
            </x14:dxf>
          </x14:cfRule>
          <xm:sqref>W164:W172 W174:W192</xm:sqref>
        </x14:conditionalFormatting>
        <x14:conditionalFormatting xmlns:xm="http://schemas.microsoft.com/office/excel/2006/main">
          <x14:cfRule type="expression" priority="673" id="{DAFECC4A-CD43-4625-8D29-C727AA37469A}">
            <xm:f>$S$8='Assessment Details'!$Q$23</xm:f>
            <x14:dxf>
              <border>
                <left style="thin">
                  <color theme="0"/>
                </left>
                <right style="thin">
                  <color theme="0"/>
                </right>
                <top style="thin">
                  <color theme="0"/>
                </top>
                <bottom style="thin">
                  <color theme="0"/>
                </bottom>
                <vertical/>
                <horizontal/>
              </border>
            </x14:dxf>
          </x14:cfRule>
          <xm:sqref>W164:W172 W174:W192</xm:sqref>
        </x14:conditionalFormatting>
        <x14:conditionalFormatting xmlns:xm="http://schemas.microsoft.com/office/excel/2006/main">
          <x14:cfRule type="expression" priority="706" id="{FEB2857A-BA6E-44AA-90FC-C961C6499428}">
            <xm:f>$Z$8='Assessment Details'!$Q$23</xm:f>
            <x14:dxf>
              <font>
                <color theme="0"/>
              </font>
              <fill>
                <patternFill>
                  <bgColor theme="0"/>
                </patternFill>
              </fill>
            </x14:dxf>
          </x14:cfRule>
          <xm:sqref>U164:Z172 U174:Z192</xm:sqref>
        </x14:conditionalFormatting>
        <x14:conditionalFormatting xmlns:xm="http://schemas.microsoft.com/office/excel/2006/main">
          <x14:cfRule type="expression" priority="707" id="{99167A46-CA6A-47F7-A990-E00DE2E32EF5}">
            <xm:f>$Z$8='Assessment Details'!$Q$23</xm:f>
            <x14:dxf>
              <border>
                <left style="thin">
                  <color theme="0"/>
                </left>
                <right style="thin">
                  <color theme="0"/>
                </right>
                <top style="thin">
                  <color theme="0"/>
                </top>
                <bottom style="thin">
                  <color theme="0"/>
                </bottom>
                <vertical/>
                <horizontal/>
              </border>
            </x14:dxf>
          </x14:cfRule>
          <xm:sqref>U164:Z172 U174:Z192</xm:sqref>
        </x14:conditionalFormatting>
        <x14:conditionalFormatting xmlns:xm="http://schemas.microsoft.com/office/excel/2006/main">
          <x14:cfRule type="expression" priority="657" id="{2D4D8628-D431-410C-93AE-F72D90B86CC9}">
            <xm:f>$S$8='Assessment Details'!$Q$23</xm:f>
            <x14:dxf>
              <font>
                <color theme="0"/>
              </font>
              <fill>
                <patternFill>
                  <bgColor theme="0"/>
                </patternFill>
              </fill>
              <border>
                <vertical/>
                <horizontal/>
              </border>
            </x14:dxf>
          </x14:cfRule>
          <xm:sqref>N196:S209</xm:sqref>
        </x14:conditionalFormatting>
        <x14:conditionalFormatting xmlns:xm="http://schemas.microsoft.com/office/excel/2006/main">
          <x14:cfRule type="expression" priority="656" id="{015B966D-565D-4D37-9E4E-D18C7D0FF4F2}">
            <xm:f>$S$8='Assessment Details'!$Q$23</xm:f>
            <x14:dxf>
              <border>
                <left style="thin">
                  <color theme="0"/>
                </left>
                <right style="thin">
                  <color theme="0"/>
                </right>
                <top style="thin">
                  <color theme="0"/>
                </top>
                <bottom style="thin">
                  <color theme="0"/>
                </bottom>
                <vertical/>
                <horizontal/>
              </border>
            </x14:dxf>
          </x14:cfRule>
          <xm:sqref>N196:S209</xm:sqref>
        </x14:conditionalFormatting>
        <x14:conditionalFormatting xmlns:xm="http://schemas.microsoft.com/office/excel/2006/main">
          <x14:cfRule type="expression" priority="655" id="{82B06A9D-B4C3-42DD-BA43-74A98B42E62E}">
            <xm:f>$S$8='Assessment Details'!$Q$23</xm:f>
            <x14:dxf>
              <font>
                <color theme="0"/>
              </font>
              <fill>
                <patternFill>
                  <bgColor theme="0"/>
                </patternFill>
              </fill>
              <border>
                <vertical/>
                <horizontal/>
              </border>
            </x14:dxf>
          </x14:cfRule>
          <xm:sqref>G196:G209</xm:sqref>
        </x14:conditionalFormatting>
        <x14:conditionalFormatting xmlns:xm="http://schemas.microsoft.com/office/excel/2006/main">
          <x14:cfRule type="expression" priority="654" id="{0A71DD26-7FAC-4690-9571-C689F0D42AF2}">
            <xm:f>$S$8='Assessment Details'!$Q$23</xm:f>
            <x14:dxf>
              <border>
                <left style="thin">
                  <color theme="0"/>
                </left>
                <right style="thin">
                  <color theme="0"/>
                </right>
                <top style="thin">
                  <color theme="0"/>
                </top>
                <bottom style="thin">
                  <color theme="0"/>
                </bottom>
                <vertical/>
                <horizontal/>
              </border>
            </x14:dxf>
          </x14:cfRule>
          <xm:sqref>G196:G209</xm:sqref>
        </x14:conditionalFormatting>
        <x14:conditionalFormatting xmlns:xm="http://schemas.microsoft.com/office/excel/2006/main">
          <x14:cfRule type="expression" priority="653" id="{05395A0B-8350-4986-B1BF-45C6CF92C754}">
            <xm:f>$S$8='Assessment Details'!$Q$23</xm:f>
            <x14:dxf>
              <font>
                <color theme="0"/>
              </font>
              <fill>
                <patternFill>
                  <bgColor theme="0"/>
                </patternFill>
              </fill>
              <border>
                <vertical/>
                <horizontal/>
              </border>
            </x14:dxf>
          </x14:cfRule>
          <xm:sqref>U196:U209</xm:sqref>
        </x14:conditionalFormatting>
        <x14:conditionalFormatting xmlns:xm="http://schemas.microsoft.com/office/excel/2006/main">
          <x14:cfRule type="expression" priority="652" id="{5A16073C-F037-4B4F-928B-F7AFC1A2B1B0}">
            <xm:f>$S$8='Assessment Details'!$Q$23</xm:f>
            <x14:dxf>
              <border>
                <left style="thin">
                  <color theme="0"/>
                </left>
                <right style="thin">
                  <color theme="0"/>
                </right>
                <top style="thin">
                  <color theme="0"/>
                </top>
                <bottom style="thin">
                  <color theme="0"/>
                </bottom>
                <vertical/>
                <horizontal/>
              </border>
            </x14:dxf>
          </x14:cfRule>
          <xm:sqref>U196:U209</xm:sqref>
        </x14:conditionalFormatting>
        <x14:conditionalFormatting xmlns:xm="http://schemas.microsoft.com/office/excel/2006/main">
          <x14:cfRule type="expression" priority="647" id="{59DC67A7-AED3-4C94-9F3D-E15C0CE6D8D8}">
            <xm:f>$S$8='Assessment Details'!$Q$23</xm:f>
            <x14:dxf>
              <font>
                <color theme="0"/>
              </font>
              <fill>
                <patternFill>
                  <bgColor theme="0"/>
                </patternFill>
              </fill>
              <border>
                <vertical/>
                <horizontal/>
              </border>
            </x14:dxf>
          </x14:cfRule>
          <xm:sqref>N196:N209</xm:sqref>
        </x14:conditionalFormatting>
        <x14:conditionalFormatting xmlns:xm="http://schemas.microsoft.com/office/excel/2006/main">
          <x14:cfRule type="expression" priority="646" id="{D470C32E-9F2E-4ECC-A7D9-0D38145C9893}">
            <xm:f>$S$8='Assessment Details'!$Q$23</xm:f>
            <x14:dxf>
              <border>
                <left style="thin">
                  <color theme="0"/>
                </left>
                <right style="thin">
                  <color theme="0"/>
                </right>
                <top style="thin">
                  <color theme="0"/>
                </top>
                <bottom style="thin">
                  <color theme="0"/>
                </bottom>
                <vertical/>
                <horizontal/>
              </border>
            </x14:dxf>
          </x14:cfRule>
          <xm:sqref>N196:N209</xm:sqref>
        </x14:conditionalFormatting>
        <x14:conditionalFormatting xmlns:xm="http://schemas.microsoft.com/office/excel/2006/main">
          <x14:cfRule type="expression" priority="641" id="{EDDC2238-6C67-480F-9BF4-AFDF50D3084D}">
            <xm:f>$S$8='Assessment Details'!$Q$23</xm:f>
            <x14:dxf>
              <font>
                <color theme="0"/>
              </font>
              <fill>
                <patternFill>
                  <bgColor theme="0"/>
                </patternFill>
              </fill>
              <border>
                <vertical/>
                <horizontal/>
              </border>
            </x14:dxf>
          </x14:cfRule>
          <xm:sqref>U196:U209</xm:sqref>
        </x14:conditionalFormatting>
        <x14:conditionalFormatting xmlns:xm="http://schemas.microsoft.com/office/excel/2006/main">
          <x14:cfRule type="expression" priority="640" id="{E2F5C077-BDDD-4B07-A881-974B93784BEB}">
            <xm:f>$S$8='Assessment Details'!$Q$23</xm:f>
            <x14:dxf>
              <border>
                <left style="thin">
                  <color theme="0"/>
                </left>
                <right style="thin">
                  <color theme="0"/>
                </right>
                <top style="thin">
                  <color theme="0"/>
                </top>
                <bottom style="thin">
                  <color theme="0"/>
                </bottom>
                <vertical/>
                <horizontal/>
              </border>
            </x14:dxf>
          </x14:cfRule>
          <xm:sqref>U196:U209</xm:sqref>
        </x14:conditionalFormatting>
        <x14:conditionalFormatting xmlns:xm="http://schemas.microsoft.com/office/excel/2006/main">
          <x14:cfRule type="expression" priority="639" id="{3BC69D2D-165D-45A9-8D8F-499754B18D23}">
            <xm:f>$S$8='Assessment Details'!$Q$23</xm:f>
            <x14:dxf>
              <font>
                <color theme="0"/>
              </font>
              <fill>
                <patternFill>
                  <bgColor theme="0"/>
                </patternFill>
              </fill>
              <border>
                <vertical/>
                <horizontal/>
              </border>
            </x14:dxf>
          </x14:cfRule>
          <xm:sqref>W196:W209</xm:sqref>
        </x14:conditionalFormatting>
        <x14:conditionalFormatting xmlns:xm="http://schemas.microsoft.com/office/excel/2006/main">
          <x14:cfRule type="expression" priority="638" id="{192FEE80-DFE5-4358-9809-7AC90906B053}">
            <xm:f>$S$8='Assessment Details'!$Q$23</xm:f>
            <x14:dxf>
              <border>
                <left style="thin">
                  <color theme="0"/>
                </left>
                <right style="thin">
                  <color theme="0"/>
                </right>
                <top style="thin">
                  <color theme="0"/>
                </top>
                <bottom style="thin">
                  <color theme="0"/>
                </bottom>
                <vertical/>
                <horizontal/>
              </border>
            </x14:dxf>
          </x14:cfRule>
          <xm:sqref>W196:W209</xm:sqref>
        </x14:conditionalFormatting>
        <x14:conditionalFormatting xmlns:xm="http://schemas.microsoft.com/office/excel/2006/main">
          <x14:cfRule type="expression" priority="671" id="{E528BB73-543D-4A5F-96B3-784CF6DDEB34}">
            <xm:f>$Z$8='Assessment Details'!$Q$23</xm:f>
            <x14:dxf>
              <font>
                <color theme="0"/>
              </font>
              <fill>
                <patternFill>
                  <bgColor theme="0"/>
                </patternFill>
              </fill>
            </x14:dxf>
          </x14:cfRule>
          <xm:sqref>U196:Z209</xm:sqref>
        </x14:conditionalFormatting>
        <x14:conditionalFormatting xmlns:xm="http://schemas.microsoft.com/office/excel/2006/main">
          <x14:cfRule type="expression" priority="672" id="{1E2066D6-A793-40B2-9F3E-575105D5FDF6}">
            <xm:f>$Z$8='Assessment Details'!$Q$23</xm:f>
            <x14:dxf>
              <border>
                <left style="thin">
                  <color theme="0"/>
                </left>
                <right style="thin">
                  <color theme="0"/>
                </right>
                <top style="thin">
                  <color theme="0"/>
                </top>
                <bottom style="thin">
                  <color theme="0"/>
                </bottom>
                <vertical/>
                <horizontal/>
              </border>
            </x14:dxf>
          </x14:cfRule>
          <xm:sqref>U196:Z209</xm:sqref>
        </x14:conditionalFormatting>
        <x14:conditionalFormatting xmlns:xm="http://schemas.microsoft.com/office/excel/2006/main">
          <x14:cfRule type="expression" priority="622" id="{A622B995-6D9D-4D80-BA4E-8DA1A9453462}">
            <xm:f>$S$8='Assessment Details'!$Q$23</xm:f>
            <x14:dxf>
              <font>
                <color theme="0"/>
              </font>
              <fill>
                <patternFill>
                  <bgColor theme="0"/>
                </patternFill>
              </fill>
              <border>
                <vertical/>
                <horizontal/>
              </border>
            </x14:dxf>
          </x14:cfRule>
          <xm:sqref>N213:S226</xm:sqref>
        </x14:conditionalFormatting>
        <x14:conditionalFormatting xmlns:xm="http://schemas.microsoft.com/office/excel/2006/main">
          <x14:cfRule type="expression" priority="621" id="{0FC0FD56-939B-4078-BC52-1911777DA96B}">
            <xm:f>$S$8='Assessment Details'!$Q$23</xm:f>
            <x14:dxf>
              <border>
                <left style="thin">
                  <color theme="0"/>
                </left>
                <right style="thin">
                  <color theme="0"/>
                </right>
                <top style="thin">
                  <color theme="0"/>
                </top>
                <bottom style="thin">
                  <color theme="0"/>
                </bottom>
                <vertical/>
                <horizontal/>
              </border>
            </x14:dxf>
          </x14:cfRule>
          <xm:sqref>N213:S226</xm:sqref>
        </x14:conditionalFormatting>
        <x14:conditionalFormatting xmlns:xm="http://schemas.microsoft.com/office/excel/2006/main">
          <x14:cfRule type="expression" priority="620" id="{D06F94AD-33C2-44A8-B55C-4E4E3995A6E8}">
            <xm:f>$S$8='Assessment Details'!$Q$23</xm:f>
            <x14:dxf>
              <font>
                <color theme="0"/>
              </font>
              <fill>
                <patternFill>
                  <bgColor theme="0"/>
                </patternFill>
              </fill>
              <border>
                <vertical/>
                <horizontal/>
              </border>
            </x14:dxf>
          </x14:cfRule>
          <xm:sqref>G213:G226</xm:sqref>
        </x14:conditionalFormatting>
        <x14:conditionalFormatting xmlns:xm="http://schemas.microsoft.com/office/excel/2006/main">
          <x14:cfRule type="expression" priority="619" id="{2F1BDC43-8D9F-4BCE-9F34-23AE00E19A4B}">
            <xm:f>$S$8='Assessment Details'!$Q$23</xm:f>
            <x14:dxf>
              <border>
                <left style="thin">
                  <color theme="0"/>
                </left>
                <right style="thin">
                  <color theme="0"/>
                </right>
                <top style="thin">
                  <color theme="0"/>
                </top>
                <bottom style="thin">
                  <color theme="0"/>
                </bottom>
                <vertical/>
                <horizontal/>
              </border>
            </x14:dxf>
          </x14:cfRule>
          <xm:sqref>G213:G226</xm:sqref>
        </x14:conditionalFormatting>
        <x14:conditionalFormatting xmlns:xm="http://schemas.microsoft.com/office/excel/2006/main">
          <x14:cfRule type="expression" priority="618" id="{859BD1F2-744F-486B-8C55-96B20456F3E0}">
            <xm:f>$S$8='Assessment Details'!$Q$23</xm:f>
            <x14:dxf>
              <font>
                <color theme="0"/>
              </font>
              <fill>
                <patternFill>
                  <bgColor theme="0"/>
                </patternFill>
              </fill>
              <border>
                <vertical/>
                <horizontal/>
              </border>
            </x14:dxf>
          </x14:cfRule>
          <xm:sqref>U213:U226</xm:sqref>
        </x14:conditionalFormatting>
        <x14:conditionalFormatting xmlns:xm="http://schemas.microsoft.com/office/excel/2006/main">
          <x14:cfRule type="expression" priority="617" id="{6B6532E9-94D4-4CB6-B791-5B4CE536DDAB}">
            <xm:f>$S$8='Assessment Details'!$Q$23</xm:f>
            <x14:dxf>
              <border>
                <left style="thin">
                  <color theme="0"/>
                </left>
                <right style="thin">
                  <color theme="0"/>
                </right>
                <top style="thin">
                  <color theme="0"/>
                </top>
                <bottom style="thin">
                  <color theme="0"/>
                </bottom>
                <vertical/>
                <horizontal/>
              </border>
            </x14:dxf>
          </x14:cfRule>
          <xm:sqref>U213:U226</xm:sqref>
        </x14:conditionalFormatting>
        <x14:conditionalFormatting xmlns:xm="http://schemas.microsoft.com/office/excel/2006/main">
          <x14:cfRule type="expression" priority="612" id="{D5EEB7E8-075A-482B-AFC1-51C683A2E573}">
            <xm:f>$S$8='Assessment Details'!$Q$23</xm:f>
            <x14:dxf>
              <font>
                <color theme="0"/>
              </font>
              <fill>
                <patternFill>
                  <bgColor theme="0"/>
                </patternFill>
              </fill>
              <border>
                <vertical/>
                <horizontal/>
              </border>
            </x14:dxf>
          </x14:cfRule>
          <xm:sqref>N213:N226</xm:sqref>
        </x14:conditionalFormatting>
        <x14:conditionalFormatting xmlns:xm="http://schemas.microsoft.com/office/excel/2006/main">
          <x14:cfRule type="expression" priority="611" id="{0B813027-90C8-4BFC-A25A-05CF56010166}">
            <xm:f>$S$8='Assessment Details'!$Q$23</xm:f>
            <x14:dxf>
              <border>
                <left style="thin">
                  <color theme="0"/>
                </left>
                <right style="thin">
                  <color theme="0"/>
                </right>
                <top style="thin">
                  <color theme="0"/>
                </top>
                <bottom style="thin">
                  <color theme="0"/>
                </bottom>
                <vertical/>
                <horizontal/>
              </border>
            </x14:dxf>
          </x14:cfRule>
          <xm:sqref>N213:N226</xm:sqref>
        </x14:conditionalFormatting>
        <x14:conditionalFormatting xmlns:xm="http://schemas.microsoft.com/office/excel/2006/main">
          <x14:cfRule type="expression" priority="606" id="{93639341-C588-40F7-9B23-91C6EB324DC0}">
            <xm:f>$S$8='Assessment Details'!$Q$23</xm:f>
            <x14:dxf>
              <font>
                <color theme="0"/>
              </font>
              <fill>
                <patternFill>
                  <bgColor theme="0"/>
                </patternFill>
              </fill>
              <border>
                <vertical/>
                <horizontal/>
              </border>
            </x14:dxf>
          </x14:cfRule>
          <xm:sqref>U213:U226</xm:sqref>
        </x14:conditionalFormatting>
        <x14:conditionalFormatting xmlns:xm="http://schemas.microsoft.com/office/excel/2006/main">
          <x14:cfRule type="expression" priority="605" id="{7B7128F1-54B0-4D1C-81B6-79A14A8DBC5D}">
            <xm:f>$S$8='Assessment Details'!$Q$23</xm:f>
            <x14:dxf>
              <border>
                <left style="thin">
                  <color theme="0"/>
                </left>
                <right style="thin">
                  <color theme="0"/>
                </right>
                <top style="thin">
                  <color theme="0"/>
                </top>
                <bottom style="thin">
                  <color theme="0"/>
                </bottom>
                <vertical/>
                <horizontal/>
              </border>
            </x14:dxf>
          </x14:cfRule>
          <xm:sqref>U213:U226</xm:sqref>
        </x14:conditionalFormatting>
        <x14:conditionalFormatting xmlns:xm="http://schemas.microsoft.com/office/excel/2006/main">
          <x14:cfRule type="expression" priority="604" id="{CAEE13B0-6E62-49E8-8123-F42128112D58}">
            <xm:f>$S$8='Assessment Details'!$Q$23</xm:f>
            <x14:dxf>
              <font>
                <color theme="0"/>
              </font>
              <fill>
                <patternFill>
                  <bgColor theme="0"/>
                </patternFill>
              </fill>
              <border>
                <vertical/>
                <horizontal/>
              </border>
            </x14:dxf>
          </x14:cfRule>
          <xm:sqref>W213:W226</xm:sqref>
        </x14:conditionalFormatting>
        <x14:conditionalFormatting xmlns:xm="http://schemas.microsoft.com/office/excel/2006/main">
          <x14:cfRule type="expression" priority="603" id="{B122DFB8-CD2D-4DCF-B071-7928086D03E9}">
            <xm:f>$S$8='Assessment Details'!$Q$23</xm:f>
            <x14:dxf>
              <border>
                <left style="thin">
                  <color theme="0"/>
                </left>
                <right style="thin">
                  <color theme="0"/>
                </right>
                <top style="thin">
                  <color theme="0"/>
                </top>
                <bottom style="thin">
                  <color theme="0"/>
                </bottom>
                <vertical/>
                <horizontal/>
              </border>
            </x14:dxf>
          </x14:cfRule>
          <xm:sqref>W213:W226</xm:sqref>
        </x14:conditionalFormatting>
        <x14:conditionalFormatting xmlns:xm="http://schemas.microsoft.com/office/excel/2006/main">
          <x14:cfRule type="expression" priority="636" id="{7C88334D-52CD-4F47-88C6-30AD86C01FC2}">
            <xm:f>$Z$8='Assessment Details'!$Q$23</xm:f>
            <x14:dxf>
              <font>
                <color theme="0"/>
              </font>
              <fill>
                <patternFill>
                  <bgColor theme="0"/>
                </patternFill>
              </fill>
            </x14:dxf>
          </x14:cfRule>
          <xm:sqref>U213:Z226</xm:sqref>
        </x14:conditionalFormatting>
        <x14:conditionalFormatting xmlns:xm="http://schemas.microsoft.com/office/excel/2006/main">
          <x14:cfRule type="expression" priority="637" id="{C715343C-CBDE-46AC-8E04-F1520CC08A4D}">
            <xm:f>$Z$8='Assessment Details'!$Q$23</xm:f>
            <x14:dxf>
              <border>
                <left style="thin">
                  <color theme="0"/>
                </left>
                <right style="thin">
                  <color theme="0"/>
                </right>
                <top style="thin">
                  <color theme="0"/>
                </top>
                <bottom style="thin">
                  <color theme="0"/>
                </bottom>
                <vertical/>
                <horizontal/>
              </border>
            </x14:dxf>
          </x14:cfRule>
          <xm:sqref>U213:Z226</xm:sqref>
        </x14:conditionalFormatting>
        <x14:conditionalFormatting xmlns:xm="http://schemas.microsoft.com/office/excel/2006/main">
          <x14:cfRule type="expression" priority="599" id="{1D0B6816-0ACD-49D3-AC26-20489EC84DC6}">
            <xm:f>$S$8='Assessment Details'!$Q$23</xm:f>
            <x14:dxf>
              <font>
                <color theme="0"/>
              </font>
              <fill>
                <patternFill>
                  <bgColor theme="0"/>
                </patternFill>
              </fill>
              <border>
                <vertical/>
                <horizontal/>
              </border>
            </x14:dxf>
          </x14:cfRule>
          <xm:sqref>N118:S118</xm:sqref>
        </x14:conditionalFormatting>
        <x14:conditionalFormatting xmlns:xm="http://schemas.microsoft.com/office/excel/2006/main">
          <x14:cfRule type="expression" priority="598" id="{D60F16AA-CFD6-478C-B82B-6628FEEA277D}">
            <xm:f>$S$8='Assessment Details'!$Q$23</xm:f>
            <x14:dxf>
              <border>
                <left style="thin">
                  <color theme="0"/>
                </left>
                <right style="thin">
                  <color theme="0"/>
                </right>
                <top style="thin">
                  <color theme="0"/>
                </top>
                <bottom style="thin">
                  <color theme="0"/>
                </bottom>
                <vertical/>
                <horizontal/>
              </border>
            </x14:dxf>
          </x14:cfRule>
          <xm:sqref>N118:S118</xm:sqref>
        </x14:conditionalFormatting>
        <x14:conditionalFormatting xmlns:xm="http://schemas.microsoft.com/office/excel/2006/main">
          <x14:cfRule type="expression" priority="601" id="{356C8871-B85B-4DC4-B3B6-F9AE9E51B2A7}">
            <xm:f>$Z$8='Assessment Details'!$Q$23</xm:f>
            <x14:dxf>
              <font>
                <color theme="0"/>
              </font>
              <fill>
                <patternFill>
                  <bgColor theme="0"/>
                </patternFill>
              </fill>
            </x14:dxf>
          </x14:cfRule>
          <xm:sqref>U118:Z118</xm:sqref>
        </x14:conditionalFormatting>
        <x14:conditionalFormatting xmlns:xm="http://schemas.microsoft.com/office/excel/2006/main">
          <x14:cfRule type="expression" priority="602" id="{EE1426CC-AADA-4C43-89C9-CBC68939AD4E}">
            <xm:f>$Z$8='Assessment Details'!$Q$23</xm:f>
            <x14:dxf>
              <border>
                <left style="thin">
                  <color theme="0"/>
                </left>
                <right style="thin">
                  <color theme="0"/>
                </right>
                <top style="thin">
                  <color theme="0"/>
                </top>
                <bottom style="thin">
                  <color theme="0"/>
                </bottom>
                <vertical/>
                <horizontal/>
              </border>
            </x14:dxf>
          </x14:cfRule>
          <xm:sqref>U118:Z118</xm:sqref>
        </x14:conditionalFormatting>
        <x14:conditionalFormatting xmlns:xm="http://schemas.microsoft.com/office/excel/2006/main">
          <x14:cfRule type="expression" priority="570" id="{AAC646EB-E609-4B62-BA1C-07FADE370399}">
            <xm:f>$S$8='Assessment Details'!$Q$23</xm:f>
            <x14:dxf>
              <font>
                <color theme="0"/>
              </font>
              <fill>
                <patternFill>
                  <bgColor theme="0"/>
                </patternFill>
              </fill>
              <border>
                <vertical/>
                <horizontal/>
              </border>
            </x14:dxf>
          </x14:cfRule>
          <xm:sqref>N117:S117</xm:sqref>
        </x14:conditionalFormatting>
        <x14:conditionalFormatting xmlns:xm="http://schemas.microsoft.com/office/excel/2006/main">
          <x14:cfRule type="expression" priority="569" id="{9F1C9523-6848-4855-B1CE-296AC42A3F84}">
            <xm:f>$S$8='Assessment Details'!$Q$23</xm:f>
            <x14:dxf>
              <border>
                <left style="thin">
                  <color theme="0"/>
                </left>
                <right style="thin">
                  <color theme="0"/>
                </right>
                <top style="thin">
                  <color theme="0"/>
                </top>
                <bottom style="thin">
                  <color theme="0"/>
                </bottom>
                <vertical/>
                <horizontal/>
              </border>
            </x14:dxf>
          </x14:cfRule>
          <xm:sqref>N117:S117</xm:sqref>
        </x14:conditionalFormatting>
        <x14:conditionalFormatting xmlns:xm="http://schemas.microsoft.com/office/excel/2006/main">
          <x14:cfRule type="expression" priority="584" id="{2099D480-B086-4F8D-83F6-F22D9B86716E}">
            <xm:f>$Z$8='Assessment Details'!$Q$23</xm:f>
            <x14:dxf>
              <font>
                <color theme="0"/>
              </font>
              <fill>
                <patternFill>
                  <bgColor theme="0"/>
                </patternFill>
              </fill>
            </x14:dxf>
          </x14:cfRule>
          <xm:sqref>U117:Z117</xm:sqref>
        </x14:conditionalFormatting>
        <x14:conditionalFormatting xmlns:xm="http://schemas.microsoft.com/office/excel/2006/main">
          <x14:cfRule type="expression" priority="585" id="{82BA2FFD-9433-4653-AA4C-7E011B5F0442}">
            <xm:f>$Z$8='Assessment Details'!$Q$23</xm:f>
            <x14:dxf>
              <border>
                <left style="thin">
                  <color theme="0"/>
                </left>
                <right style="thin">
                  <color theme="0"/>
                </right>
                <top style="thin">
                  <color theme="0"/>
                </top>
                <bottom style="thin">
                  <color theme="0"/>
                </bottom>
                <vertical/>
                <horizontal/>
              </border>
            </x14:dxf>
          </x14:cfRule>
          <xm:sqref>U117:Z117</xm:sqref>
        </x14:conditionalFormatting>
        <x14:conditionalFormatting xmlns:xm="http://schemas.microsoft.com/office/excel/2006/main">
          <x14:cfRule type="expression" priority="553" id="{C5236988-C79D-4852-8999-11FFAE35BC9E}">
            <xm:f>$S$8='Assessment Details'!$Q$23</xm:f>
            <x14:dxf>
              <font>
                <color theme="0"/>
              </font>
              <fill>
                <patternFill>
                  <bgColor theme="0"/>
                </patternFill>
              </fill>
              <border>
                <vertical/>
                <horizontal/>
              </border>
            </x14:dxf>
          </x14:cfRule>
          <xm:sqref>N116:S116</xm:sqref>
        </x14:conditionalFormatting>
        <x14:conditionalFormatting xmlns:xm="http://schemas.microsoft.com/office/excel/2006/main">
          <x14:cfRule type="expression" priority="552" id="{DDEF06B5-E1D9-4BD4-89DA-28BA0E1AE4FC}">
            <xm:f>$S$8='Assessment Details'!$Q$23</xm:f>
            <x14:dxf>
              <border>
                <left style="thin">
                  <color theme="0"/>
                </left>
                <right style="thin">
                  <color theme="0"/>
                </right>
                <top style="thin">
                  <color theme="0"/>
                </top>
                <bottom style="thin">
                  <color theme="0"/>
                </bottom>
                <vertical/>
                <horizontal/>
              </border>
            </x14:dxf>
          </x14:cfRule>
          <xm:sqref>N116:S116</xm:sqref>
        </x14:conditionalFormatting>
        <x14:conditionalFormatting xmlns:xm="http://schemas.microsoft.com/office/excel/2006/main">
          <x14:cfRule type="expression" priority="551" id="{C347AA3C-D0B8-4F09-B4D1-36DB18DE78EF}">
            <xm:f>$S$8='Assessment Details'!$Q$23</xm:f>
            <x14:dxf>
              <font>
                <color theme="0"/>
              </font>
              <fill>
                <patternFill>
                  <bgColor theme="0"/>
                </patternFill>
              </fill>
              <border>
                <vertical/>
                <horizontal/>
              </border>
            </x14:dxf>
          </x14:cfRule>
          <xm:sqref>G116</xm:sqref>
        </x14:conditionalFormatting>
        <x14:conditionalFormatting xmlns:xm="http://schemas.microsoft.com/office/excel/2006/main">
          <x14:cfRule type="expression" priority="550" id="{8968B4EF-1BC8-4A39-B0EC-CDE08651E6BB}">
            <xm:f>$S$8='Assessment Details'!$Q$23</xm:f>
            <x14:dxf>
              <border>
                <left style="thin">
                  <color theme="0"/>
                </left>
                <right style="thin">
                  <color theme="0"/>
                </right>
                <top style="thin">
                  <color theme="0"/>
                </top>
                <bottom style="thin">
                  <color theme="0"/>
                </bottom>
                <vertical/>
                <horizontal/>
              </border>
            </x14:dxf>
          </x14:cfRule>
          <xm:sqref>G116</xm:sqref>
        </x14:conditionalFormatting>
        <x14:conditionalFormatting xmlns:xm="http://schemas.microsoft.com/office/excel/2006/main">
          <x14:cfRule type="expression" priority="549" id="{69D85CA4-253D-4379-BE5F-2600F332D9AE}">
            <xm:f>$S$8='Assessment Details'!$Q$23</xm:f>
            <x14:dxf>
              <font>
                <color theme="0"/>
              </font>
              <fill>
                <patternFill>
                  <bgColor theme="0"/>
                </patternFill>
              </fill>
              <border>
                <vertical/>
                <horizontal/>
              </border>
            </x14:dxf>
          </x14:cfRule>
          <xm:sqref>U116</xm:sqref>
        </x14:conditionalFormatting>
        <x14:conditionalFormatting xmlns:xm="http://schemas.microsoft.com/office/excel/2006/main">
          <x14:cfRule type="expression" priority="548" id="{5C0A885D-4C5B-45DD-92FD-4D0E01D2BDDC}">
            <xm:f>$S$8='Assessment Details'!$Q$23</xm:f>
            <x14:dxf>
              <border>
                <left style="thin">
                  <color theme="0"/>
                </left>
                <right style="thin">
                  <color theme="0"/>
                </right>
                <top style="thin">
                  <color theme="0"/>
                </top>
                <bottom style="thin">
                  <color theme="0"/>
                </bottom>
                <vertical/>
                <horizontal/>
              </border>
            </x14:dxf>
          </x14:cfRule>
          <xm:sqref>U116</xm:sqref>
        </x14:conditionalFormatting>
        <x14:conditionalFormatting xmlns:xm="http://schemas.microsoft.com/office/excel/2006/main">
          <x14:cfRule type="expression" priority="547" id="{D376F328-03D9-4CEE-8BAC-7288D8179742}">
            <xm:f>$S$8='Assessment Details'!$Q$23</xm:f>
            <x14:dxf>
              <font>
                <color theme="0"/>
              </font>
              <fill>
                <patternFill>
                  <bgColor theme="0"/>
                </patternFill>
              </fill>
              <border>
                <vertical/>
                <horizontal/>
              </border>
            </x14:dxf>
          </x14:cfRule>
          <xm:sqref>W116</xm:sqref>
        </x14:conditionalFormatting>
        <x14:conditionalFormatting xmlns:xm="http://schemas.microsoft.com/office/excel/2006/main">
          <x14:cfRule type="expression" priority="546" id="{16FB1F49-1E96-4739-AC5F-3FECD1E2F8D7}">
            <xm:f>$S$8='Assessment Details'!$Q$23</xm:f>
            <x14:dxf>
              <border>
                <left style="thin">
                  <color theme="0"/>
                </left>
                <right style="thin">
                  <color theme="0"/>
                </right>
                <top style="thin">
                  <color theme="0"/>
                </top>
                <bottom style="thin">
                  <color theme="0"/>
                </bottom>
                <vertical/>
                <horizontal/>
              </border>
            </x14:dxf>
          </x14:cfRule>
          <xm:sqref>W116</xm:sqref>
        </x14:conditionalFormatting>
        <x14:conditionalFormatting xmlns:xm="http://schemas.microsoft.com/office/excel/2006/main">
          <x14:cfRule type="expression" priority="567" id="{615ACCA1-B3C1-46D8-8DCA-8569DD362245}">
            <xm:f>$Z$8='Assessment Details'!$Q$23</xm:f>
            <x14:dxf>
              <font>
                <color theme="0"/>
              </font>
              <fill>
                <patternFill>
                  <bgColor theme="0"/>
                </patternFill>
              </fill>
            </x14:dxf>
          </x14:cfRule>
          <xm:sqref>U116:Z116</xm:sqref>
        </x14:conditionalFormatting>
        <x14:conditionalFormatting xmlns:xm="http://schemas.microsoft.com/office/excel/2006/main">
          <x14:cfRule type="expression" priority="568" id="{09B8543E-EE9F-4ACC-816B-265230469AE1}">
            <xm:f>$Z$8='Assessment Details'!$Q$23</xm:f>
            <x14:dxf>
              <border>
                <left style="thin">
                  <color theme="0"/>
                </left>
                <right style="thin">
                  <color theme="0"/>
                </right>
                <top style="thin">
                  <color theme="0"/>
                </top>
                <bottom style="thin">
                  <color theme="0"/>
                </bottom>
                <vertical/>
                <horizontal/>
              </border>
            </x14:dxf>
          </x14:cfRule>
          <xm:sqref>U116:Z116</xm:sqref>
        </x14:conditionalFormatting>
        <x14:conditionalFormatting xmlns:xm="http://schemas.microsoft.com/office/excel/2006/main">
          <x14:cfRule type="expression" priority="542" id="{065B54E9-10FD-4A6F-ABC8-5F7EE8EA1D21}">
            <xm:f>$S$8='Assessment Details'!$Q$23</xm:f>
            <x14:dxf>
              <font>
                <color theme="0"/>
              </font>
              <fill>
                <patternFill>
                  <bgColor theme="0"/>
                </patternFill>
              </fill>
              <border>
                <vertical/>
                <horizontal/>
              </border>
            </x14:dxf>
          </x14:cfRule>
          <xm:sqref>N148:S148</xm:sqref>
        </x14:conditionalFormatting>
        <x14:conditionalFormatting xmlns:xm="http://schemas.microsoft.com/office/excel/2006/main">
          <x14:cfRule type="expression" priority="541" id="{6A970959-C929-4159-981D-2B2BF03B0E28}">
            <xm:f>$S$8='Assessment Details'!$Q$23</xm:f>
            <x14:dxf>
              <border>
                <left style="thin">
                  <color theme="0"/>
                </left>
                <right style="thin">
                  <color theme="0"/>
                </right>
                <top style="thin">
                  <color theme="0"/>
                </top>
                <bottom style="thin">
                  <color theme="0"/>
                </bottom>
                <vertical/>
                <horizontal/>
              </border>
            </x14:dxf>
          </x14:cfRule>
          <xm:sqref>N148:S148</xm:sqref>
        </x14:conditionalFormatting>
        <x14:conditionalFormatting xmlns:xm="http://schemas.microsoft.com/office/excel/2006/main">
          <x14:cfRule type="expression" priority="544" id="{5D0546AA-2DA6-4AAE-94D6-686ECE21A073}">
            <xm:f>$Z$8='Assessment Details'!$Q$23</xm:f>
            <x14:dxf>
              <font>
                <color theme="0"/>
              </font>
              <fill>
                <patternFill>
                  <bgColor theme="0"/>
                </patternFill>
              </fill>
            </x14:dxf>
          </x14:cfRule>
          <xm:sqref>U148:Z148</xm:sqref>
        </x14:conditionalFormatting>
        <x14:conditionalFormatting xmlns:xm="http://schemas.microsoft.com/office/excel/2006/main">
          <x14:cfRule type="expression" priority="545" id="{3E2AAD29-A6D9-4014-8E03-38B448FE21C0}">
            <xm:f>$Z$8='Assessment Details'!$Q$23</xm:f>
            <x14:dxf>
              <border>
                <left style="thin">
                  <color theme="0"/>
                </left>
                <right style="thin">
                  <color theme="0"/>
                </right>
                <top style="thin">
                  <color theme="0"/>
                </top>
                <bottom style="thin">
                  <color theme="0"/>
                </bottom>
                <vertical/>
                <horizontal/>
              </border>
            </x14:dxf>
          </x14:cfRule>
          <xm:sqref>U148:Z148</xm:sqref>
        </x14:conditionalFormatting>
        <x14:conditionalFormatting xmlns:xm="http://schemas.microsoft.com/office/excel/2006/main">
          <x14:cfRule type="expression" priority="496" id="{EFF4629E-F88C-401C-B24C-4393F3F8C395}">
            <xm:f>$S$8='Assessment Details'!$Q$23</xm:f>
            <x14:dxf>
              <font>
                <color theme="0"/>
              </font>
              <fill>
                <patternFill>
                  <bgColor theme="0"/>
                </patternFill>
              </fill>
              <border>
                <vertical/>
                <horizontal/>
              </border>
            </x14:dxf>
          </x14:cfRule>
          <xm:sqref>N147:S147</xm:sqref>
        </x14:conditionalFormatting>
        <x14:conditionalFormatting xmlns:xm="http://schemas.microsoft.com/office/excel/2006/main">
          <x14:cfRule type="expression" priority="495" id="{D2372C6D-1B3D-4954-940A-8D4EAD377660}">
            <xm:f>$S$8='Assessment Details'!$Q$23</xm:f>
            <x14:dxf>
              <border>
                <left style="thin">
                  <color theme="0"/>
                </left>
                <right style="thin">
                  <color theme="0"/>
                </right>
                <top style="thin">
                  <color theme="0"/>
                </top>
                <bottom style="thin">
                  <color theme="0"/>
                </bottom>
                <vertical/>
                <horizontal/>
              </border>
            </x14:dxf>
          </x14:cfRule>
          <xm:sqref>N147:S147</xm:sqref>
        </x14:conditionalFormatting>
        <x14:conditionalFormatting xmlns:xm="http://schemas.microsoft.com/office/excel/2006/main">
          <x14:cfRule type="expression" priority="510" id="{C7AF57F1-B3E5-46E1-A3EA-2655E8B396D8}">
            <xm:f>$Z$8='Assessment Details'!$Q$23</xm:f>
            <x14:dxf>
              <font>
                <color theme="0"/>
              </font>
              <fill>
                <patternFill>
                  <bgColor theme="0"/>
                </patternFill>
              </fill>
            </x14:dxf>
          </x14:cfRule>
          <xm:sqref>U147:Z147</xm:sqref>
        </x14:conditionalFormatting>
        <x14:conditionalFormatting xmlns:xm="http://schemas.microsoft.com/office/excel/2006/main">
          <x14:cfRule type="expression" priority="511" id="{293256E3-6A2E-441F-9171-D17EC6DDEFEF}">
            <xm:f>$Z$8='Assessment Details'!$Q$23</xm:f>
            <x14:dxf>
              <border>
                <left style="thin">
                  <color theme="0"/>
                </left>
                <right style="thin">
                  <color theme="0"/>
                </right>
                <top style="thin">
                  <color theme="0"/>
                </top>
                <bottom style="thin">
                  <color theme="0"/>
                </bottom>
                <vertical/>
                <horizontal/>
              </border>
            </x14:dxf>
          </x14:cfRule>
          <xm:sqref>U147:Z147</xm:sqref>
        </x14:conditionalFormatting>
        <x14:conditionalFormatting xmlns:xm="http://schemas.microsoft.com/office/excel/2006/main">
          <x14:cfRule type="expression" priority="479" id="{3C999881-22D4-4377-B422-96E7BA4A6D7C}">
            <xm:f>$S$8='Assessment Details'!$Q$23</xm:f>
            <x14:dxf>
              <font>
                <color theme="0"/>
              </font>
              <fill>
                <patternFill>
                  <bgColor theme="0"/>
                </patternFill>
              </fill>
              <border>
                <vertical/>
                <horizontal/>
              </border>
            </x14:dxf>
          </x14:cfRule>
          <xm:sqref>N146:S146</xm:sqref>
        </x14:conditionalFormatting>
        <x14:conditionalFormatting xmlns:xm="http://schemas.microsoft.com/office/excel/2006/main">
          <x14:cfRule type="expression" priority="478" id="{9EA097CD-30CD-4E04-894B-CC20B8E1FC75}">
            <xm:f>$S$8='Assessment Details'!$Q$23</xm:f>
            <x14:dxf>
              <border>
                <left style="thin">
                  <color theme="0"/>
                </left>
                <right style="thin">
                  <color theme="0"/>
                </right>
                <top style="thin">
                  <color theme="0"/>
                </top>
                <bottom style="thin">
                  <color theme="0"/>
                </bottom>
                <vertical/>
                <horizontal/>
              </border>
            </x14:dxf>
          </x14:cfRule>
          <xm:sqref>N146:S146</xm:sqref>
        </x14:conditionalFormatting>
        <x14:conditionalFormatting xmlns:xm="http://schemas.microsoft.com/office/excel/2006/main">
          <x14:cfRule type="expression" priority="477" id="{71344784-8930-41DD-9068-F1A27456F2FB}">
            <xm:f>$S$8='Assessment Details'!$Q$23</xm:f>
            <x14:dxf>
              <font>
                <color theme="0"/>
              </font>
              <fill>
                <patternFill>
                  <bgColor theme="0"/>
                </patternFill>
              </fill>
              <border>
                <vertical/>
                <horizontal/>
              </border>
            </x14:dxf>
          </x14:cfRule>
          <xm:sqref>G146</xm:sqref>
        </x14:conditionalFormatting>
        <x14:conditionalFormatting xmlns:xm="http://schemas.microsoft.com/office/excel/2006/main">
          <x14:cfRule type="expression" priority="476" id="{17D3BFAC-3ED5-46B7-8A87-FDE46A9FE42C}">
            <xm:f>$S$8='Assessment Details'!$Q$23</xm:f>
            <x14:dxf>
              <border>
                <left style="thin">
                  <color theme="0"/>
                </left>
                <right style="thin">
                  <color theme="0"/>
                </right>
                <top style="thin">
                  <color theme="0"/>
                </top>
                <bottom style="thin">
                  <color theme="0"/>
                </bottom>
                <vertical/>
                <horizontal/>
              </border>
            </x14:dxf>
          </x14:cfRule>
          <xm:sqref>G146</xm:sqref>
        </x14:conditionalFormatting>
        <x14:conditionalFormatting xmlns:xm="http://schemas.microsoft.com/office/excel/2006/main">
          <x14:cfRule type="expression" priority="475" id="{4D33337E-30D9-4C34-AEC2-F855097553FE}">
            <xm:f>$S$8='Assessment Details'!$Q$23</xm:f>
            <x14:dxf>
              <font>
                <color theme="0"/>
              </font>
              <fill>
                <patternFill>
                  <bgColor theme="0"/>
                </patternFill>
              </fill>
              <border>
                <vertical/>
                <horizontal/>
              </border>
            </x14:dxf>
          </x14:cfRule>
          <xm:sqref>U146</xm:sqref>
        </x14:conditionalFormatting>
        <x14:conditionalFormatting xmlns:xm="http://schemas.microsoft.com/office/excel/2006/main">
          <x14:cfRule type="expression" priority="474" id="{6D8C878D-D96F-446E-96C6-477ED50893A3}">
            <xm:f>$S$8='Assessment Details'!$Q$23</xm:f>
            <x14:dxf>
              <border>
                <left style="thin">
                  <color theme="0"/>
                </left>
                <right style="thin">
                  <color theme="0"/>
                </right>
                <top style="thin">
                  <color theme="0"/>
                </top>
                <bottom style="thin">
                  <color theme="0"/>
                </bottom>
                <vertical/>
                <horizontal/>
              </border>
            </x14:dxf>
          </x14:cfRule>
          <xm:sqref>U146</xm:sqref>
        </x14:conditionalFormatting>
        <x14:conditionalFormatting xmlns:xm="http://schemas.microsoft.com/office/excel/2006/main">
          <x14:cfRule type="expression" priority="473" id="{15294CC7-DCC1-4D84-827F-CB285653FCF0}">
            <xm:f>$S$8='Assessment Details'!$Q$23</xm:f>
            <x14:dxf>
              <font>
                <color theme="0"/>
              </font>
              <fill>
                <patternFill>
                  <bgColor theme="0"/>
                </patternFill>
              </fill>
              <border>
                <vertical/>
                <horizontal/>
              </border>
            </x14:dxf>
          </x14:cfRule>
          <xm:sqref>W146</xm:sqref>
        </x14:conditionalFormatting>
        <x14:conditionalFormatting xmlns:xm="http://schemas.microsoft.com/office/excel/2006/main">
          <x14:cfRule type="expression" priority="472" id="{E7CDA425-F81B-49E1-93FB-886D21F2B0CF}">
            <xm:f>$S$8='Assessment Details'!$Q$23</xm:f>
            <x14:dxf>
              <border>
                <left style="thin">
                  <color theme="0"/>
                </left>
                <right style="thin">
                  <color theme="0"/>
                </right>
                <top style="thin">
                  <color theme="0"/>
                </top>
                <bottom style="thin">
                  <color theme="0"/>
                </bottom>
                <vertical/>
                <horizontal/>
              </border>
            </x14:dxf>
          </x14:cfRule>
          <xm:sqref>W146</xm:sqref>
        </x14:conditionalFormatting>
        <x14:conditionalFormatting xmlns:xm="http://schemas.microsoft.com/office/excel/2006/main">
          <x14:cfRule type="expression" priority="493" id="{03FF957A-6047-4E35-9C1E-8D0487FCDA7B}">
            <xm:f>$Z$8='Assessment Details'!$Q$23</xm:f>
            <x14:dxf>
              <font>
                <color theme="0"/>
              </font>
              <fill>
                <patternFill>
                  <bgColor theme="0"/>
                </patternFill>
              </fill>
            </x14:dxf>
          </x14:cfRule>
          <xm:sqref>U146:Z146</xm:sqref>
        </x14:conditionalFormatting>
        <x14:conditionalFormatting xmlns:xm="http://schemas.microsoft.com/office/excel/2006/main">
          <x14:cfRule type="expression" priority="494" id="{00343659-48AD-46B3-B4BB-B29A3AEFEEC2}">
            <xm:f>$Z$8='Assessment Details'!$Q$23</xm:f>
            <x14:dxf>
              <border>
                <left style="thin">
                  <color theme="0"/>
                </left>
                <right style="thin">
                  <color theme="0"/>
                </right>
                <top style="thin">
                  <color theme="0"/>
                </top>
                <bottom style="thin">
                  <color theme="0"/>
                </bottom>
                <vertical/>
                <horizontal/>
              </border>
            </x14:dxf>
          </x14:cfRule>
          <xm:sqref>U146:Z146</xm:sqref>
        </x14:conditionalFormatting>
        <x14:conditionalFormatting xmlns:xm="http://schemas.microsoft.com/office/excel/2006/main">
          <x14:cfRule type="expression" priority="468" id="{FD0DBAA9-F08E-4C14-A08B-651DCC9992C3}">
            <xm:f>$S$8='Assessment Details'!$Q$23</xm:f>
            <x14:dxf>
              <font>
                <color theme="0"/>
              </font>
              <fill>
                <patternFill>
                  <bgColor theme="0"/>
                </patternFill>
              </fill>
              <border>
                <vertical/>
                <horizontal/>
              </border>
            </x14:dxf>
          </x14:cfRule>
          <xm:sqref>N163:S163</xm:sqref>
        </x14:conditionalFormatting>
        <x14:conditionalFormatting xmlns:xm="http://schemas.microsoft.com/office/excel/2006/main">
          <x14:cfRule type="expression" priority="467" id="{8F97BEAF-6DAD-4787-BD1B-9857C179295C}">
            <xm:f>$S$8='Assessment Details'!$Q$23</xm:f>
            <x14:dxf>
              <border>
                <left style="thin">
                  <color theme="0"/>
                </left>
                <right style="thin">
                  <color theme="0"/>
                </right>
                <top style="thin">
                  <color theme="0"/>
                </top>
                <bottom style="thin">
                  <color theme="0"/>
                </bottom>
                <vertical/>
                <horizontal/>
              </border>
            </x14:dxf>
          </x14:cfRule>
          <xm:sqref>N163:S163</xm:sqref>
        </x14:conditionalFormatting>
        <x14:conditionalFormatting xmlns:xm="http://schemas.microsoft.com/office/excel/2006/main">
          <x14:cfRule type="expression" priority="470" id="{141B743C-5323-4893-8270-4A989CC4771B}">
            <xm:f>$Z$8='Assessment Details'!$Q$23</xm:f>
            <x14:dxf>
              <font>
                <color theme="0"/>
              </font>
              <fill>
                <patternFill>
                  <bgColor theme="0"/>
                </patternFill>
              </fill>
            </x14:dxf>
          </x14:cfRule>
          <xm:sqref>U163:Z163</xm:sqref>
        </x14:conditionalFormatting>
        <x14:conditionalFormatting xmlns:xm="http://schemas.microsoft.com/office/excel/2006/main">
          <x14:cfRule type="expression" priority="471" id="{7735BDAE-C7D8-43C2-B4B1-85AE25DE2A5B}">
            <xm:f>$Z$8='Assessment Details'!$Q$23</xm:f>
            <x14:dxf>
              <border>
                <left style="thin">
                  <color theme="0"/>
                </left>
                <right style="thin">
                  <color theme="0"/>
                </right>
                <top style="thin">
                  <color theme="0"/>
                </top>
                <bottom style="thin">
                  <color theme="0"/>
                </bottom>
                <vertical/>
                <horizontal/>
              </border>
            </x14:dxf>
          </x14:cfRule>
          <xm:sqref>U163:Z163</xm:sqref>
        </x14:conditionalFormatting>
        <x14:conditionalFormatting xmlns:xm="http://schemas.microsoft.com/office/excel/2006/main">
          <x14:cfRule type="expression" priority="405" id="{D4593B21-BCBD-41EE-93A1-FDE51180C2A0}">
            <xm:f>$S$8='Assessment Details'!$Q$23</xm:f>
            <x14:dxf>
              <font>
                <color theme="0"/>
              </font>
              <fill>
                <patternFill>
                  <bgColor theme="0"/>
                </patternFill>
              </fill>
              <border>
                <vertical/>
                <horizontal/>
              </border>
            </x14:dxf>
          </x14:cfRule>
          <xm:sqref>N162:S162</xm:sqref>
        </x14:conditionalFormatting>
        <x14:conditionalFormatting xmlns:xm="http://schemas.microsoft.com/office/excel/2006/main">
          <x14:cfRule type="expression" priority="404" id="{E86AD8DD-06EB-41C6-889C-62DF146A38E0}">
            <xm:f>$S$8='Assessment Details'!$Q$23</xm:f>
            <x14:dxf>
              <border>
                <left style="thin">
                  <color theme="0"/>
                </left>
                <right style="thin">
                  <color theme="0"/>
                </right>
                <top style="thin">
                  <color theme="0"/>
                </top>
                <bottom style="thin">
                  <color theme="0"/>
                </bottom>
                <vertical/>
                <horizontal/>
              </border>
            </x14:dxf>
          </x14:cfRule>
          <xm:sqref>N162:S162</xm:sqref>
        </x14:conditionalFormatting>
        <x14:conditionalFormatting xmlns:xm="http://schemas.microsoft.com/office/excel/2006/main">
          <x14:cfRule type="expression" priority="419" id="{CE6C71F0-8DE5-40BB-90F5-389E0D4FCAF6}">
            <xm:f>$Z$8='Assessment Details'!$Q$23</xm:f>
            <x14:dxf>
              <font>
                <color theme="0"/>
              </font>
              <fill>
                <patternFill>
                  <bgColor theme="0"/>
                </patternFill>
              </fill>
            </x14:dxf>
          </x14:cfRule>
          <xm:sqref>U162:Z162</xm:sqref>
        </x14:conditionalFormatting>
        <x14:conditionalFormatting xmlns:xm="http://schemas.microsoft.com/office/excel/2006/main">
          <x14:cfRule type="expression" priority="420" id="{B4FF73DB-7FC4-4D3A-86B8-14B54CD36108}">
            <xm:f>$Z$8='Assessment Details'!$Q$23</xm:f>
            <x14:dxf>
              <border>
                <left style="thin">
                  <color theme="0"/>
                </left>
                <right style="thin">
                  <color theme="0"/>
                </right>
                <top style="thin">
                  <color theme="0"/>
                </top>
                <bottom style="thin">
                  <color theme="0"/>
                </bottom>
                <vertical/>
                <horizontal/>
              </border>
            </x14:dxf>
          </x14:cfRule>
          <xm:sqref>U162:Z162</xm:sqref>
        </x14:conditionalFormatting>
        <x14:conditionalFormatting xmlns:xm="http://schemas.microsoft.com/office/excel/2006/main">
          <x14:cfRule type="expression" priority="400" id="{DF0939D4-5C86-416C-A01A-143B9BBE00FB}">
            <xm:f>$S$8='Assessment Details'!$Q$23</xm:f>
            <x14:dxf>
              <font>
                <color theme="0"/>
              </font>
              <fill>
                <patternFill>
                  <bgColor theme="0"/>
                </patternFill>
              </fill>
              <border>
                <vertical/>
                <horizontal/>
              </border>
            </x14:dxf>
          </x14:cfRule>
          <xm:sqref>N195:S195</xm:sqref>
        </x14:conditionalFormatting>
        <x14:conditionalFormatting xmlns:xm="http://schemas.microsoft.com/office/excel/2006/main">
          <x14:cfRule type="expression" priority="399" id="{49C30E61-8273-4E18-B379-F23FBB54C136}">
            <xm:f>$S$8='Assessment Details'!$Q$23</xm:f>
            <x14:dxf>
              <border>
                <left style="thin">
                  <color theme="0"/>
                </left>
                <right style="thin">
                  <color theme="0"/>
                </right>
                <top style="thin">
                  <color theme="0"/>
                </top>
                <bottom style="thin">
                  <color theme="0"/>
                </bottom>
                <vertical/>
                <horizontal/>
              </border>
            </x14:dxf>
          </x14:cfRule>
          <xm:sqref>N195:S195</xm:sqref>
        </x14:conditionalFormatting>
        <x14:conditionalFormatting xmlns:xm="http://schemas.microsoft.com/office/excel/2006/main">
          <x14:cfRule type="expression" priority="402" id="{FE2F6299-E911-4B63-83B8-9AD7D7FCE704}">
            <xm:f>$Z$8='Assessment Details'!$Q$23</xm:f>
            <x14:dxf>
              <font>
                <color theme="0"/>
              </font>
              <fill>
                <patternFill>
                  <bgColor theme="0"/>
                </patternFill>
              </fill>
            </x14:dxf>
          </x14:cfRule>
          <xm:sqref>U195:Z195</xm:sqref>
        </x14:conditionalFormatting>
        <x14:conditionalFormatting xmlns:xm="http://schemas.microsoft.com/office/excel/2006/main">
          <x14:cfRule type="expression" priority="403" id="{10469AA9-0936-4CA9-8992-101317D5B895}">
            <xm:f>$Z$8='Assessment Details'!$Q$23</xm:f>
            <x14:dxf>
              <border>
                <left style="thin">
                  <color theme="0"/>
                </left>
                <right style="thin">
                  <color theme="0"/>
                </right>
                <top style="thin">
                  <color theme="0"/>
                </top>
                <bottom style="thin">
                  <color theme="0"/>
                </bottom>
                <vertical/>
                <horizontal/>
              </border>
            </x14:dxf>
          </x14:cfRule>
          <xm:sqref>U195:Z195</xm:sqref>
        </x14:conditionalFormatting>
        <x14:conditionalFormatting xmlns:xm="http://schemas.microsoft.com/office/excel/2006/main">
          <x14:cfRule type="expression" priority="337" id="{172ABDCD-A906-4466-9501-00076A6F915E}">
            <xm:f>$S$8='Assessment Details'!$Q$23</xm:f>
            <x14:dxf>
              <font>
                <color theme="0"/>
              </font>
              <fill>
                <patternFill>
                  <bgColor theme="0"/>
                </patternFill>
              </fill>
              <border>
                <vertical/>
                <horizontal/>
              </border>
            </x14:dxf>
          </x14:cfRule>
          <xm:sqref>N194:S194</xm:sqref>
        </x14:conditionalFormatting>
        <x14:conditionalFormatting xmlns:xm="http://schemas.microsoft.com/office/excel/2006/main">
          <x14:cfRule type="expression" priority="336" id="{8F551B71-707E-4638-864F-D436EACC243A}">
            <xm:f>$S$8='Assessment Details'!$Q$23</xm:f>
            <x14:dxf>
              <border>
                <left style="thin">
                  <color theme="0"/>
                </left>
                <right style="thin">
                  <color theme="0"/>
                </right>
                <top style="thin">
                  <color theme="0"/>
                </top>
                <bottom style="thin">
                  <color theme="0"/>
                </bottom>
                <vertical/>
                <horizontal/>
              </border>
            </x14:dxf>
          </x14:cfRule>
          <xm:sqref>N194:S194</xm:sqref>
        </x14:conditionalFormatting>
        <x14:conditionalFormatting xmlns:xm="http://schemas.microsoft.com/office/excel/2006/main">
          <x14:cfRule type="expression" priority="351" id="{0F515721-4D9F-4F7F-93BD-6FDC7B480D17}">
            <xm:f>$Z$8='Assessment Details'!$Q$23</xm:f>
            <x14:dxf>
              <font>
                <color theme="0"/>
              </font>
              <fill>
                <patternFill>
                  <bgColor theme="0"/>
                </patternFill>
              </fill>
            </x14:dxf>
          </x14:cfRule>
          <xm:sqref>U194:Z194</xm:sqref>
        </x14:conditionalFormatting>
        <x14:conditionalFormatting xmlns:xm="http://schemas.microsoft.com/office/excel/2006/main">
          <x14:cfRule type="expression" priority="352" id="{3AADF273-AAA5-44D8-A001-A16F769A1DEA}">
            <xm:f>$Z$8='Assessment Details'!$Q$23</xm:f>
            <x14:dxf>
              <border>
                <left style="thin">
                  <color theme="0"/>
                </left>
                <right style="thin">
                  <color theme="0"/>
                </right>
                <top style="thin">
                  <color theme="0"/>
                </top>
                <bottom style="thin">
                  <color theme="0"/>
                </bottom>
                <vertical/>
                <horizontal/>
              </border>
            </x14:dxf>
          </x14:cfRule>
          <xm:sqref>U194:Z194</xm:sqref>
        </x14:conditionalFormatting>
        <x14:conditionalFormatting xmlns:xm="http://schemas.microsoft.com/office/excel/2006/main">
          <x14:cfRule type="expression" priority="320" id="{8902EC28-A13A-4568-8D35-D2BD2AC15F0E}">
            <xm:f>$S$8='Assessment Details'!$Q$23</xm:f>
            <x14:dxf>
              <font>
                <color theme="0"/>
              </font>
              <fill>
                <patternFill>
                  <bgColor theme="0"/>
                </patternFill>
              </fill>
              <border>
                <vertical/>
                <horizontal/>
              </border>
            </x14:dxf>
          </x14:cfRule>
          <xm:sqref>N161:S161</xm:sqref>
        </x14:conditionalFormatting>
        <x14:conditionalFormatting xmlns:xm="http://schemas.microsoft.com/office/excel/2006/main">
          <x14:cfRule type="expression" priority="319" id="{2BBF6B89-459D-4AE7-8F3C-7D0CDA267539}">
            <xm:f>$S$8='Assessment Details'!$Q$23</xm:f>
            <x14:dxf>
              <border>
                <left style="thin">
                  <color theme="0"/>
                </left>
                <right style="thin">
                  <color theme="0"/>
                </right>
                <top style="thin">
                  <color theme="0"/>
                </top>
                <bottom style="thin">
                  <color theme="0"/>
                </bottom>
                <vertical/>
                <horizontal/>
              </border>
            </x14:dxf>
          </x14:cfRule>
          <xm:sqref>N161:S161</xm:sqref>
        </x14:conditionalFormatting>
        <x14:conditionalFormatting xmlns:xm="http://schemas.microsoft.com/office/excel/2006/main">
          <x14:cfRule type="expression" priority="318" id="{78FAA767-EF37-463D-829F-0B1AF2BEDA83}">
            <xm:f>$S$8='Assessment Details'!$Q$23</xm:f>
            <x14:dxf>
              <font>
                <color theme="0"/>
              </font>
              <fill>
                <patternFill>
                  <bgColor theme="0"/>
                </patternFill>
              </fill>
              <border>
                <vertical/>
                <horizontal/>
              </border>
            </x14:dxf>
          </x14:cfRule>
          <xm:sqref>G161</xm:sqref>
        </x14:conditionalFormatting>
        <x14:conditionalFormatting xmlns:xm="http://schemas.microsoft.com/office/excel/2006/main">
          <x14:cfRule type="expression" priority="317" id="{59A148E8-E2E2-4C13-9BA7-4917EEFC9810}">
            <xm:f>$S$8='Assessment Details'!$Q$23</xm:f>
            <x14:dxf>
              <border>
                <left style="thin">
                  <color theme="0"/>
                </left>
                <right style="thin">
                  <color theme="0"/>
                </right>
                <top style="thin">
                  <color theme="0"/>
                </top>
                <bottom style="thin">
                  <color theme="0"/>
                </bottom>
                <vertical/>
                <horizontal/>
              </border>
            </x14:dxf>
          </x14:cfRule>
          <xm:sqref>G161</xm:sqref>
        </x14:conditionalFormatting>
        <x14:conditionalFormatting xmlns:xm="http://schemas.microsoft.com/office/excel/2006/main">
          <x14:cfRule type="expression" priority="316" id="{86C6382E-6A5F-4F5E-AC04-32CFAFDEB67A}">
            <xm:f>$S$8='Assessment Details'!$Q$23</xm:f>
            <x14:dxf>
              <font>
                <color theme="0"/>
              </font>
              <fill>
                <patternFill>
                  <bgColor theme="0"/>
                </patternFill>
              </fill>
              <border>
                <vertical/>
                <horizontal/>
              </border>
            </x14:dxf>
          </x14:cfRule>
          <xm:sqref>U161</xm:sqref>
        </x14:conditionalFormatting>
        <x14:conditionalFormatting xmlns:xm="http://schemas.microsoft.com/office/excel/2006/main">
          <x14:cfRule type="expression" priority="315" id="{F2C142DA-9146-48ED-8F06-FFE18D63DF4B}">
            <xm:f>$S$8='Assessment Details'!$Q$23</xm:f>
            <x14:dxf>
              <border>
                <left style="thin">
                  <color theme="0"/>
                </left>
                <right style="thin">
                  <color theme="0"/>
                </right>
                <top style="thin">
                  <color theme="0"/>
                </top>
                <bottom style="thin">
                  <color theme="0"/>
                </bottom>
                <vertical/>
                <horizontal/>
              </border>
            </x14:dxf>
          </x14:cfRule>
          <xm:sqref>U161</xm:sqref>
        </x14:conditionalFormatting>
        <x14:conditionalFormatting xmlns:xm="http://schemas.microsoft.com/office/excel/2006/main">
          <x14:cfRule type="expression" priority="314" id="{7764DF05-321F-47B2-B72A-C2A9A1A2FECF}">
            <xm:f>$S$8='Assessment Details'!$Q$23</xm:f>
            <x14:dxf>
              <font>
                <color theme="0"/>
              </font>
              <fill>
                <patternFill>
                  <bgColor theme="0"/>
                </patternFill>
              </fill>
              <border>
                <vertical/>
                <horizontal/>
              </border>
            </x14:dxf>
          </x14:cfRule>
          <xm:sqref>W161</xm:sqref>
        </x14:conditionalFormatting>
        <x14:conditionalFormatting xmlns:xm="http://schemas.microsoft.com/office/excel/2006/main">
          <x14:cfRule type="expression" priority="313" id="{B82C095B-4C92-4313-875D-746BDAEB18CC}">
            <xm:f>$S$8='Assessment Details'!$Q$23</xm:f>
            <x14:dxf>
              <border>
                <left style="thin">
                  <color theme="0"/>
                </left>
                <right style="thin">
                  <color theme="0"/>
                </right>
                <top style="thin">
                  <color theme="0"/>
                </top>
                <bottom style="thin">
                  <color theme="0"/>
                </bottom>
                <vertical/>
                <horizontal/>
              </border>
            </x14:dxf>
          </x14:cfRule>
          <xm:sqref>W161</xm:sqref>
        </x14:conditionalFormatting>
        <x14:conditionalFormatting xmlns:xm="http://schemas.microsoft.com/office/excel/2006/main">
          <x14:cfRule type="expression" priority="334" id="{4FFB8211-36DB-4191-95CE-5B1D4C18C8BD}">
            <xm:f>$Z$8='Assessment Details'!$Q$23</xm:f>
            <x14:dxf>
              <font>
                <color theme="0"/>
              </font>
              <fill>
                <patternFill>
                  <bgColor theme="0"/>
                </patternFill>
              </fill>
            </x14:dxf>
          </x14:cfRule>
          <xm:sqref>U161:Z161</xm:sqref>
        </x14:conditionalFormatting>
        <x14:conditionalFormatting xmlns:xm="http://schemas.microsoft.com/office/excel/2006/main">
          <x14:cfRule type="expression" priority="335" id="{872ADC80-9CAB-401C-921D-E536F46A4077}">
            <xm:f>$Z$8='Assessment Details'!$Q$23</xm:f>
            <x14:dxf>
              <border>
                <left style="thin">
                  <color theme="0"/>
                </left>
                <right style="thin">
                  <color theme="0"/>
                </right>
                <top style="thin">
                  <color theme="0"/>
                </top>
                <bottom style="thin">
                  <color theme="0"/>
                </bottom>
                <vertical/>
                <horizontal/>
              </border>
            </x14:dxf>
          </x14:cfRule>
          <xm:sqref>U161:Z161</xm:sqref>
        </x14:conditionalFormatting>
        <x14:conditionalFormatting xmlns:xm="http://schemas.microsoft.com/office/excel/2006/main">
          <x14:cfRule type="expression" priority="297" id="{1F82CB99-86B1-4C85-BE83-6F868889274E}">
            <xm:f>$S$8='Assessment Details'!$Q$23</xm:f>
            <x14:dxf>
              <font>
                <color theme="0"/>
              </font>
              <fill>
                <patternFill>
                  <bgColor theme="0"/>
                </patternFill>
              </fill>
              <border>
                <vertical/>
                <horizontal/>
              </border>
            </x14:dxf>
          </x14:cfRule>
          <xm:sqref>N193:S193</xm:sqref>
        </x14:conditionalFormatting>
        <x14:conditionalFormatting xmlns:xm="http://schemas.microsoft.com/office/excel/2006/main">
          <x14:cfRule type="expression" priority="296" id="{66C2E343-3C3F-45C5-9998-4F365A5E1218}">
            <xm:f>$S$8='Assessment Details'!$Q$23</xm:f>
            <x14:dxf>
              <border>
                <left style="thin">
                  <color theme="0"/>
                </left>
                <right style="thin">
                  <color theme="0"/>
                </right>
                <top style="thin">
                  <color theme="0"/>
                </top>
                <bottom style="thin">
                  <color theme="0"/>
                </bottom>
                <vertical/>
                <horizontal/>
              </border>
            </x14:dxf>
          </x14:cfRule>
          <xm:sqref>N193:S193</xm:sqref>
        </x14:conditionalFormatting>
        <x14:conditionalFormatting xmlns:xm="http://schemas.microsoft.com/office/excel/2006/main">
          <x14:cfRule type="expression" priority="295" id="{18E0E177-DB10-4CCD-A6DD-FD5DBC3B9C04}">
            <xm:f>$S$8='Assessment Details'!$Q$23</xm:f>
            <x14:dxf>
              <font>
                <color theme="0"/>
              </font>
              <fill>
                <patternFill>
                  <bgColor theme="0"/>
                </patternFill>
              </fill>
              <border>
                <vertical/>
                <horizontal/>
              </border>
            </x14:dxf>
          </x14:cfRule>
          <xm:sqref>G193</xm:sqref>
        </x14:conditionalFormatting>
        <x14:conditionalFormatting xmlns:xm="http://schemas.microsoft.com/office/excel/2006/main">
          <x14:cfRule type="expression" priority="294" id="{16044C0A-A5C9-418D-A32A-9B5B3A75A31B}">
            <xm:f>$S$8='Assessment Details'!$Q$23</xm:f>
            <x14:dxf>
              <border>
                <left style="thin">
                  <color theme="0"/>
                </left>
                <right style="thin">
                  <color theme="0"/>
                </right>
                <top style="thin">
                  <color theme="0"/>
                </top>
                <bottom style="thin">
                  <color theme="0"/>
                </bottom>
                <vertical/>
                <horizontal/>
              </border>
            </x14:dxf>
          </x14:cfRule>
          <xm:sqref>G193</xm:sqref>
        </x14:conditionalFormatting>
        <x14:conditionalFormatting xmlns:xm="http://schemas.microsoft.com/office/excel/2006/main">
          <x14:cfRule type="expression" priority="293" id="{2CF24D95-D6A8-4ADF-AC6C-7911EAD520DC}">
            <xm:f>$S$8='Assessment Details'!$Q$23</xm:f>
            <x14:dxf>
              <font>
                <color theme="0"/>
              </font>
              <fill>
                <patternFill>
                  <bgColor theme="0"/>
                </patternFill>
              </fill>
              <border>
                <vertical/>
                <horizontal/>
              </border>
            </x14:dxf>
          </x14:cfRule>
          <xm:sqref>U193</xm:sqref>
        </x14:conditionalFormatting>
        <x14:conditionalFormatting xmlns:xm="http://schemas.microsoft.com/office/excel/2006/main">
          <x14:cfRule type="expression" priority="292" id="{FAAED642-554E-45E4-A2BB-A825EAA86F61}">
            <xm:f>$S$8='Assessment Details'!$Q$23</xm:f>
            <x14:dxf>
              <border>
                <left style="thin">
                  <color theme="0"/>
                </left>
                <right style="thin">
                  <color theme="0"/>
                </right>
                <top style="thin">
                  <color theme="0"/>
                </top>
                <bottom style="thin">
                  <color theme="0"/>
                </bottom>
                <vertical/>
                <horizontal/>
              </border>
            </x14:dxf>
          </x14:cfRule>
          <xm:sqref>U193</xm:sqref>
        </x14:conditionalFormatting>
        <x14:conditionalFormatting xmlns:xm="http://schemas.microsoft.com/office/excel/2006/main">
          <x14:cfRule type="expression" priority="291" id="{D4D93F42-D640-4B23-AD37-7880348A1394}">
            <xm:f>$S$8='Assessment Details'!$Q$23</xm:f>
            <x14:dxf>
              <font>
                <color theme="0"/>
              </font>
              <fill>
                <patternFill>
                  <bgColor theme="0"/>
                </patternFill>
              </fill>
              <border>
                <vertical/>
                <horizontal/>
              </border>
            </x14:dxf>
          </x14:cfRule>
          <xm:sqref>W193</xm:sqref>
        </x14:conditionalFormatting>
        <x14:conditionalFormatting xmlns:xm="http://schemas.microsoft.com/office/excel/2006/main">
          <x14:cfRule type="expression" priority="290" id="{BB2B278B-8E0D-4158-AD07-028EBC4D35F8}">
            <xm:f>$S$8='Assessment Details'!$Q$23</xm:f>
            <x14:dxf>
              <border>
                <left style="thin">
                  <color theme="0"/>
                </left>
                <right style="thin">
                  <color theme="0"/>
                </right>
                <top style="thin">
                  <color theme="0"/>
                </top>
                <bottom style="thin">
                  <color theme="0"/>
                </bottom>
                <vertical/>
                <horizontal/>
              </border>
            </x14:dxf>
          </x14:cfRule>
          <xm:sqref>W193</xm:sqref>
        </x14:conditionalFormatting>
        <x14:conditionalFormatting xmlns:xm="http://schemas.microsoft.com/office/excel/2006/main">
          <x14:cfRule type="expression" priority="311" id="{5418D619-AB96-4D2C-8C16-E5050535D56A}">
            <xm:f>$Z$8='Assessment Details'!$Q$23</xm:f>
            <x14:dxf>
              <font>
                <color theme="0"/>
              </font>
              <fill>
                <patternFill>
                  <bgColor theme="0"/>
                </patternFill>
              </fill>
            </x14:dxf>
          </x14:cfRule>
          <xm:sqref>U193:Z193</xm:sqref>
        </x14:conditionalFormatting>
        <x14:conditionalFormatting xmlns:xm="http://schemas.microsoft.com/office/excel/2006/main">
          <x14:cfRule type="expression" priority="312" id="{F9F89006-FC0B-4256-99DF-91FE2392B655}">
            <xm:f>$Z$8='Assessment Details'!$Q$23</xm:f>
            <x14:dxf>
              <border>
                <left style="thin">
                  <color theme="0"/>
                </left>
                <right style="thin">
                  <color theme="0"/>
                </right>
                <top style="thin">
                  <color theme="0"/>
                </top>
                <bottom style="thin">
                  <color theme="0"/>
                </bottom>
                <vertical/>
                <horizontal/>
              </border>
            </x14:dxf>
          </x14:cfRule>
          <xm:sqref>U193:Z193</xm:sqref>
        </x14:conditionalFormatting>
        <x14:conditionalFormatting xmlns:xm="http://schemas.microsoft.com/office/excel/2006/main">
          <x14:cfRule type="expression" priority="286" id="{CFDA2C22-138A-483B-8509-AB534E825605}">
            <xm:f>$S$8='Assessment Details'!$Q$23</xm:f>
            <x14:dxf>
              <font>
                <color theme="0"/>
              </font>
              <fill>
                <patternFill>
                  <bgColor theme="0"/>
                </patternFill>
              </fill>
              <border>
                <vertical/>
                <horizontal/>
              </border>
            </x14:dxf>
          </x14:cfRule>
          <xm:sqref>N212:S212</xm:sqref>
        </x14:conditionalFormatting>
        <x14:conditionalFormatting xmlns:xm="http://schemas.microsoft.com/office/excel/2006/main">
          <x14:cfRule type="expression" priority="285" id="{0B60F656-C5EA-44CE-83A6-B02906BADB7A}">
            <xm:f>$S$8='Assessment Details'!$Q$23</xm:f>
            <x14:dxf>
              <border>
                <left style="thin">
                  <color theme="0"/>
                </left>
                <right style="thin">
                  <color theme="0"/>
                </right>
                <top style="thin">
                  <color theme="0"/>
                </top>
                <bottom style="thin">
                  <color theme="0"/>
                </bottom>
                <vertical/>
                <horizontal/>
              </border>
            </x14:dxf>
          </x14:cfRule>
          <xm:sqref>N212:S212</xm:sqref>
        </x14:conditionalFormatting>
        <x14:conditionalFormatting xmlns:xm="http://schemas.microsoft.com/office/excel/2006/main">
          <x14:cfRule type="expression" priority="288" id="{8DB40213-10E0-4BB8-975A-AF5FE67EBC1E}">
            <xm:f>$Z$8='Assessment Details'!$Q$23</xm:f>
            <x14:dxf>
              <font>
                <color theme="0"/>
              </font>
              <fill>
                <patternFill>
                  <bgColor theme="0"/>
                </patternFill>
              </fill>
            </x14:dxf>
          </x14:cfRule>
          <xm:sqref>U212:Z212</xm:sqref>
        </x14:conditionalFormatting>
        <x14:conditionalFormatting xmlns:xm="http://schemas.microsoft.com/office/excel/2006/main">
          <x14:cfRule type="expression" priority="289" id="{4FA11FC5-2EBF-4443-A1BE-F1DD9B51321A}">
            <xm:f>$Z$8='Assessment Details'!$Q$23</xm:f>
            <x14:dxf>
              <border>
                <left style="thin">
                  <color theme="0"/>
                </left>
                <right style="thin">
                  <color theme="0"/>
                </right>
                <top style="thin">
                  <color theme="0"/>
                </top>
                <bottom style="thin">
                  <color theme="0"/>
                </bottom>
                <vertical/>
                <horizontal/>
              </border>
            </x14:dxf>
          </x14:cfRule>
          <xm:sqref>U212:Z212</xm:sqref>
        </x14:conditionalFormatting>
        <x14:conditionalFormatting xmlns:xm="http://schemas.microsoft.com/office/excel/2006/main">
          <x14:cfRule type="expression" priority="223" id="{B4C9156D-5484-4C85-A329-B50BC81B0CA6}">
            <xm:f>$S$8='Assessment Details'!$Q$23</xm:f>
            <x14:dxf>
              <font>
                <color theme="0"/>
              </font>
              <fill>
                <patternFill>
                  <bgColor theme="0"/>
                </patternFill>
              </fill>
              <border>
                <vertical/>
                <horizontal/>
              </border>
            </x14:dxf>
          </x14:cfRule>
          <xm:sqref>N211:S211</xm:sqref>
        </x14:conditionalFormatting>
        <x14:conditionalFormatting xmlns:xm="http://schemas.microsoft.com/office/excel/2006/main">
          <x14:cfRule type="expression" priority="222" id="{3CCA4A0F-7AEA-4F04-B887-0EED96879A3A}">
            <xm:f>$S$8='Assessment Details'!$Q$23</xm:f>
            <x14:dxf>
              <border>
                <left style="thin">
                  <color theme="0"/>
                </left>
                <right style="thin">
                  <color theme="0"/>
                </right>
                <top style="thin">
                  <color theme="0"/>
                </top>
                <bottom style="thin">
                  <color theme="0"/>
                </bottom>
                <vertical/>
                <horizontal/>
              </border>
            </x14:dxf>
          </x14:cfRule>
          <xm:sqref>N211:S211</xm:sqref>
        </x14:conditionalFormatting>
        <x14:conditionalFormatting xmlns:xm="http://schemas.microsoft.com/office/excel/2006/main">
          <x14:cfRule type="expression" priority="237" id="{703E1FBF-3B26-4E3A-8C8D-EF6DAF2769D1}">
            <xm:f>$Z$8='Assessment Details'!$Q$23</xm:f>
            <x14:dxf>
              <font>
                <color theme="0"/>
              </font>
              <fill>
                <patternFill>
                  <bgColor theme="0"/>
                </patternFill>
              </fill>
            </x14:dxf>
          </x14:cfRule>
          <xm:sqref>U211:Z211</xm:sqref>
        </x14:conditionalFormatting>
        <x14:conditionalFormatting xmlns:xm="http://schemas.microsoft.com/office/excel/2006/main">
          <x14:cfRule type="expression" priority="238" id="{D88F92AB-A965-4BC7-97E8-AF125E66C6FB}">
            <xm:f>$Z$8='Assessment Details'!$Q$23</xm:f>
            <x14:dxf>
              <border>
                <left style="thin">
                  <color theme="0"/>
                </left>
                <right style="thin">
                  <color theme="0"/>
                </right>
                <top style="thin">
                  <color theme="0"/>
                </top>
                <bottom style="thin">
                  <color theme="0"/>
                </bottom>
                <vertical/>
                <horizontal/>
              </border>
            </x14:dxf>
          </x14:cfRule>
          <xm:sqref>U211:Z211</xm:sqref>
        </x14:conditionalFormatting>
        <x14:conditionalFormatting xmlns:xm="http://schemas.microsoft.com/office/excel/2006/main">
          <x14:cfRule type="expression" priority="206" id="{C45035BF-5A91-4958-AE9C-24FEBAB4A100}">
            <xm:f>$S$8='Assessment Details'!$Q$23</xm:f>
            <x14:dxf>
              <font>
                <color theme="0"/>
              </font>
              <fill>
                <patternFill>
                  <bgColor theme="0"/>
                </patternFill>
              </fill>
              <border>
                <vertical/>
                <horizontal/>
              </border>
            </x14:dxf>
          </x14:cfRule>
          <xm:sqref>N210:S210</xm:sqref>
        </x14:conditionalFormatting>
        <x14:conditionalFormatting xmlns:xm="http://schemas.microsoft.com/office/excel/2006/main">
          <x14:cfRule type="expression" priority="205" id="{91867CCB-12BA-46AA-A3BA-FE85BD8D3FFF}">
            <xm:f>$S$8='Assessment Details'!$Q$23</xm:f>
            <x14:dxf>
              <border>
                <left style="thin">
                  <color theme="0"/>
                </left>
                <right style="thin">
                  <color theme="0"/>
                </right>
                <top style="thin">
                  <color theme="0"/>
                </top>
                <bottom style="thin">
                  <color theme="0"/>
                </bottom>
                <vertical/>
                <horizontal/>
              </border>
            </x14:dxf>
          </x14:cfRule>
          <xm:sqref>N210:S210</xm:sqref>
        </x14:conditionalFormatting>
        <x14:conditionalFormatting xmlns:xm="http://schemas.microsoft.com/office/excel/2006/main">
          <x14:cfRule type="expression" priority="204" id="{3EEB2744-C09A-4B21-942E-2E8AFADE296C}">
            <xm:f>$S$8='Assessment Details'!$Q$23</xm:f>
            <x14:dxf>
              <font>
                <color theme="0"/>
              </font>
              <fill>
                <patternFill>
                  <bgColor theme="0"/>
                </patternFill>
              </fill>
              <border>
                <vertical/>
                <horizontal/>
              </border>
            </x14:dxf>
          </x14:cfRule>
          <xm:sqref>G210</xm:sqref>
        </x14:conditionalFormatting>
        <x14:conditionalFormatting xmlns:xm="http://schemas.microsoft.com/office/excel/2006/main">
          <x14:cfRule type="expression" priority="203" id="{9FCDED50-49C0-4E16-9FA5-DE4D7BFDAA9E}">
            <xm:f>$S$8='Assessment Details'!$Q$23</xm:f>
            <x14:dxf>
              <border>
                <left style="thin">
                  <color theme="0"/>
                </left>
                <right style="thin">
                  <color theme="0"/>
                </right>
                <top style="thin">
                  <color theme="0"/>
                </top>
                <bottom style="thin">
                  <color theme="0"/>
                </bottom>
                <vertical/>
                <horizontal/>
              </border>
            </x14:dxf>
          </x14:cfRule>
          <xm:sqref>G210</xm:sqref>
        </x14:conditionalFormatting>
        <x14:conditionalFormatting xmlns:xm="http://schemas.microsoft.com/office/excel/2006/main">
          <x14:cfRule type="expression" priority="202" id="{C76EDFE4-027C-4B51-AA40-A98000EFB61A}">
            <xm:f>$S$8='Assessment Details'!$Q$23</xm:f>
            <x14:dxf>
              <font>
                <color theme="0"/>
              </font>
              <fill>
                <patternFill>
                  <bgColor theme="0"/>
                </patternFill>
              </fill>
              <border>
                <vertical/>
                <horizontal/>
              </border>
            </x14:dxf>
          </x14:cfRule>
          <xm:sqref>U210</xm:sqref>
        </x14:conditionalFormatting>
        <x14:conditionalFormatting xmlns:xm="http://schemas.microsoft.com/office/excel/2006/main">
          <x14:cfRule type="expression" priority="201" id="{2C1A8F4E-C427-4F32-B439-0096900E19B2}">
            <xm:f>$S$8='Assessment Details'!$Q$23</xm:f>
            <x14:dxf>
              <border>
                <left style="thin">
                  <color theme="0"/>
                </left>
                <right style="thin">
                  <color theme="0"/>
                </right>
                <top style="thin">
                  <color theme="0"/>
                </top>
                <bottom style="thin">
                  <color theme="0"/>
                </bottom>
                <vertical/>
                <horizontal/>
              </border>
            </x14:dxf>
          </x14:cfRule>
          <xm:sqref>U210</xm:sqref>
        </x14:conditionalFormatting>
        <x14:conditionalFormatting xmlns:xm="http://schemas.microsoft.com/office/excel/2006/main">
          <x14:cfRule type="expression" priority="200" id="{9821B401-6F4E-41BC-9E66-6179692703F1}">
            <xm:f>$S$8='Assessment Details'!$Q$23</xm:f>
            <x14:dxf>
              <font>
                <color theme="0"/>
              </font>
              <fill>
                <patternFill>
                  <bgColor theme="0"/>
                </patternFill>
              </fill>
              <border>
                <vertical/>
                <horizontal/>
              </border>
            </x14:dxf>
          </x14:cfRule>
          <xm:sqref>W210</xm:sqref>
        </x14:conditionalFormatting>
        <x14:conditionalFormatting xmlns:xm="http://schemas.microsoft.com/office/excel/2006/main">
          <x14:cfRule type="expression" priority="199" id="{A19F9CE4-E873-4015-AF18-A26C21D39185}">
            <xm:f>$S$8='Assessment Details'!$Q$23</xm:f>
            <x14:dxf>
              <border>
                <left style="thin">
                  <color theme="0"/>
                </left>
                <right style="thin">
                  <color theme="0"/>
                </right>
                <top style="thin">
                  <color theme="0"/>
                </top>
                <bottom style="thin">
                  <color theme="0"/>
                </bottom>
                <vertical/>
                <horizontal/>
              </border>
            </x14:dxf>
          </x14:cfRule>
          <xm:sqref>W210</xm:sqref>
        </x14:conditionalFormatting>
        <x14:conditionalFormatting xmlns:xm="http://schemas.microsoft.com/office/excel/2006/main">
          <x14:cfRule type="expression" priority="220" id="{6AE94490-DB72-4C1A-BDB5-1F85B59CCE8C}">
            <xm:f>$Z$8='Assessment Details'!$Q$23</xm:f>
            <x14:dxf>
              <font>
                <color theme="0"/>
              </font>
              <fill>
                <patternFill>
                  <bgColor theme="0"/>
                </patternFill>
              </fill>
            </x14:dxf>
          </x14:cfRule>
          <xm:sqref>U210:Z210</xm:sqref>
        </x14:conditionalFormatting>
        <x14:conditionalFormatting xmlns:xm="http://schemas.microsoft.com/office/excel/2006/main">
          <x14:cfRule type="expression" priority="221" id="{242E11D8-17FB-4ADC-9E13-5E1A900AFD0A}">
            <xm:f>$Z$8='Assessment Details'!$Q$23</xm:f>
            <x14:dxf>
              <border>
                <left style="thin">
                  <color theme="0"/>
                </left>
                <right style="thin">
                  <color theme="0"/>
                </right>
                <top style="thin">
                  <color theme="0"/>
                </top>
                <bottom style="thin">
                  <color theme="0"/>
                </bottom>
                <vertical/>
                <horizontal/>
              </border>
            </x14:dxf>
          </x14:cfRule>
          <xm:sqref>U210:Z210</xm:sqref>
        </x14:conditionalFormatting>
        <x14:conditionalFormatting xmlns:xm="http://schemas.microsoft.com/office/excel/2006/main">
          <x14:cfRule type="expression" priority="183" id="{18C17D5F-FF52-4287-B3D6-A093652692AB}">
            <xm:f>$S$8='Assessment Details'!$Q$23</xm:f>
            <x14:dxf>
              <font>
                <color theme="0"/>
              </font>
              <fill>
                <patternFill>
                  <bgColor theme="0"/>
                </patternFill>
              </fill>
              <border>
                <vertical/>
                <horizontal/>
              </border>
            </x14:dxf>
          </x14:cfRule>
          <xm:sqref>N227:S227</xm:sqref>
        </x14:conditionalFormatting>
        <x14:conditionalFormatting xmlns:xm="http://schemas.microsoft.com/office/excel/2006/main">
          <x14:cfRule type="expression" priority="182" id="{5FFEFA1A-7C4A-4F4E-941D-8B78E972BCF0}">
            <xm:f>$S$8='Assessment Details'!$Q$23</xm:f>
            <x14:dxf>
              <border>
                <left style="thin">
                  <color theme="0"/>
                </left>
                <right style="thin">
                  <color theme="0"/>
                </right>
                <top style="thin">
                  <color theme="0"/>
                </top>
                <bottom style="thin">
                  <color theme="0"/>
                </bottom>
                <vertical/>
                <horizontal/>
              </border>
            </x14:dxf>
          </x14:cfRule>
          <xm:sqref>N227:S227</xm:sqref>
        </x14:conditionalFormatting>
        <x14:conditionalFormatting xmlns:xm="http://schemas.microsoft.com/office/excel/2006/main">
          <x14:cfRule type="expression" priority="181" id="{E345E5F1-5990-47E9-9094-B1CBC3834D9D}">
            <xm:f>$S$8='Assessment Details'!$Q$23</xm:f>
            <x14:dxf>
              <font>
                <color theme="0"/>
              </font>
              <fill>
                <patternFill>
                  <bgColor theme="0"/>
                </patternFill>
              </fill>
              <border>
                <vertical/>
                <horizontal/>
              </border>
            </x14:dxf>
          </x14:cfRule>
          <xm:sqref>G227</xm:sqref>
        </x14:conditionalFormatting>
        <x14:conditionalFormatting xmlns:xm="http://schemas.microsoft.com/office/excel/2006/main">
          <x14:cfRule type="expression" priority="180" id="{C0C8BA82-EC28-421A-8056-5C2BF2356772}">
            <xm:f>$S$8='Assessment Details'!$Q$23</xm:f>
            <x14:dxf>
              <border>
                <left style="thin">
                  <color theme="0"/>
                </left>
                <right style="thin">
                  <color theme="0"/>
                </right>
                <top style="thin">
                  <color theme="0"/>
                </top>
                <bottom style="thin">
                  <color theme="0"/>
                </bottom>
                <vertical/>
                <horizontal/>
              </border>
            </x14:dxf>
          </x14:cfRule>
          <xm:sqref>G227</xm:sqref>
        </x14:conditionalFormatting>
        <x14:conditionalFormatting xmlns:xm="http://schemas.microsoft.com/office/excel/2006/main">
          <x14:cfRule type="expression" priority="179" id="{F56C039B-D71B-4643-8343-CFB7E58C594E}">
            <xm:f>$S$8='Assessment Details'!$Q$23</xm:f>
            <x14:dxf>
              <font>
                <color theme="0"/>
              </font>
              <fill>
                <patternFill>
                  <bgColor theme="0"/>
                </patternFill>
              </fill>
              <border>
                <vertical/>
                <horizontal/>
              </border>
            </x14:dxf>
          </x14:cfRule>
          <xm:sqref>U227</xm:sqref>
        </x14:conditionalFormatting>
        <x14:conditionalFormatting xmlns:xm="http://schemas.microsoft.com/office/excel/2006/main">
          <x14:cfRule type="expression" priority="178" id="{C647A0D1-E5B7-4612-B088-B17331BD2DDA}">
            <xm:f>$S$8='Assessment Details'!$Q$23</xm:f>
            <x14:dxf>
              <border>
                <left style="thin">
                  <color theme="0"/>
                </left>
                <right style="thin">
                  <color theme="0"/>
                </right>
                <top style="thin">
                  <color theme="0"/>
                </top>
                <bottom style="thin">
                  <color theme="0"/>
                </bottom>
                <vertical/>
                <horizontal/>
              </border>
            </x14:dxf>
          </x14:cfRule>
          <xm:sqref>U227</xm:sqref>
        </x14:conditionalFormatting>
        <x14:conditionalFormatting xmlns:xm="http://schemas.microsoft.com/office/excel/2006/main">
          <x14:cfRule type="expression" priority="177" id="{532D191F-20C9-4562-84C9-B215C7AAC46D}">
            <xm:f>$S$8='Assessment Details'!$Q$23</xm:f>
            <x14:dxf>
              <font>
                <color theme="0"/>
              </font>
              <fill>
                <patternFill>
                  <bgColor theme="0"/>
                </patternFill>
              </fill>
              <border>
                <vertical/>
                <horizontal/>
              </border>
            </x14:dxf>
          </x14:cfRule>
          <xm:sqref>W227</xm:sqref>
        </x14:conditionalFormatting>
        <x14:conditionalFormatting xmlns:xm="http://schemas.microsoft.com/office/excel/2006/main">
          <x14:cfRule type="expression" priority="176" id="{61E96BA4-C5A4-4BD5-9314-CBA069311D17}">
            <xm:f>$S$8='Assessment Details'!$Q$23</xm:f>
            <x14:dxf>
              <border>
                <left style="thin">
                  <color theme="0"/>
                </left>
                <right style="thin">
                  <color theme="0"/>
                </right>
                <top style="thin">
                  <color theme="0"/>
                </top>
                <bottom style="thin">
                  <color theme="0"/>
                </bottom>
                <vertical/>
                <horizontal/>
              </border>
            </x14:dxf>
          </x14:cfRule>
          <xm:sqref>W227</xm:sqref>
        </x14:conditionalFormatting>
        <x14:conditionalFormatting xmlns:xm="http://schemas.microsoft.com/office/excel/2006/main">
          <x14:cfRule type="expression" priority="197" id="{88E3CCDA-6851-41A4-A36B-FA6D410CC159}">
            <xm:f>$Z$8='Assessment Details'!$Q$23</xm:f>
            <x14:dxf>
              <font>
                <color theme="0"/>
              </font>
              <fill>
                <patternFill>
                  <bgColor theme="0"/>
                </patternFill>
              </fill>
            </x14:dxf>
          </x14:cfRule>
          <xm:sqref>U227:Z227</xm:sqref>
        </x14:conditionalFormatting>
        <x14:conditionalFormatting xmlns:xm="http://schemas.microsoft.com/office/excel/2006/main">
          <x14:cfRule type="expression" priority="198" id="{ACEA0EB4-80FF-4A37-B49A-5696F3E0E508}">
            <xm:f>$Z$8='Assessment Details'!$Q$23</xm:f>
            <x14:dxf>
              <border>
                <left style="thin">
                  <color theme="0"/>
                </left>
                <right style="thin">
                  <color theme="0"/>
                </right>
                <top style="thin">
                  <color theme="0"/>
                </top>
                <bottom style="thin">
                  <color theme="0"/>
                </bottom>
                <vertical/>
                <horizontal/>
              </border>
            </x14:dxf>
          </x14:cfRule>
          <xm:sqref>U227:Z227</xm:sqref>
        </x14:conditionalFormatting>
        <x14:conditionalFormatting xmlns:xm="http://schemas.microsoft.com/office/excel/2006/main">
          <x14:cfRule type="expression" priority="160" id="{61E5B49C-C46C-4760-8775-D17375A6EA64}">
            <xm:f>$S$8='Assessment Details'!$Q$23</xm:f>
            <x14:dxf>
              <font>
                <color theme="0"/>
              </font>
              <fill>
                <patternFill>
                  <bgColor theme="0"/>
                </patternFill>
              </fill>
              <border>
                <vertical/>
                <horizontal/>
              </border>
            </x14:dxf>
          </x14:cfRule>
          <xm:sqref>N71:S71</xm:sqref>
        </x14:conditionalFormatting>
        <x14:conditionalFormatting xmlns:xm="http://schemas.microsoft.com/office/excel/2006/main">
          <x14:cfRule type="expression" priority="159" id="{810E491B-9AFD-4625-8A42-75C5974430CC}">
            <xm:f>$S$8='Assessment Details'!$Q$23</xm:f>
            <x14:dxf>
              <border>
                <left style="thin">
                  <color theme="0"/>
                </left>
                <right style="thin">
                  <color theme="0"/>
                </right>
                <top style="thin">
                  <color theme="0"/>
                </top>
                <bottom style="thin">
                  <color theme="0"/>
                </bottom>
                <vertical/>
                <horizontal/>
              </border>
            </x14:dxf>
          </x14:cfRule>
          <xm:sqref>N71:S71</xm:sqref>
        </x14:conditionalFormatting>
        <x14:conditionalFormatting xmlns:xm="http://schemas.microsoft.com/office/excel/2006/main">
          <x14:cfRule type="expression" priority="158" id="{5B0F2C05-53AF-48BB-9D2E-E6F641488715}">
            <xm:f>$S$8='Assessment Details'!$Q$23</xm:f>
            <x14:dxf>
              <font>
                <color theme="0"/>
              </font>
              <fill>
                <patternFill>
                  <bgColor theme="0"/>
                </patternFill>
              </fill>
              <border>
                <vertical/>
                <horizontal/>
              </border>
            </x14:dxf>
          </x14:cfRule>
          <xm:sqref>G71</xm:sqref>
        </x14:conditionalFormatting>
        <x14:conditionalFormatting xmlns:xm="http://schemas.microsoft.com/office/excel/2006/main">
          <x14:cfRule type="expression" priority="157" id="{C1694F0A-0CC1-4742-8E15-EEE575936C27}">
            <xm:f>$S$8='Assessment Details'!$Q$23</xm:f>
            <x14:dxf>
              <border>
                <left style="thin">
                  <color theme="0"/>
                </left>
                <right style="thin">
                  <color theme="0"/>
                </right>
                <top style="thin">
                  <color theme="0"/>
                </top>
                <bottom style="thin">
                  <color theme="0"/>
                </bottom>
                <vertical/>
                <horizontal/>
              </border>
            </x14:dxf>
          </x14:cfRule>
          <xm:sqref>G71</xm:sqref>
        </x14:conditionalFormatting>
        <x14:conditionalFormatting xmlns:xm="http://schemas.microsoft.com/office/excel/2006/main">
          <x14:cfRule type="expression" priority="156" id="{02F370AE-CBFD-4FEB-9312-E8C5A92CFC2D}">
            <xm:f>$S$8='Assessment Details'!$Q$23</xm:f>
            <x14:dxf>
              <font>
                <color theme="0"/>
              </font>
              <fill>
                <patternFill>
                  <bgColor theme="0"/>
                </patternFill>
              </fill>
              <border>
                <vertical/>
                <horizontal/>
              </border>
            </x14:dxf>
          </x14:cfRule>
          <xm:sqref>U71</xm:sqref>
        </x14:conditionalFormatting>
        <x14:conditionalFormatting xmlns:xm="http://schemas.microsoft.com/office/excel/2006/main">
          <x14:cfRule type="expression" priority="155" id="{EFC855BF-B4F0-4B7D-A024-24715073EEDB}">
            <xm:f>$S$8='Assessment Details'!$Q$23</xm:f>
            <x14:dxf>
              <border>
                <left style="thin">
                  <color theme="0"/>
                </left>
                <right style="thin">
                  <color theme="0"/>
                </right>
                <top style="thin">
                  <color theme="0"/>
                </top>
                <bottom style="thin">
                  <color theme="0"/>
                </bottom>
                <vertical/>
                <horizontal/>
              </border>
            </x14:dxf>
          </x14:cfRule>
          <xm:sqref>U71</xm:sqref>
        </x14:conditionalFormatting>
        <x14:conditionalFormatting xmlns:xm="http://schemas.microsoft.com/office/excel/2006/main">
          <x14:cfRule type="expression" priority="150" id="{D93F5BD6-5BC2-4F57-9A8A-0E7FA7B1454F}">
            <xm:f>$S$8='Assessment Details'!$Q$23</xm:f>
            <x14:dxf>
              <font>
                <color theme="0"/>
              </font>
              <fill>
                <patternFill>
                  <bgColor theme="0"/>
                </patternFill>
              </fill>
              <border>
                <vertical/>
                <horizontal/>
              </border>
            </x14:dxf>
          </x14:cfRule>
          <xm:sqref>N71</xm:sqref>
        </x14:conditionalFormatting>
        <x14:conditionalFormatting xmlns:xm="http://schemas.microsoft.com/office/excel/2006/main">
          <x14:cfRule type="expression" priority="149" id="{98AFAECC-EFCA-441C-BBD5-D37816746FD2}">
            <xm:f>$S$8='Assessment Details'!$Q$23</xm:f>
            <x14:dxf>
              <border>
                <left style="thin">
                  <color theme="0"/>
                </left>
                <right style="thin">
                  <color theme="0"/>
                </right>
                <top style="thin">
                  <color theme="0"/>
                </top>
                <bottom style="thin">
                  <color theme="0"/>
                </bottom>
                <vertical/>
                <horizontal/>
              </border>
            </x14:dxf>
          </x14:cfRule>
          <xm:sqref>N71</xm:sqref>
        </x14:conditionalFormatting>
        <x14:conditionalFormatting xmlns:xm="http://schemas.microsoft.com/office/excel/2006/main">
          <x14:cfRule type="expression" priority="144" id="{868D452A-ED94-400D-A800-C21137A74F90}">
            <xm:f>$S$8='Assessment Details'!$Q$23</xm:f>
            <x14:dxf>
              <font>
                <color theme="0"/>
              </font>
              <fill>
                <patternFill>
                  <bgColor theme="0"/>
                </patternFill>
              </fill>
              <border>
                <vertical/>
                <horizontal/>
              </border>
            </x14:dxf>
          </x14:cfRule>
          <xm:sqref>U71</xm:sqref>
        </x14:conditionalFormatting>
        <x14:conditionalFormatting xmlns:xm="http://schemas.microsoft.com/office/excel/2006/main">
          <x14:cfRule type="expression" priority="143" id="{8809E55D-95BE-49EB-AA0B-AB6AD3A6F62A}">
            <xm:f>$S$8='Assessment Details'!$Q$23</xm:f>
            <x14:dxf>
              <border>
                <left style="thin">
                  <color theme="0"/>
                </left>
                <right style="thin">
                  <color theme="0"/>
                </right>
                <top style="thin">
                  <color theme="0"/>
                </top>
                <bottom style="thin">
                  <color theme="0"/>
                </bottom>
                <vertical/>
                <horizontal/>
              </border>
            </x14:dxf>
          </x14:cfRule>
          <xm:sqref>U71</xm:sqref>
        </x14:conditionalFormatting>
        <x14:conditionalFormatting xmlns:xm="http://schemas.microsoft.com/office/excel/2006/main">
          <x14:cfRule type="expression" priority="142" id="{B5218ADE-A98F-4552-9954-EA67E83613FD}">
            <xm:f>$S$8='Assessment Details'!$Q$23</xm:f>
            <x14:dxf>
              <font>
                <color theme="0"/>
              </font>
              <fill>
                <patternFill>
                  <bgColor theme="0"/>
                </patternFill>
              </fill>
              <border>
                <vertical/>
                <horizontal/>
              </border>
            </x14:dxf>
          </x14:cfRule>
          <xm:sqref>W71</xm:sqref>
        </x14:conditionalFormatting>
        <x14:conditionalFormatting xmlns:xm="http://schemas.microsoft.com/office/excel/2006/main">
          <x14:cfRule type="expression" priority="141" id="{9FEFE862-D675-46E4-A129-73376942EEBA}">
            <xm:f>$S$8='Assessment Details'!$Q$23</xm:f>
            <x14:dxf>
              <border>
                <left style="thin">
                  <color theme="0"/>
                </left>
                <right style="thin">
                  <color theme="0"/>
                </right>
                <top style="thin">
                  <color theme="0"/>
                </top>
                <bottom style="thin">
                  <color theme="0"/>
                </bottom>
                <vertical/>
                <horizontal/>
              </border>
            </x14:dxf>
          </x14:cfRule>
          <xm:sqref>W71</xm:sqref>
        </x14:conditionalFormatting>
        <x14:conditionalFormatting xmlns:xm="http://schemas.microsoft.com/office/excel/2006/main">
          <x14:cfRule type="expression" priority="174" id="{68BA5C6D-93A4-482B-B2DC-A71E804CCA45}">
            <xm:f>$Z$8='Assessment Details'!$Q$23</xm:f>
            <x14:dxf>
              <font>
                <color theme="0"/>
              </font>
              <fill>
                <patternFill>
                  <bgColor theme="0"/>
                </patternFill>
              </fill>
            </x14:dxf>
          </x14:cfRule>
          <xm:sqref>U71:Z71</xm:sqref>
        </x14:conditionalFormatting>
        <x14:conditionalFormatting xmlns:xm="http://schemas.microsoft.com/office/excel/2006/main">
          <x14:cfRule type="expression" priority="175" id="{691F0192-A9D9-45B0-9594-40F8E75AB3A5}">
            <xm:f>$Z$8='Assessment Details'!$Q$23</xm:f>
            <x14:dxf>
              <border>
                <left style="thin">
                  <color theme="0"/>
                </left>
                <right style="thin">
                  <color theme="0"/>
                </right>
                <top style="thin">
                  <color theme="0"/>
                </top>
                <bottom style="thin">
                  <color theme="0"/>
                </bottom>
                <vertical/>
                <horizontal/>
              </border>
            </x14:dxf>
          </x14:cfRule>
          <xm:sqref>U71:Z71</xm:sqref>
        </x14:conditionalFormatting>
        <x14:conditionalFormatting xmlns:xm="http://schemas.microsoft.com/office/excel/2006/main">
          <x14:cfRule type="expression" priority="131" id="{A2F61281-5B85-42E8-85ED-C883449C3341}">
            <xm:f>$S$8='Assessment Details'!$Q$23</xm:f>
            <x14:dxf>
              <font>
                <color theme="0"/>
              </font>
              <fill>
                <patternFill>
                  <bgColor theme="0"/>
                </patternFill>
              </fill>
              <border>
                <vertical/>
                <horizontal/>
              </border>
            </x14:dxf>
          </x14:cfRule>
          <xm:sqref>AB40</xm:sqref>
        </x14:conditionalFormatting>
        <x14:conditionalFormatting xmlns:xm="http://schemas.microsoft.com/office/excel/2006/main">
          <x14:cfRule type="expression" priority="130" id="{12B22900-DA56-4FFF-A64C-67EEE6F95F35}">
            <xm:f>$S$8='Assessment Details'!$Q$23</xm:f>
            <x14:dxf>
              <border>
                <left style="thin">
                  <color theme="0"/>
                </left>
                <right style="thin">
                  <color theme="0"/>
                </right>
                <top style="thin">
                  <color theme="0"/>
                </top>
                <bottom style="thin">
                  <color theme="0"/>
                </bottom>
                <vertical/>
                <horizontal/>
              </border>
            </x14:dxf>
          </x14:cfRule>
          <xm:sqref>AB40</xm:sqref>
        </x14:conditionalFormatting>
        <x14:conditionalFormatting xmlns:xm="http://schemas.microsoft.com/office/excel/2006/main">
          <x14:cfRule type="expression" priority="129" id="{CE1CBBD9-B568-4E28-9031-CA6598413DFA}">
            <xm:f>'Pre-Assessment Estimator'!$AJ$4=ais_nei</xm:f>
            <x14:dxf>
              <font>
                <color theme="0"/>
              </font>
              <fill>
                <patternFill>
                  <bgColor theme="0"/>
                </patternFill>
              </fill>
              <border>
                <left/>
                <right/>
                <top/>
                <bottom/>
                <vertical/>
                <horizontal/>
              </border>
            </x14:dxf>
          </x14:cfRule>
          <xm:sqref>AB40</xm:sqref>
        </x14:conditionalFormatting>
        <x14:conditionalFormatting xmlns:xm="http://schemas.microsoft.com/office/excel/2006/main">
          <x14:cfRule type="expression" priority="133" id="{2CE3F685-768F-48E9-BCE1-5113391D8698}">
            <xm:f>$Z$8='Assessment Details'!$Q$23</xm:f>
            <x14:dxf>
              <font>
                <color theme="0"/>
              </font>
              <fill>
                <patternFill>
                  <bgColor theme="0"/>
                </patternFill>
              </fill>
            </x14:dxf>
          </x14:cfRule>
          <xm:sqref>AA40</xm:sqref>
        </x14:conditionalFormatting>
        <x14:conditionalFormatting xmlns:xm="http://schemas.microsoft.com/office/excel/2006/main">
          <x14:cfRule type="expression" priority="134" id="{C73A93A1-430B-4852-895E-2ABF25A4C2F2}">
            <xm:f>$Z$8='Assessment Details'!$Q$23</xm:f>
            <x14:dxf>
              <border>
                <left style="thin">
                  <color theme="0"/>
                </left>
                <right style="thin">
                  <color theme="0"/>
                </right>
                <top style="thin">
                  <color theme="0"/>
                </top>
                <bottom style="thin">
                  <color theme="0"/>
                </bottom>
                <vertical/>
                <horizontal/>
              </border>
            </x14:dxf>
          </x14:cfRule>
          <xm:sqref>AA40</xm:sqref>
        </x14:conditionalFormatting>
        <x14:conditionalFormatting xmlns:xm="http://schemas.microsoft.com/office/excel/2006/main">
          <x14:cfRule type="expression" priority="113" id="{8C3949D9-EB23-440A-BD64-E991ECCD39A7}">
            <xm:f>$S$8='Assessment Details'!$Q$23</xm:f>
            <x14:dxf>
              <font>
                <color theme="0"/>
              </font>
              <fill>
                <patternFill>
                  <bgColor theme="0"/>
                </patternFill>
              </fill>
              <border>
                <vertical/>
                <horizontal/>
              </border>
            </x14:dxf>
          </x14:cfRule>
          <xm:sqref>N40:S40</xm:sqref>
        </x14:conditionalFormatting>
        <x14:conditionalFormatting xmlns:xm="http://schemas.microsoft.com/office/excel/2006/main">
          <x14:cfRule type="expression" priority="112" id="{419C5763-FB56-4025-93E6-A4D10B052749}">
            <xm:f>$S$8='Assessment Details'!$Q$23</xm:f>
            <x14:dxf>
              <border>
                <left style="thin">
                  <color theme="0"/>
                </left>
                <right style="thin">
                  <color theme="0"/>
                </right>
                <top style="thin">
                  <color theme="0"/>
                </top>
                <bottom style="thin">
                  <color theme="0"/>
                </bottom>
                <vertical/>
                <horizontal/>
              </border>
            </x14:dxf>
          </x14:cfRule>
          <xm:sqref>N40:S40</xm:sqref>
        </x14:conditionalFormatting>
        <x14:conditionalFormatting xmlns:xm="http://schemas.microsoft.com/office/excel/2006/main">
          <x14:cfRule type="expression" priority="111" id="{54818CE5-9AE7-42E4-84CF-C5EBE921D49C}">
            <xm:f>$S$8='Assessment Details'!$Q$23</xm:f>
            <x14:dxf>
              <font>
                <color theme="0"/>
              </font>
              <fill>
                <patternFill>
                  <bgColor theme="0"/>
                </patternFill>
              </fill>
              <border>
                <vertical/>
                <horizontal/>
              </border>
            </x14:dxf>
          </x14:cfRule>
          <xm:sqref>G40</xm:sqref>
        </x14:conditionalFormatting>
        <x14:conditionalFormatting xmlns:xm="http://schemas.microsoft.com/office/excel/2006/main">
          <x14:cfRule type="expression" priority="110" id="{AE843E95-EC7F-48D1-A962-E7BD7FF814A7}">
            <xm:f>$S$8='Assessment Details'!$Q$23</xm:f>
            <x14:dxf>
              <border>
                <left style="thin">
                  <color theme="0"/>
                </left>
                <right style="thin">
                  <color theme="0"/>
                </right>
                <top style="thin">
                  <color theme="0"/>
                </top>
                <bottom style="thin">
                  <color theme="0"/>
                </bottom>
                <vertical/>
                <horizontal/>
              </border>
            </x14:dxf>
          </x14:cfRule>
          <xm:sqref>G40</xm:sqref>
        </x14:conditionalFormatting>
        <x14:conditionalFormatting xmlns:xm="http://schemas.microsoft.com/office/excel/2006/main">
          <x14:cfRule type="expression" priority="109" id="{8CB11A7C-3ABF-477E-A02E-F4AC3284107D}">
            <xm:f>$S$8='Assessment Details'!$Q$23</xm:f>
            <x14:dxf>
              <font>
                <color theme="0"/>
              </font>
              <fill>
                <patternFill>
                  <bgColor theme="0"/>
                </patternFill>
              </fill>
              <border>
                <vertical/>
                <horizontal/>
              </border>
            </x14:dxf>
          </x14:cfRule>
          <xm:sqref>U40</xm:sqref>
        </x14:conditionalFormatting>
        <x14:conditionalFormatting xmlns:xm="http://schemas.microsoft.com/office/excel/2006/main">
          <x14:cfRule type="expression" priority="108" id="{C9FA926E-FFF2-4933-98AB-E4B10933A14D}">
            <xm:f>$S$8='Assessment Details'!$Q$23</xm:f>
            <x14:dxf>
              <border>
                <left style="thin">
                  <color theme="0"/>
                </left>
                <right style="thin">
                  <color theme="0"/>
                </right>
                <top style="thin">
                  <color theme="0"/>
                </top>
                <bottom style="thin">
                  <color theme="0"/>
                </bottom>
                <vertical/>
                <horizontal/>
              </border>
            </x14:dxf>
          </x14:cfRule>
          <xm:sqref>U40</xm:sqref>
        </x14:conditionalFormatting>
        <x14:conditionalFormatting xmlns:xm="http://schemas.microsoft.com/office/excel/2006/main">
          <x14:cfRule type="expression" priority="103" id="{B4E0B131-4A0F-467D-84FC-AFE2986E1AD7}">
            <xm:f>$S$8='Assessment Details'!$Q$23</xm:f>
            <x14:dxf>
              <font>
                <color theme="0"/>
              </font>
              <fill>
                <patternFill>
                  <bgColor theme="0"/>
                </patternFill>
              </fill>
              <border>
                <vertical/>
                <horizontal/>
              </border>
            </x14:dxf>
          </x14:cfRule>
          <xm:sqref>N40</xm:sqref>
        </x14:conditionalFormatting>
        <x14:conditionalFormatting xmlns:xm="http://schemas.microsoft.com/office/excel/2006/main">
          <x14:cfRule type="expression" priority="102" id="{D2A937F4-6AD8-4A61-BA35-A3C401979D0C}">
            <xm:f>$S$8='Assessment Details'!$Q$23</xm:f>
            <x14:dxf>
              <border>
                <left style="thin">
                  <color theme="0"/>
                </left>
                <right style="thin">
                  <color theme="0"/>
                </right>
                <top style="thin">
                  <color theme="0"/>
                </top>
                <bottom style="thin">
                  <color theme="0"/>
                </bottom>
                <vertical/>
                <horizontal/>
              </border>
            </x14:dxf>
          </x14:cfRule>
          <xm:sqref>N40</xm:sqref>
        </x14:conditionalFormatting>
        <x14:conditionalFormatting xmlns:xm="http://schemas.microsoft.com/office/excel/2006/main">
          <x14:cfRule type="expression" priority="97" id="{EAD5FDD4-AB6C-47B5-B37A-19F24BF3D229}">
            <xm:f>$S$8='Assessment Details'!$Q$23</xm:f>
            <x14:dxf>
              <font>
                <color theme="0"/>
              </font>
              <fill>
                <patternFill>
                  <bgColor theme="0"/>
                </patternFill>
              </fill>
              <border>
                <vertical/>
                <horizontal/>
              </border>
            </x14:dxf>
          </x14:cfRule>
          <xm:sqref>U40</xm:sqref>
        </x14:conditionalFormatting>
        <x14:conditionalFormatting xmlns:xm="http://schemas.microsoft.com/office/excel/2006/main">
          <x14:cfRule type="expression" priority="96" id="{1B1C70F0-1B2A-47E8-B0B9-500FC7BDA48B}">
            <xm:f>$S$8='Assessment Details'!$Q$23</xm:f>
            <x14:dxf>
              <border>
                <left style="thin">
                  <color theme="0"/>
                </left>
                <right style="thin">
                  <color theme="0"/>
                </right>
                <top style="thin">
                  <color theme="0"/>
                </top>
                <bottom style="thin">
                  <color theme="0"/>
                </bottom>
                <vertical/>
                <horizontal/>
              </border>
            </x14:dxf>
          </x14:cfRule>
          <xm:sqref>U40</xm:sqref>
        </x14:conditionalFormatting>
        <x14:conditionalFormatting xmlns:xm="http://schemas.microsoft.com/office/excel/2006/main">
          <x14:cfRule type="expression" priority="95" id="{AAEA2C86-2AF2-4AFF-B26D-4E71C44468DB}">
            <xm:f>$S$8='Assessment Details'!$Q$23</xm:f>
            <x14:dxf>
              <font>
                <color theme="0"/>
              </font>
              <fill>
                <patternFill>
                  <bgColor theme="0"/>
                </patternFill>
              </fill>
              <border>
                <vertical/>
                <horizontal/>
              </border>
            </x14:dxf>
          </x14:cfRule>
          <xm:sqref>W40</xm:sqref>
        </x14:conditionalFormatting>
        <x14:conditionalFormatting xmlns:xm="http://schemas.microsoft.com/office/excel/2006/main">
          <x14:cfRule type="expression" priority="94" id="{F8A63127-C0F7-442D-948A-6A52989DF2C2}">
            <xm:f>$S$8='Assessment Details'!$Q$23</xm:f>
            <x14:dxf>
              <border>
                <left style="thin">
                  <color theme="0"/>
                </left>
                <right style="thin">
                  <color theme="0"/>
                </right>
                <top style="thin">
                  <color theme="0"/>
                </top>
                <bottom style="thin">
                  <color theme="0"/>
                </bottom>
                <vertical/>
                <horizontal/>
              </border>
            </x14:dxf>
          </x14:cfRule>
          <xm:sqref>W40</xm:sqref>
        </x14:conditionalFormatting>
        <x14:conditionalFormatting xmlns:xm="http://schemas.microsoft.com/office/excel/2006/main">
          <x14:cfRule type="expression" priority="127" id="{00CF1547-2DD6-479C-8D3D-CD630F796C9A}">
            <xm:f>$Z$8='Assessment Details'!$Q$23</xm:f>
            <x14:dxf>
              <font>
                <color theme="0"/>
              </font>
              <fill>
                <patternFill>
                  <bgColor theme="0"/>
                </patternFill>
              </fill>
            </x14:dxf>
          </x14:cfRule>
          <xm:sqref>U40:Z40</xm:sqref>
        </x14:conditionalFormatting>
        <x14:conditionalFormatting xmlns:xm="http://schemas.microsoft.com/office/excel/2006/main">
          <x14:cfRule type="expression" priority="128" id="{F4C47752-AA0B-49C8-8769-54F6FB5C8C05}">
            <xm:f>$Z$8='Assessment Details'!$Q$23</xm:f>
            <x14:dxf>
              <border>
                <left style="thin">
                  <color theme="0"/>
                </left>
                <right style="thin">
                  <color theme="0"/>
                </right>
                <top style="thin">
                  <color theme="0"/>
                </top>
                <bottom style="thin">
                  <color theme="0"/>
                </bottom>
                <vertical/>
                <horizontal/>
              </border>
            </x14:dxf>
          </x14:cfRule>
          <xm:sqref>U40:Z40</xm:sqref>
        </x14:conditionalFormatting>
        <x14:conditionalFormatting xmlns:xm="http://schemas.microsoft.com/office/excel/2006/main">
          <x14:cfRule type="expression" priority="66" id="{0A4A4FFA-B6E7-4655-B23C-D4BC795B58AE}">
            <xm:f>$S$8='Assessment Details'!$Q$23</xm:f>
            <x14:dxf>
              <font>
                <color theme="0"/>
              </font>
              <fill>
                <patternFill>
                  <bgColor theme="0"/>
                </patternFill>
              </fill>
              <border>
                <vertical/>
                <horizontal/>
              </border>
            </x14:dxf>
          </x14:cfRule>
          <xm:sqref>AB173</xm:sqref>
        </x14:conditionalFormatting>
        <x14:conditionalFormatting xmlns:xm="http://schemas.microsoft.com/office/excel/2006/main">
          <x14:cfRule type="expression" priority="65" id="{FAF30279-D158-43F7-8037-D07C714ABA67}">
            <xm:f>$S$8='Assessment Details'!$Q$23</xm:f>
            <x14:dxf>
              <border>
                <left style="thin">
                  <color theme="0"/>
                </left>
                <right style="thin">
                  <color theme="0"/>
                </right>
                <top style="thin">
                  <color theme="0"/>
                </top>
                <bottom style="thin">
                  <color theme="0"/>
                </bottom>
                <vertical/>
                <horizontal/>
              </border>
            </x14:dxf>
          </x14:cfRule>
          <xm:sqref>AB173</xm:sqref>
        </x14:conditionalFormatting>
        <x14:conditionalFormatting xmlns:xm="http://schemas.microsoft.com/office/excel/2006/main">
          <x14:cfRule type="expression" priority="64" id="{A2748B9E-4FE0-487B-B23D-B01C0BEC469F}">
            <xm:f>'Pre-Assessment Estimator'!$AJ$4=ais_nei</xm:f>
            <x14:dxf>
              <font>
                <color theme="0"/>
              </font>
              <fill>
                <patternFill>
                  <bgColor theme="0"/>
                </patternFill>
              </fill>
              <border>
                <left/>
                <right/>
                <top/>
                <bottom/>
                <vertical/>
                <horizontal/>
              </border>
            </x14:dxf>
          </x14:cfRule>
          <xm:sqref>AB173</xm:sqref>
        </x14:conditionalFormatting>
        <x14:conditionalFormatting xmlns:xm="http://schemas.microsoft.com/office/excel/2006/main">
          <x14:cfRule type="expression" priority="68" id="{29C7582A-8C87-428C-A681-BD0D44554119}">
            <xm:f>$Z$8='Assessment Details'!$Q$23</xm:f>
            <x14:dxf>
              <font>
                <color theme="0"/>
              </font>
              <fill>
                <patternFill>
                  <bgColor theme="0"/>
                </patternFill>
              </fill>
            </x14:dxf>
          </x14:cfRule>
          <xm:sqref>AA173</xm:sqref>
        </x14:conditionalFormatting>
        <x14:conditionalFormatting xmlns:xm="http://schemas.microsoft.com/office/excel/2006/main">
          <x14:cfRule type="expression" priority="69" id="{CB0A1344-197D-4BF1-B5B0-A328FFC197FF}">
            <xm:f>$Z$8='Assessment Details'!$Q$23</xm:f>
            <x14:dxf>
              <border>
                <left style="thin">
                  <color theme="0"/>
                </left>
                <right style="thin">
                  <color theme="0"/>
                </right>
                <top style="thin">
                  <color theme="0"/>
                </top>
                <bottom style="thin">
                  <color theme="0"/>
                </bottom>
                <vertical/>
                <horizontal/>
              </border>
            </x14:dxf>
          </x14:cfRule>
          <xm:sqref>AA173</xm:sqref>
        </x14:conditionalFormatting>
        <x14:conditionalFormatting xmlns:xm="http://schemas.microsoft.com/office/excel/2006/main">
          <x14:cfRule type="expression" priority="60" id="{6644C233-EBF9-465D-977E-78690F6AA5F9}">
            <xm:f>$S$8='Assessment Details'!$Q$23</xm:f>
            <x14:dxf>
              <font>
                <color theme="0"/>
              </font>
              <fill>
                <patternFill>
                  <bgColor theme="0"/>
                </patternFill>
              </fill>
              <border>
                <vertical/>
                <horizontal/>
              </border>
            </x14:dxf>
          </x14:cfRule>
          <xm:sqref>N173:S173</xm:sqref>
        </x14:conditionalFormatting>
        <x14:conditionalFormatting xmlns:xm="http://schemas.microsoft.com/office/excel/2006/main">
          <x14:cfRule type="expression" priority="59" id="{CBBBCB6E-020B-4A1E-AECA-0E5E004EA2C6}">
            <xm:f>$S$8='Assessment Details'!$Q$23</xm:f>
            <x14:dxf>
              <border>
                <left style="thin">
                  <color theme="0"/>
                </left>
                <right style="thin">
                  <color theme="0"/>
                </right>
                <top style="thin">
                  <color theme="0"/>
                </top>
                <bottom style="thin">
                  <color theme="0"/>
                </bottom>
                <vertical/>
                <horizontal/>
              </border>
            </x14:dxf>
          </x14:cfRule>
          <xm:sqref>N173:S173</xm:sqref>
        </x14:conditionalFormatting>
        <x14:conditionalFormatting xmlns:xm="http://schemas.microsoft.com/office/excel/2006/main">
          <x14:cfRule type="expression" priority="58" id="{55253052-C297-4F8C-A3EC-9B943F5F6B38}">
            <xm:f>$S$8='Assessment Details'!$Q$23</xm:f>
            <x14:dxf>
              <font>
                <color theme="0"/>
              </font>
              <fill>
                <patternFill>
                  <bgColor theme="0"/>
                </patternFill>
              </fill>
              <border>
                <vertical/>
                <horizontal/>
              </border>
            </x14:dxf>
          </x14:cfRule>
          <xm:sqref>G173</xm:sqref>
        </x14:conditionalFormatting>
        <x14:conditionalFormatting xmlns:xm="http://schemas.microsoft.com/office/excel/2006/main">
          <x14:cfRule type="expression" priority="57" id="{BD96B0C5-25AF-424F-A1BA-4CE9F3FCCC31}">
            <xm:f>$S$8='Assessment Details'!$Q$23</xm:f>
            <x14:dxf>
              <border>
                <left style="thin">
                  <color theme="0"/>
                </left>
                <right style="thin">
                  <color theme="0"/>
                </right>
                <top style="thin">
                  <color theme="0"/>
                </top>
                <bottom style="thin">
                  <color theme="0"/>
                </bottom>
                <vertical/>
                <horizontal/>
              </border>
            </x14:dxf>
          </x14:cfRule>
          <xm:sqref>G173</xm:sqref>
        </x14:conditionalFormatting>
        <x14:conditionalFormatting xmlns:xm="http://schemas.microsoft.com/office/excel/2006/main">
          <x14:cfRule type="expression" priority="56" id="{3A1F9D1B-111B-46CB-8476-D2B766D38747}">
            <xm:f>$S$8='Assessment Details'!$Q$23</xm:f>
            <x14:dxf>
              <font>
                <color theme="0"/>
              </font>
              <fill>
                <patternFill>
                  <bgColor theme="0"/>
                </patternFill>
              </fill>
              <border>
                <vertical/>
                <horizontal/>
              </border>
            </x14:dxf>
          </x14:cfRule>
          <xm:sqref>U173</xm:sqref>
        </x14:conditionalFormatting>
        <x14:conditionalFormatting xmlns:xm="http://schemas.microsoft.com/office/excel/2006/main">
          <x14:cfRule type="expression" priority="55" id="{4505367E-FF2A-4689-A386-E39DC01A6A2E}">
            <xm:f>$S$8='Assessment Details'!$Q$23</xm:f>
            <x14:dxf>
              <border>
                <left style="thin">
                  <color theme="0"/>
                </left>
                <right style="thin">
                  <color theme="0"/>
                </right>
                <top style="thin">
                  <color theme="0"/>
                </top>
                <bottom style="thin">
                  <color theme="0"/>
                </bottom>
                <vertical/>
                <horizontal/>
              </border>
            </x14:dxf>
          </x14:cfRule>
          <xm:sqref>U173</xm:sqref>
        </x14:conditionalFormatting>
        <x14:conditionalFormatting xmlns:xm="http://schemas.microsoft.com/office/excel/2006/main">
          <x14:cfRule type="expression" priority="54" id="{5E6EE673-8DF7-44AB-91D5-694F4E5BF908}">
            <xm:f>$S$8='Assessment Details'!$Q$23</xm:f>
            <x14:dxf>
              <font>
                <color theme="0"/>
              </font>
              <fill>
                <patternFill>
                  <bgColor theme="0"/>
                </patternFill>
              </fill>
              <border>
                <vertical/>
                <horizontal/>
              </border>
            </x14:dxf>
          </x14:cfRule>
          <xm:sqref>N173</xm:sqref>
        </x14:conditionalFormatting>
        <x14:conditionalFormatting xmlns:xm="http://schemas.microsoft.com/office/excel/2006/main">
          <x14:cfRule type="expression" priority="53" id="{8A169D88-CC9C-4464-ADEA-16DC9C366B8E}">
            <xm:f>$S$8='Assessment Details'!$Q$23</xm:f>
            <x14:dxf>
              <border>
                <left style="thin">
                  <color theme="0"/>
                </left>
                <right style="thin">
                  <color theme="0"/>
                </right>
                <top style="thin">
                  <color theme="0"/>
                </top>
                <bottom style="thin">
                  <color theme="0"/>
                </bottom>
                <vertical/>
                <horizontal/>
              </border>
            </x14:dxf>
          </x14:cfRule>
          <xm:sqref>N173</xm:sqref>
        </x14:conditionalFormatting>
        <x14:conditionalFormatting xmlns:xm="http://schemas.microsoft.com/office/excel/2006/main">
          <x14:cfRule type="expression" priority="52" id="{E3AD6EBD-57C0-491E-ABCC-FAAE19F3C737}">
            <xm:f>$S$8='Assessment Details'!$Q$23</xm:f>
            <x14:dxf>
              <font>
                <color theme="0"/>
              </font>
              <fill>
                <patternFill>
                  <bgColor theme="0"/>
                </patternFill>
              </fill>
              <border>
                <vertical/>
                <horizontal/>
              </border>
            </x14:dxf>
          </x14:cfRule>
          <xm:sqref>U173</xm:sqref>
        </x14:conditionalFormatting>
        <x14:conditionalFormatting xmlns:xm="http://schemas.microsoft.com/office/excel/2006/main">
          <x14:cfRule type="expression" priority="51" id="{B93FB5AD-8BD2-4291-BA51-0FD5CF79E3A6}">
            <xm:f>$S$8='Assessment Details'!$Q$23</xm:f>
            <x14:dxf>
              <border>
                <left style="thin">
                  <color theme="0"/>
                </left>
                <right style="thin">
                  <color theme="0"/>
                </right>
                <top style="thin">
                  <color theme="0"/>
                </top>
                <bottom style="thin">
                  <color theme="0"/>
                </bottom>
                <vertical/>
                <horizontal/>
              </border>
            </x14:dxf>
          </x14:cfRule>
          <xm:sqref>U173</xm:sqref>
        </x14:conditionalFormatting>
        <x14:conditionalFormatting xmlns:xm="http://schemas.microsoft.com/office/excel/2006/main">
          <x14:cfRule type="expression" priority="50" id="{414AA169-FC08-41A6-8F04-5D093969C332}">
            <xm:f>$S$8='Assessment Details'!$Q$23</xm:f>
            <x14:dxf>
              <font>
                <color theme="0"/>
              </font>
              <fill>
                <patternFill>
                  <bgColor theme="0"/>
                </patternFill>
              </fill>
              <border>
                <vertical/>
                <horizontal/>
              </border>
            </x14:dxf>
          </x14:cfRule>
          <xm:sqref>W173</xm:sqref>
        </x14:conditionalFormatting>
        <x14:conditionalFormatting xmlns:xm="http://schemas.microsoft.com/office/excel/2006/main">
          <x14:cfRule type="expression" priority="49" id="{0D6D41C6-C6D2-4F78-BF78-943B95B5B892}">
            <xm:f>$S$8='Assessment Details'!$Q$23</xm:f>
            <x14:dxf>
              <border>
                <left style="thin">
                  <color theme="0"/>
                </left>
                <right style="thin">
                  <color theme="0"/>
                </right>
                <top style="thin">
                  <color theme="0"/>
                </top>
                <bottom style="thin">
                  <color theme="0"/>
                </bottom>
                <vertical/>
                <horizontal/>
              </border>
            </x14:dxf>
          </x14:cfRule>
          <xm:sqref>W173</xm:sqref>
        </x14:conditionalFormatting>
        <x14:conditionalFormatting xmlns:xm="http://schemas.microsoft.com/office/excel/2006/main">
          <x14:cfRule type="expression" priority="62" id="{B14ACEF7-A871-4650-94A7-2E9FBD4C38BD}">
            <xm:f>$Z$8='Assessment Details'!$Q$23</xm:f>
            <x14:dxf>
              <font>
                <color theme="0"/>
              </font>
              <fill>
                <patternFill>
                  <bgColor theme="0"/>
                </patternFill>
              </fill>
            </x14:dxf>
          </x14:cfRule>
          <xm:sqref>U173:Z173</xm:sqref>
        </x14:conditionalFormatting>
        <x14:conditionalFormatting xmlns:xm="http://schemas.microsoft.com/office/excel/2006/main">
          <x14:cfRule type="expression" priority="63" id="{8A8C983C-F00C-4BE0-A652-7F04FDF50CD5}">
            <xm:f>$Z$8='Assessment Details'!$Q$23</xm:f>
            <x14:dxf>
              <border>
                <left style="thin">
                  <color theme="0"/>
                </left>
                <right style="thin">
                  <color theme="0"/>
                </right>
                <top style="thin">
                  <color theme="0"/>
                </top>
                <bottom style="thin">
                  <color theme="0"/>
                </bottom>
                <vertical/>
                <horizontal/>
              </border>
            </x14:dxf>
          </x14:cfRule>
          <xm:sqref>U173:Z173</xm:sqref>
        </x14:conditionalFormatting>
        <x14:conditionalFormatting xmlns:xm="http://schemas.microsoft.com/office/excel/2006/main">
          <x14:cfRule type="expression" priority="24" id="{2139111A-9DEF-4B58-A0A3-F43AA2DAFEB2}">
            <xm:f>$S$8='Assessment Details'!$Q$23</xm:f>
            <x14:dxf>
              <font>
                <color theme="0"/>
              </font>
              <fill>
                <patternFill>
                  <bgColor theme="0"/>
                </patternFill>
              </fill>
              <border>
                <vertical/>
                <horizontal/>
              </border>
            </x14:dxf>
          </x14:cfRule>
          <xm:sqref>AB72</xm:sqref>
        </x14:conditionalFormatting>
        <x14:conditionalFormatting xmlns:xm="http://schemas.microsoft.com/office/excel/2006/main">
          <x14:cfRule type="expression" priority="23" id="{ADFD896C-BEBF-4ADF-8F85-F3CC1D3BA845}">
            <xm:f>$S$8='Assessment Details'!$Q$23</xm:f>
            <x14:dxf>
              <border>
                <left style="thin">
                  <color theme="0"/>
                </left>
                <right style="thin">
                  <color theme="0"/>
                </right>
                <top style="thin">
                  <color theme="0"/>
                </top>
                <bottom style="thin">
                  <color theme="0"/>
                </bottom>
                <vertical/>
                <horizontal/>
              </border>
            </x14:dxf>
          </x14:cfRule>
          <xm:sqref>AB72</xm:sqref>
        </x14:conditionalFormatting>
        <x14:conditionalFormatting xmlns:xm="http://schemas.microsoft.com/office/excel/2006/main">
          <x14:cfRule type="expression" priority="22" id="{87BB4C44-17CE-4CDB-B5E1-5D9759A41740}">
            <xm:f>'Pre-Assessment Estimator'!$AJ$4=ais_nei</xm:f>
            <x14:dxf>
              <font>
                <color theme="0"/>
              </font>
              <fill>
                <patternFill>
                  <bgColor theme="0"/>
                </patternFill>
              </fill>
              <border>
                <left/>
                <right/>
                <top/>
                <bottom/>
                <vertical/>
                <horizontal/>
              </border>
            </x14:dxf>
          </x14:cfRule>
          <xm:sqref>AB72</xm:sqref>
        </x14:conditionalFormatting>
        <x14:conditionalFormatting xmlns:xm="http://schemas.microsoft.com/office/excel/2006/main">
          <x14:cfRule type="expression" priority="26" id="{D6959665-51A3-4E0D-9F39-FAD6801B34D7}">
            <xm:f>$Z$8='Assessment Details'!$Q$23</xm:f>
            <x14:dxf>
              <font>
                <color theme="0"/>
              </font>
              <fill>
                <patternFill>
                  <bgColor theme="0"/>
                </patternFill>
              </fill>
            </x14:dxf>
          </x14:cfRule>
          <xm:sqref>AA72</xm:sqref>
        </x14:conditionalFormatting>
        <x14:conditionalFormatting xmlns:xm="http://schemas.microsoft.com/office/excel/2006/main">
          <x14:cfRule type="expression" priority="27" id="{C18B3C84-0443-44E5-B087-E60A1DD360A2}">
            <xm:f>$Z$8='Assessment Details'!$Q$23</xm:f>
            <x14:dxf>
              <border>
                <left style="thin">
                  <color theme="0"/>
                </left>
                <right style="thin">
                  <color theme="0"/>
                </right>
                <top style="thin">
                  <color theme="0"/>
                </top>
                <bottom style="thin">
                  <color theme="0"/>
                </bottom>
                <vertical/>
                <horizontal/>
              </border>
            </x14:dxf>
          </x14:cfRule>
          <xm:sqref>AA72</xm:sqref>
        </x14:conditionalFormatting>
        <x14:conditionalFormatting xmlns:xm="http://schemas.microsoft.com/office/excel/2006/main">
          <x14:cfRule type="expression" priority="18" id="{BEBCE176-5A0A-4586-84FF-3C9FAB52624C}">
            <xm:f>$S$8='Assessment Details'!$Q$23</xm:f>
            <x14:dxf>
              <font>
                <color theme="0"/>
              </font>
              <fill>
                <patternFill>
                  <bgColor theme="0"/>
                </patternFill>
              </fill>
              <border>
                <vertical/>
                <horizontal/>
              </border>
            </x14:dxf>
          </x14:cfRule>
          <xm:sqref>N72:S72</xm:sqref>
        </x14:conditionalFormatting>
        <x14:conditionalFormatting xmlns:xm="http://schemas.microsoft.com/office/excel/2006/main">
          <x14:cfRule type="expression" priority="17" id="{33B5A00E-25A5-430A-B56D-24BB1C1FC6DA}">
            <xm:f>$S$8='Assessment Details'!$Q$23</xm:f>
            <x14:dxf>
              <border>
                <left style="thin">
                  <color theme="0"/>
                </left>
                <right style="thin">
                  <color theme="0"/>
                </right>
                <top style="thin">
                  <color theme="0"/>
                </top>
                <bottom style="thin">
                  <color theme="0"/>
                </bottom>
                <vertical/>
                <horizontal/>
              </border>
            </x14:dxf>
          </x14:cfRule>
          <xm:sqref>N72:S72</xm:sqref>
        </x14:conditionalFormatting>
        <x14:conditionalFormatting xmlns:xm="http://schemas.microsoft.com/office/excel/2006/main">
          <x14:cfRule type="expression" priority="16" id="{31D995F2-85F0-4990-AD6A-2BF9E3B00594}">
            <xm:f>$S$8='Assessment Details'!$Q$23</xm:f>
            <x14:dxf>
              <font>
                <color theme="0"/>
              </font>
              <fill>
                <patternFill>
                  <bgColor theme="0"/>
                </patternFill>
              </fill>
              <border>
                <vertical/>
                <horizontal/>
              </border>
            </x14:dxf>
          </x14:cfRule>
          <xm:sqref>G72</xm:sqref>
        </x14:conditionalFormatting>
        <x14:conditionalFormatting xmlns:xm="http://schemas.microsoft.com/office/excel/2006/main">
          <x14:cfRule type="expression" priority="15" id="{9F44B314-C345-4559-AB6B-53515CEA6AE1}">
            <xm:f>$S$8='Assessment Details'!$Q$23</xm:f>
            <x14:dxf>
              <border>
                <left style="thin">
                  <color theme="0"/>
                </left>
                <right style="thin">
                  <color theme="0"/>
                </right>
                <top style="thin">
                  <color theme="0"/>
                </top>
                <bottom style="thin">
                  <color theme="0"/>
                </bottom>
                <vertical/>
                <horizontal/>
              </border>
            </x14:dxf>
          </x14:cfRule>
          <xm:sqref>G72</xm:sqref>
        </x14:conditionalFormatting>
        <x14:conditionalFormatting xmlns:xm="http://schemas.microsoft.com/office/excel/2006/main">
          <x14:cfRule type="expression" priority="14" id="{E5685B66-4F99-4B21-838D-59D9E636B567}">
            <xm:f>$S$8='Assessment Details'!$Q$23</xm:f>
            <x14:dxf>
              <font>
                <color theme="0"/>
              </font>
              <fill>
                <patternFill>
                  <bgColor theme="0"/>
                </patternFill>
              </fill>
              <border>
                <vertical/>
                <horizontal/>
              </border>
            </x14:dxf>
          </x14:cfRule>
          <xm:sqref>U72</xm:sqref>
        </x14:conditionalFormatting>
        <x14:conditionalFormatting xmlns:xm="http://schemas.microsoft.com/office/excel/2006/main">
          <x14:cfRule type="expression" priority="13" id="{A43B2EF1-828C-46B0-9583-D2439904EB89}">
            <xm:f>$S$8='Assessment Details'!$Q$23</xm:f>
            <x14:dxf>
              <border>
                <left style="thin">
                  <color theme="0"/>
                </left>
                <right style="thin">
                  <color theme="0"/>
                </right>
                <top style="thin">
                  <color theme="0"/>
                </top>
                <bottom style="thin">
                  <color theme="0"/>
                </bottom>
                <vertical/>
                <horizontal/>
              </border>
            </x14:dxf>
          </x14:cfRule>
          <xm:sqref>U72</xm:sqref>
        </x14:conditionalFormatting>
        <x14:conditionalFormatting xmlns:xm="http://schemas.microsoft.com/office/excel/2006/main">
          <x14:cfRule type="expression" priority="12" id="{0F665880-B388-413D-9175-8F65BF454444}">
            <xm:f>$S$8='Assessment Details'!$Q$23</xm:f>
            <x14:dxf>
              <font>
                <color theme="0"/>
              </font>
              <fill>
                <patternFill>
                  <bgColor theme="0"/>
                </patternFill>
              </fill>
              <border>
                <vertical/>
                <horizontal/>
              </border>
            </x14:dxf>
          </x14:cfRule>
          <xm:sqref>N72</xm:sqref>
        </x14:conditionalFormatting>
        <x14:conditionalFormatting xmlns:xm="http://schemas.microsoft.com/office/excel/2006/main">
          <x14:cfRule type="expression" priority="11" id="{D1C0510B-D080-4431-BC04-D83EF8A1ECEB}">
            <xm:f>$S$8='Assessment Details'!$Q$23</xm:f>
            <x14:dxf>
              <border>
                <left style="thin">
                  <color theme="0"/>
                </left>
                <right style="thin">
                  <color theme="0"/>
                </right>
                <top style="thin">
                  <color theme="0"/>
                </top>
                <bottom style="thin">
                  <color theme="0"/>
                </bottom>
                <vertical/>
                <horizontal/>
              </border>
            </x14:dxf>
          </x14:cfRule>
          <xm:sqref>N72</xm:sqref>
        </x14:conditionalFormatting>
        <x14:conditionalFormatting xmlns:xm="http://schemas.microsoft.com/office/excel/2006/main">
          <x14:cfRule type="expression" priority="10" id="{641C13F4-D14D-4ABF-A7A3-FC1C1E8AEA03}">
            <xm:f>$S$8='Assessment Details'!$Q$23</xm:f>
            <x14:dxf>
              <font>
                <color theme="0"/>
              </font>
              <fill>
                <patternFill>
                  <bgColor theme="0"/>
                </patternFill>
              </fill>
              <border>
                <vertical/>
                <horizontal/>
              </border>
            </x14:dxf>
          </x14:cfRule>
          <xm:sqref>U72</xm:sqref>
        </x14:conditionalFormatting>
        <x14:conditionalFormatting xmlns:xm="http://schemas.microsoft.com/office/excel/2006/main">
          <x14:cfRule type="expression" priority="9" id="{3060AF4D-2791-4CD9-884D-18BE96C3F9FD}">
            <xm:f>$S$8='Assessment Details'!$Q$23</xm:f>
            <x14:dxf>
              <border>
                <left style="thin">
                  <color theme="0"/>
                </left>
                <right style="thin">
                  <color theme="0"/>
                </right>
                <top style="thin">
                  <color theme="0"/>
                </top>
                <bottom style="thin">
                  <color theme="0"/>
                </bottom>
                <vertical/>
                <horizontal/>
              </border>
            </x14:dxf>
          </x14:cfRule>
          <xm:sqref>U72</xm:sqref>
        </x14:conditionalFormatting>
        <x14:conditionalFormatting xmlns:xm="http://schemas.microsoft.com/office/excel/2006/main">
          <x14:cfRule type="expression" priority="8" id="{9632447C-E102-4597-ADAF-9559D011CA22}">
            <xm:f>$S$8='Assessment Details'!$Q$23</xm:f>
            <x14:dxf>
              <font>
                <color theme="0"/>
              </font>
              <fill>
                <patternFill>
                  <bgColor theme="0"/>
                </patternFill>
              </fill>
              <border>
                <vertical/>
                <horizontal/>
              </border>
            </x14:dxf>
          </x14:cfRule>
          <xm:sqref>W72</xm:sqref>
        </x14:conditionalFormatting>
        <x14:conditionalFormatting xmlns:xm="http://schemas.microsoft.com/office/excel/2006/main">
          <x14:cfRule type="expression" priority="7" id="{CF6C7A36-6DC9-465A-8723-B8470D01758F}">
            <xm:f>$S$8='Assessment Details'!$Q$23</xm:f>
            <x14:dxf>
              <border>
                <left style="thin">
                  <color theme="0"/>
                </left>
                <right style="thin">
                  <color theme="0"/>
                </right>
                <top style="thin">
                  <color theme="0"/>
                </top>
                <bottom style="thin">
                  <color theme="0"/>
                </bottom>
                <vertical/>
                <horizontal/>
              </border>
            </x14:dxf>
          </x14:cfRule>
          <xm:sqref>W72</xm:sqref>
        </x14:conditionalFormatting>
        <x14:conditionalFormatting xmlns:xm="http://schemas.microsoft.com/office/excel/2006/main">
          <x14:cfRule type="expression" priority="20" id="{D396B396-D304-4E83-B652-E7233ED31E95}">
            <xm:f>$Z$8='Assessment Details'!$Q$23</xm:f>
            <x14:dxf>
              <font>
                <color theme="0"/>
              </font>
              <fill>
                <patternFill>
                  <bgColor theme="0"/>
                </patternFill>
              </fill>
            </x14:dxf>
          </x14:cfRule>
          <xm:sqref>U72:Z72</xm:sqref>
        </x14:conditionalFormatting>
        <x14:conditionalFormatting xmlns:xm="http://schemas.microsoft.com/office/excel/2006/main">
          <x14:cfRule type="expression" priority="21" id="{04515C0B-0410-4740-8F84-8649A56852AE}">
            <xm:f>$Z$8='Assessment Details'!$Q$23</xm:f>
            <x14:dxf>
              <border>
                <left style="thin">
                  <color theme="0"/>
                </left>
                <right style="thin">
                  <color theme="0"/>
                </right>
                <top style="thin">
                  <color theme="0"/>
                </top>
                <bottom style="thin">
                  <color theme="0"/>
                </bottom>
                <vertical/>
                <horizontal/>
              </border>
            </x14:dxf>
          </x14:cfRule>
          <xm:sqref>U72:Z72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B1:P19"/>
  <sheetViews>
    <sheetView zoomScaleNormal="100" workbookViewId="0">
      <selection activeCell="R11" sqref="R11"/>
    </sheetView>
  </sheetViews>
  <sheetFormatPr defaultColWidth="9.140625" defaultRowHeight="15"/>
  <cols>
    <col min="1" max="1" width="2.7109375" style="1" customWidth="1"/>
    <col min="2" max="2" width="17" style="1" bestFit="1" customWidth="1"/>
    <col min="3" max="3" width="15.85546875" style="1" customWidth="1"/>
    <col min="4" max="16" width="9.140625" style="1"/>
    <col min="17" max="17" width="3.140625" style="1" customWidth="1"/>
    <col min="18" max="16384" width="9.140625" style="1"/>
  </cols>
  <sheetData>
    <row r="1" spans="2:16" ht="15" customHeight="1" thickBot="1">
      <c r="B1" s="1093"/>
      <c r="C1" s="1094"/>
      <c r="D1" s="1094"/>
      <c r="E1" s="1094"/>
      <c r="F1" s="1094"/>
      <c r="G1" s="1094"/>
      <c r="H1" s="1094"/>
      <c r="I1" s="1094"/>
      <c r="J1" s="1094"/>
      <c r="K1" s="1094"/>
      <c r="L1" s="1094"/>
    </row>
    <row r="2" spans="2:16" ht="42" customHeight="1">
      <c r="B2" s="1098" t="s">
        <v>1086</v>
      </c>
      <c r="C2" s="1099"/>
      <c r="D2" s="1099"/>
      <c r="E2" s="1099"/>
      <c r="F2" s="1099"/>
      <c r="G2" s="1099"/>
      <c r="H2" s="1099"/>
      <c r="I2" s="1099"/>
      <c r="J2" s="1099"/>
      <c r="K2" s="1099"/>
      <c r="L2" s="1099"/>
      <c r="M2" s="457"/>
      <c r="N2" s="458"/>
      <c r="O2" s="458"/>
      <c r="P2" s="489" t="str">
        <f>IF('Manuell filtrering og justering'!I2='Manuell filtrering og justering'!J2,"Bespoke","")</f>
        <v/>
      </c>
    </row>
    <row r="3" spans="2:16" ht="15" customHeight="1">
      <c r="B3" s="459"/>
      <c r="C3" s="460"/>
      <c r="D3" s="460"/>
      <c r="E3" s="460"/>
      <c r="F3" s="460"/>
      <c r="G3" s="460"/>
      <c r="H3" s="460"/>
      <c r="I3" s="460"/>
      <c r="J3" s="460"/>
      <c r="K3" s="460"/>
      <c r="L3" s="460"/>
      <c r="P3" s="335"/>
    </row>
    <row r="4" spans="2:16" ht="15" customHeight="1">
      <c r="B4" s="461" t="s">
        <v>1087</v>
      </c>
      <c r="C4" s="461" t="s">
        <v>1088</v>
      </c>
      <c r="D4" s="1100" t="s">
        <v>1089</v>
      </c>
      <c r="E4" s="1101"/>
      <c r="F4" s="1101"/>
      <c r="G4" s="1101"/>
      <c r="H4" s="1101"/>
      <c r="I4" s="1101"/>
      <c r="J4" s="1101"/>
      <c r="K4" s="1101"/>
      <c r="L4" s="1101"/>
      <c r="M4" s="1101"/>
      <c r="N4" s="1101"/>
      <c r="O4" s="1101"/>
      <c r="P4" s="1102"/>
    </row>
    <row r="5" spans="2:16" ht="97.5" customHeight="1">
      <c r="B5" s="474" t="s">
        <v>1090</v>
      </c>
      <c r="C5" s="462">
        <v>45033</v>
      </c>
      <c r="D5" s="1096" t="s">
        <v>1091</v>
      </c>
      <c r="E5" s="1097"/>
      <c r="F5" s="1097"/>
      <c r="G5" s="1097"/>
      <c r="H5" s="1097"/>
      <c r="I5" s="1097"/>
      <c r="J5" s="1097"/>
      <c r="K5" s="1097"/>
      <c r="L5" s="1097"/>
      <c r="M5" s="1097"/>
      <c r="N5" s="1097"/>
      <c r="O5" s="1097"/>
      <c r="P5" s="1097"/>
    </row>
    <row r="6" spans="2:16" ht="18.75" customHeight="1">
      <c r="B6" s="463"/>
      <c r="C6" s="464"/>
      <c r="D6" s="465"/>
      <c r="E6" s="465"/>
      <c r="F6" s="465"/>
      <c r="G6" s="465"/>
      <c r="H6" s="465"/>
      <c r="I6" s="465"/>
      <c r="J6" s="465"/>
      <c r="K6" s="465"/>
      <c r="L6" s="465"/>
      <c r="M6" s="465"/>
      <c r="N6" s="466"/>
      <c r="O6" s="466"/>
      <c r="P6" s="466"/>
    </row>
    <row r="7" spans="2:16">
      <c r="B7" s="467" t="s">
        <v>1092</v>
      </c>
      <c r="C7" s="468" t="s">
        <v>1088</v>
      </c>
      <c r="D7" s="469" t="s">
        <v>1089</v>
      </c>
      <c r="E7" s="470"/>
      <c r="F7" s="470"/>
      <c r="G7" s="470"/>
      <c r="H7" s="470"/>
      <c r="I7" s="470"/>
      <c r="J7" s="470"/>
      <c r="K7" s="470"/>
      <c r="L7" s="470"/>
      <c r="M7" s="470"/>
      <c r="N7" s="470"/>
      <c r="O7" s="470"/>
      <c r="P7" s="471"/>
    </row>
    <row r="8" spans="2:16" ht="132" customHeight="1">
      <c r="B8" s="474" t="s">
        <v>1093</v>
      </c>
      <c r="C8" s="462">
        <v>44886</v>
      </c>
      <c r="D8" s="1096" t="s">
        <v>1094</v>
      </c>
      <c r="E8" s="1097"/>
      <c r="F8" s="1097"/>
      <c r="G8" s="1097"/>
      <c r="H8" s="1097"/>
      <c r="I8" s="1097"/>
      <c r="J8" s="1097"/>
      <c r="K8" s="1097"/>
      <c r="L8" s="1097"/>
      <c r="M8" s="1097"/>
      <c r="N8" s="1097"/>
      <c r="O8" s="1097"/>
      <c r="P8" s="1097"/>
    </row>
    <row r="9" spans="2:16" ht="144" customHeight="1">
      <c r="B9" s="474" t="s">
        <v>1095</v>
      </c>
      <c r="C9" s="462">
        <v>44805</v>
      </c>
      <c r="D9" s="1109" t="s">
        <v>1096</v>
      </c>
      <c r="E9" s="1097"/>
      <c r="F9" s="1097"/>
      <c r="G9" s="1097"/>
      <c r="H9" s="1097"/>
      <c r="I9" s="1097"/>
      <c r="J9" s="1097"/>
      <c r="K9" s="1097"/>
      <c r="L9" s="1097"/>
      <c r="M9" s="1097"/>
      <c r="N9" s="1097"/>
      <c r="O9" s="1097"/>
      <c r="P9" s="1097"/>
    </row>
    <row r="10" spans="2:16" ht="57" customHeight="1">
      <c r="B10" s="474" t="s">
        <v>1097</v>
      </c>
      <c r="C10" s="462">
        <v>44736</v>
      </c>
      <c r="D10" s="1106" t="s">
        <v>1098</v>
      </c>
      <c r="E10" s="1107"/>
      <c r="F10" s="1107"/>
      <c r="G10" s="1107"/>
      <c r="H10" s="1107"/>
      <c r="I10" s="1107"/>
      <c r="J10" s="1107"/>
      <c r="K10" s="1107"/>
      <c r="L10" s="1107"/>
      <c r="M10" s="1107"/>
      <c r="N10" s="1107"/>
      <c r="O10" s="1107"/>
      <c r="P10" s="1108"/>
    </row>
    <row r="11" spans="2:16" ht="80.25" customHeight="1">
      <c r="B11" s="474" t="s">
        <v>1099</v>
      </c>
      <c r="C11" s="462">
        <v>44673</v>
      </c>
      <c r="D11" s="1106" t="s">
        <v>1100</v>
      </c>
      <c r="E11" s="1107"/>
      <c r="F11" s="1107"/>
      <c r="G11" s="1107"/>
      <c r="H11" s="1107"/>
      <c r="I11" s="1107"/>
      <c r="J11" s="1107"/>
      <c r="K11" s="1107"/>
      <c r="L11" s="1107"/>
      <c r="M11" s="1107"/>
      <c r="N11" s="1107"/>
      <c r="O11" s="1107"/>
      <c r="P11" s="1108"/>
    </row>
    <row r="12" spans="2:16" ht="27.75" customHeight="1">
      <c r="B12" s="474" t="s">
        <v>1101</v>
      </c>
      <c r="C12" s="462">
        <v>44635</v>
      </c>
      <c r="D12" s="1103" t="s">
        <v>1102</v>
      </c>
      <c r="E12" s="1104"/>
      <c r="F12" s="1104"/>
      <c r="G12" s="1104"/>
      <c r="H12" s="1104"/>
      <c r="I12" s="1104"/>
      <c r="J12" s="1104"/>
      <c r="K12" s="1104"/>
      <c r="L12" s="1104"/>
      <c r="M12" s="1104"/>
      <c r="N12" s="1104"/>
      <c r="O12" s="1104"/>
      <c r="P12" s="1105"/>
    </row>
    <row r="13" spans="2:16">
      <c r="B13" s="474" t="s">
        <v>1103</v>
      </c>
      <c r="C13" s="462">
        <v>44620</v>
      </c>
      <c r="D13" s="1103" t="s">
        <v>1104</v>
      </c>
      <c r="E13" s="1104"/>
      <c r="F13" s="1104"/>
      <c r="G13" s="1104"/>
      <c r="H13" s="1104"/>
      <c r="I13" s="1104"/>
      <c r="J13" s="1104"/>
      <c r="K13" s="1104"/>
      <c r="L13" s="1104"/>
      <c r="M13" s="1104"/>
      <c r="N13" s="1104"/>
      <c r="O13" s="1104"/>
      <c r="P13" s="1105"/>
    </row>
    <row r="14" spans="2:16">
      <c r="B14" s="474"/>
      <c r="C14" s="462"/>
      <c r="D14" s="1095"/>
      <c r="E14" s="1187"/>
      <c r="F14" s="1187"/>
      <c r="G14" s="1187"/>
      <c r="H14" s="1187"/>
      <c r="I14" s="1187"/>
      <c r="J14" s="1187"/>
      <c r="K14" s="1187"/>
      <c r="L14" s="1187"/>
      <c r="M14" s="1187"/>
      <c r="N14" s="1187"/>
      <c r="O14" s="1187"/>
      <c r="P14" s="1187"/>
    </row>
    <row r="15" spans="2:16">
      <c r="B15" s="472"/>
      <c r="C15" s="473"/>
      <c r="D15" s="1112"/>
      <c r="E15" s="1111"/>
      <c r="F15" s="1111"/>
      <c r="G15" s="1111"/>
      <c r="H15" s="1111"/>
      <c r="I15" s="1111"/>
      <c r="J15" s="1111"/>
      <c r="K15" s="1111"/>
      <c r="L15" s="1111"/>
      <c r="M15" s="1111"/>
      <c r="N15" s="1111"/>
      <c r="O15" s="1111"/>
      <c r="P15" s="1111"/>
    </row>
    <row r="16" spans="2:16">
      <c r="B16" s="472"/>
      <c r="C16" s="473"/>
      <c r="D16" s="1112"/>
      <c r="E16" s="1111"/>
      <c r="F16" s="1111"/>
      <c r="G16" s="1111"/>
      <c r="H16" s="1111"/>
      <c r="I16" s="1111"/>
      <c r="J16" s="1111"/>
      <c r="K16" s="1111"/>
      <c r="L16" s="1111"/>
      <c r="M16" s="1111"/>
      <c r="N16" s="1111"/>
      <c r="O16" s="1111"/>
      <c r="P16" s="1111"/>
    </row>
    <row r="17" spans="2:16">
      <c r="B17" s="472"/>
      <c r="C17" s="473"/>
      <c r="D17" s="1110"/>
      <c r="E17" s="1111"/>
      <c r="F17" s="1111"/>
      <c r="G17" s="1111"/>
      <c r="H17" s="1111"/>
      <c r="I17" s="1111"/>
      <c r="J17" s="1111"/>
      <c r="K17" s="1111"/>
      <c r="L17" s="1111"/>
      <c r="M17" s="1111"/>
      <c r="N17" s="1111"/>
      <c r="O17" s="1111"/>
      <c r="P17" s="1111"/>
    </row>
    <row r="18" spans="2:16" ht="13.5" customHeight="1">
      <c r="B18" s="472"/>
      <c r="C18" s="473"/>
      <c r="D18" s="1110"/>
      <c r="E18" s="1111"/>
      <c r="F18" s="1111"/>
      <c r="G18" s="1111"/>
      <c r="H18" s="1111"/>
      <c r="I18" s="1111"/>
      <c r="J18" s="1111"/>
      <c r="K18" s="1111"/>
      <c r="L18" s="1111"/>
      <c r="M18" s="1111"/>
      <c r="N18" s="1111"/>
      <c r="O18" s="1111"/>
      <c r="P18" s="1111"/>
    </row>
    <row r="19" spans="2:16">
      <c r="B19" s="472"/>
      <c r="C19" s="473"/>
      <c r="D19" s="1110"/>
      <c r="E19" s="1111"/>
      <c r="F19" s="1111"/>
      <c r="G19" s="1111"/>
      <c r="H19" s="1111"/>
      <c r="I19" s="1111"/>
      <c r="J19" s="1111"/>
      <c r="K19" s="1111"/>
      <c r="L19" s="1111"/>
      <c r="M19" s="1111"/>
      <c r="N19" s="1111"/>
      <c r="O19" s="1111"/>
      <c r="P19" s="1111"/>
    </row>
  </sheetData>
  <sheetProtection algorithmName="SHA-512" hashValue="JiUumFropLCpf9BnCMYfY1dFH8nLcY6u6AHFm/bCP1TF4o4sMcYRDoWfHofaTOYOJrGaW23vMsI/w9QRVxHnNw==" saltValue="ZFAtRxfAjeH44RX/0dD8yw==" spinCount="100000" sheet="1" objects="1" scenarios="1"/>
  <mergeCells count="16">
    <mergeCell ref="D17:P17"/>
    <mergeCell ref="D18:P18"/>
    <mergeCell ref="D19:P19"/>
    <mergeCell ref="D13:P13"/>
    <mergeCell ref="D16:P16"/>
    <mergeCell ref="D15:P15"/>
    <mergeCell ref="B1:L1"/>
    <mergeCell ref="D14:P14"/>
    <mergeCell ref="D5:P5"/>
    <mergeCell ref="B2:L2"/>
    <mergeCell ref="D4:P4"/>
    <mergeCell ref="D12:P12"/>
    <mergeCell ref="D11:P11"/>
    <mergeCell ref="D10:P10"/>
    <mergeCell ref="D9:P9"/>
    <mergeCell ref="D8:P8"/>
  </mergeCells>
  <phoneticPr fontId="19" type="noConversion"/>
  <pageMargins left="0.70866141732283472" right="0.70866141732283472" top="0.74803149606299213" bottom="0.74803149606299213" header="0.31496062992125984" footer="0.31496062992125984"/>
  <pageSetup paperSize="9"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AED53369A40C479E606D250AC40773" ma:contentTypeVersion="16" ma:contentTypeDescription="Create a new document." ma:contentTypeScope="" ma:versionID="cbc34c54204d25d3171524b1bb0734b1">
  <xsd:schema xmlns:xsd="http://www.w3.org/2001/XMLSchema" xmlns:xs="http://www.w3.org/2001/XMLSchema" xmlns:p="http://schemas.microsoft.com/office/2006/metadata/properties" xmlns:ns2="3851e051-9be9-475c-a246-5571e8dd2d5d" xmlns:ns3="6d456677-2d6b-4a4c-b93c-0a35d0291704" targetNamespace="http://schemas.microsoft.com/office/2006/metadata/properties" ma:root="true" ma:fieldsID="0f72c9cb3d871a2f4355d61d9b9585ef" ns2:_="" ns3:_="">
    <xsd:import namespace="3851e051-9be9-475c-a246-5571e8dd2d5d"/>
    <xsd:import namespace="6d456677-2d6b-4a4c-b93c-0a35d02917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1e051-9be9-475c-a246-5571e8dd2d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1f38259-2803-424e-b20f-60f96a94715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d456677-2d6b-4a4c-b93c-0a35d02917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3824f3a-8ff1-410c-ba01-9e6848dbc67e}" ma:internalName="TaxCatchAll" ma:showField="CatchAllData" ma:web="6d456677-2d6b-4a4c-b93c-0a35d02917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851e051-9be9-475c-a246-5571e8dd2d5d">
      <Terms xmlns="http://schemas.microsoft.com/office/infopath/2007/PartnerControls"/>
    </lcf76f155ced4ddcb4097134ff3c332f>
    <TaxCatchAll xmlns="6d456677-2d6b-4a4c-b93c-0a35d029170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CE19F-EAB9-43AB-9EB7-71FA51A09E6C}"/>
</file>

<file path=customXml/itemProps2.xml><?xml version="1.0" encoding="utf-8"?>
<ds:datastoreItem xmlns:ds="http://schemas.openxmlformats.org/officeDocument/2006/customXml" ds:itemID="{00F68772-2ABF-4F37-8594-F905212249AD}"/>
</file>

<file path=customXml/itemProps3.xml><?xml version="1.0" encoding="utf-8"?>
<ds:datastoreItem xmlns:ds="http://schemas.openxmlformats.org/officeDocument/2006/customXml" ds:itemID="{99D2125B-24D9-472D-B56D-38274035C0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 Global Ltd</dc:creator>
  <cp:keywords/>
  <dc:description/>
  <cp:lastModifiedBy>Torun Eggan Skjerve</cp:lastModifiedBy>
  <cp:revision/>
  <dcterms:created xsi:type="dcterms:W3CDTF">2011-03-28T14:05:06Z</dcterms:created>
  <dcterms:modified xsi:type="dcterms:W3CDTF">2023-05-04T13:15:45Z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1a1313e7-f814-4958-ad03-b536a5c5c290</vt:lpwstr>
  </property>
  <property fmtid="{D5CDD505-2E9C-101B-9397-08002B2CF9AE}" pid="3" name="ContentTypeId">
    <vt:lpwstr>0x010100EBAED53369A40C479E606D250AC40773</vt:lpwstr>
  </property>
  <property fmtid="{D5CDD505-2E9C-101B-9397-08002B2CF9AE}" pid="4" name="MediaServiceImageTags">
    <vt:lpwstr/>
  </property>
</Properties>
</file>