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howInkAnnotation="0" codeName="ThisWorkbook" defaultThemeVersion="124226"/>
  <mc:AlternateContent xmlns:mc="http://schemas.openxmlformats.org/markup-compatibility/2006">
    <mc:Choice Requires="x15">
      <x15ac:absPath xmlns:x15ac="http://schemas.microsoft.com/office/spreadsheetml/2010/11/ac" url="http://bikube/Oppdrag/605893/02/Dokumenter/utvikling nytt verktøy/Ferdige versjoner/Versjon 108 (131119), med shell core/"/>
    </mc:Choice>
  </mc:AlternateContent>
  <xr:revisionPtr revIDLastSave="0" documentId="13_ncr:1_{CE2473C7-F3E4-4551-99AD-CCA510A74997}" xr6:coauthVersionLast="43" xr6:coauthVersionMax="43" xr10:uidLastSave="{00000000-0000-0000-0000-000000000000}"/>
  <workbookProtection workbookAlgorithmName="SHA-512" workbookHashValue="wKngRpFm7SH51TrNe2ddltRF3UkXpzcXsXm5p6+8QHDDWjClMuhYPBvLJZtQ76rwJBu1oyJkWO3SlqkIsuZOWA==" workbookSaltValue="zBYD7qgzRLOnDQXnJBWG2A==" workbookSpinCount="100000" lockStructure="1"/>
  <bookViews>
    <workbookView xWindow="-108" yWindow="-108" windowWidth="41496" windowHeight="16896" tabRatio="737" xr2:uid="{00000000-000D-0000-FFFF-FFFF00000000}"/>
  </bookViews>
  <sheets>
    <sheet name="Instructions" sheetId="12" r:id="rId1"/>
    <sheet name="Assessment Details" sheetId="3" r:id="rId2"/>
    <sheet name="Pre-Assessment Estimator" sheetId="5" r:id="rId3"/>
    <sheet name="Poeng" sheetId="13" state="hidden" r:id="rId4"/>
    <sheet name="Manuell filtrering og justering" sheetId="16" state="hidden" r:id="rId5"/>
    <sheet name="Summary of Building Performance" sheetId="11" r:id="rId6"/>
    <sheet name="PAE available for copy" sheetId="21" r:id="rId7"/>
    <sheet name="Version Control" sheetId="8" r:id="rId8"/>
    <sheet name="Sheet1" sheetId="17" r:id="rId9"/>
    <sheet name="Sheet2" sheetId="18" r:id="rId10"/>
    <sheet name="Sheet3" sheetId="19" r:id="rId11"/>
  </sheets>
  <definedNames>
    <definedName name="_xlnm._FilterDatabase" localSheetId="6" hidden="1">'PAE available for copy'!$A$8:$V$101</definedName>
    <definedName name="_xlnm._FilterDatabase" localSheetId="2" hidden="1">'Pre-Assessment Estimator'!$A$8:$AB$101</definedName>
    <definedName name="_PSc1">'Assessment Details'!$M$70</definedName>
    <definedName name="_PSc2">'Assessment Details'!$M$69</definedName>
    <definedName name="Achieved_const">'Summary of Building Performance'!$H$45</definedName>
    <definedName name="Achieved_design">'Summary of Building Performance'!$F$45</definedName>
    <definedName name="Achieved_initial">'Summary of Building Performance'!$D$45</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Details'!$N$5</definedName>
    <definedName name="AD_BREEAM_version">'Assessment Details'!$N$8</definedName>
    <definedName name="AD_BREEAMAP">'Assessment Details'!$C$28</definedName>
    <definedName name="AD_Buildserve">'Assessment Details'!$C$27</definedName>
    <definedName name="AD_Builduser">'Assessment Details'!$C$7</definedName>
    <definedName name="AD_catlevel">'Assessment Details'!$F$22</definedName>
    <definedName name="AD_catlevel01">'Assessment Details'!$N$31</definedName>
    <definedName name="AD_catlevel02">'Assessment Details'!$N$32</definedName>
    <definedName name="AD_catlevel03">'Assessment Details'!$N$33</definedName>
    <definedName name="AD_client">'Assessment Details'!$C$6</definedName>
    <definedName name="AD_Contractor">'Assessment Details'!$C$24</definedName>
    <definedName name="AD_Developer">'Assessment Details'!$C$23</definedName>
    <definedName name="AD_GIA">'Assessment Details'!$F$12</definedName>
    <definedName name="AD_heat">'Assessment Details'!$F$15</definedName>
    <definedName name="AD_labcat_list">'Assessment Details'!$N$31:$N$34</definedName>
    <definedName name="AD_Labsize">'Assessment Details'!$F$21</definedName>
    <definedName name="AD_Labsize_list">'Assessment Details'!$N$26:$N$29</definedName>
    <definedName name="AD_Labsize01">'Assessment Details'!$N$27</definedName>
    <definedName name="AD_Labsize02">'Assessment Details'!$N$28</definedName>
    <definedName name="AD_Labsize03">'Assessment Details'!$N$29</definedName>
    <definedName name="AD_labsize04">'Assessment Details'!$N$26</definedName>
    <definedName name="AD_Landscape">'Assessment Details'!$F$25</definedName>
    <definedName name="AD_MultiRes_option01a">'Assessment Details'!$M$92</definedName>
    <definedName name="AD_MultiRes_option01b">'Assessment Details'!$M$93</definedName>
    <definedName name="AD_Multitenant">'Assessment Details'!$N$42</definedName>
    <definedName name="AD_NaturalHazards">'Assessment Details'!$F$24</definedName>
    <definedName name="AD_NIFA">'Assessment Details'!$F$13</definedName>
    <definedName name="AD_no">'Assessment Details'!$N$23</definedName>
    <definedName name="AD_nolab" localSheetId="6">'Assessment Details'!#REF!</definedName>
    <definedName name="AD_nolab">'Assessment Details'!#REF!</definedName>
    <definedName name="AD_option_na">'Assessment Details'!$N$24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Details'!$F$18</definedName>
    <definedName name="AD_p_zone0">'Assessment Details'!$Q$87</definedName>
    <definedName name="AD_p_zone1">'Assessment Details'!$Q$88</definedName>
    <definedName name="AD_P_zone2">'Assessment Details'!$Q$89</definedName>
    <definedName name="AD_P_Zone3">'Assessment Details'!$Q$90</definedName>
    <definedName name="AD_Projman">'Assessment Details'!$C$26</definedName>
    <definedName name="AD_ref">'Assessment Details'!$C$5</definedName>
    <definedName name="AD_refrig">'Assessment Details'!$F$19</definedName>
    <definedName name="AD_SiteAccess">'Assessment Details'!$F$23</definedName>
    <definedName name="AD_stage_list">'Assessment Details'!$N$18:$N$19</definedName>
    <definedName name="AD_statement03" localSheetId="6">'Assessment Details'!#REF!</definedName>
    <definedName name="AD_statement03">'Assessment Details'!#REF!</definedName>
    <definedName name="AD_Statement04">'Assessment Details'!$N$44</definedName>
    <definedName name="AD_statement05">'Assessment Details'!$N$45</definedName>
    <definedName name="AD_statement06">'Assessment Details'!$N$46</definedName>
    <definedName name="AD_tra01type">'Assessment Details'!$M$64</definedName>
    <definedName name="AD_Trans">'Assessment Details'!$F$20</definedName>
    <definedName name="AD_type_list">'Assessment Details'!$J$5:$J$8</definedName>
    <definedName name="AD_Vehiclewash">'Assessment Details'!$F$26</definedName>
    <definedName name="AD_version">'Assessment Details'!$F$10</definedName>
    <definedName name="AD_Yes">'Assessment Details'!$N$22</definedName>
    <definedName name="AD_YesNo">'Assessment Details'!$N$22:$N$23</definedName>
    <definedName name="AD_YesNo_list">'Assessment Details'!$N$22:$N$24</definedName>
    <definedName name="ADAS0">'Assessment Details'!$F$8</definedName>
    <definedName name="ADAS01">'Assessment Details'!$N$18</definedName>
    <definedName name="ADAS02">'Assessment Details'!$N$19</definedName>
    <definedName name="ADBN">'Assessment Details'!$C$13</definedName>
    <definedName name="ADBT_sub02">'Assessment Details'!$L$5</definedName>
    <definedName name="ADBT_sub03">'Assessment Details'!$L$6</definedName>
    <definedName name="ADBT_sub04">'Assessment Details'!$L$7</definedName>
    <definedName name="ADBT_sub05">'Assessment Details'!$L$8</definedName>
    <definedName name="ADBT_sub06">'Assessment Details'!$L$9</definedName>
    <definedName name="ADBT_sub07">'Assessment Details'!$L$10</definedName>
    <definedName name="ADBT_sub08">'Assessment Details'!$L$11</definedName>
    <definedName name="ADBT_sub09">'Assessment Details'!$L$12</definedName>
    <definedName name="ADBT_sub10">'Assessment Details'!$L$13</definedName>
    <definedName name="ADBT_sub11">'Assessment Details'!$L$14</definedName>
    <definedName name="ADBT_sub12">'Assessment Details'!$L$15</definedName>
    <definedName name="ADBT_sub13">'Assessment Details'!$L$16</definedName>
    <definedName name="ADBT_sub14">'Assessment Details'!$L$17</definedName>
    <definedName name="ADBT_sub15">'Assessment Details'!$L$18</definedName>
    <definedName name="ADBT_sub16">'Assessment Details'!$L$19</definedName>
    <definedName name="ADBT_sub17">'Assessment Details'!$L$20</definedName>
    <definedName name="ADBT0">'Assessment Details'!$F$5</definedName>
    <definedName name="ADBT1">'Assessment Details'!$J$5</definedName>
    <definedName name="ADBT12">'Assessment Details'!$J$9</definedName>
    <definedName name="ADBT2">'Assessment Details'!$J$6</definedName>
    <definedName name="ADBT3">'Assessment Details'!$J$7</definedName>
    <definedName name="ADBT8">'Assessment Details'!$J$8</definedName>
    <definedName name="ADBT9">'Assessment Details'!$J$5</definedName>
    <definedName name="ADFume_option01">'Assessment Details'!$M$43</definedName>
    <definedName name="ADIND_option02">'Assessment Details'!$F$16</definedName>
    <definedName name="ADIND_option03">'Assessment Details'!$F$17</definedName>
    <definedName name="ADPT">'Assessment Details'!$F$7</definedName>
    <definedName name="ADPT01">'Assessment Details'!$N$11</definedName>
    <definedName name="ADPT02">'Assessment Details'!$N$12</definedName>
    <definedName name="ADPT03">'Assessment Details'!$N$13</definedName>
    <definedName name="ADPT04">'Assessment Details'!$N$14</definedName>
    <definedName name="AIS_NA">Poeng!$F$5</definedName>
    <definedName name="ais_no">Poeng!$F$4</definedName>
    <definedName name="AIS_statement09" localSheetId="6">'Assessment Details'!#REF!</definedName>
    <definedName name="AIS_statement09">'Assessment Details'!#REF!</definedName>
    <definedName name="AIS_statement29">'Assessment Details'!$B$37</definedName>
    <definedName name="ais_yes">Poeng!$F$3</definedName>
    <definedName name="BP_01">'Summary of Building Performance'!$C$35</definedName>
    <definedName name="BP_02">'Summary of Building Performance'!$C$36</definedName>
    <definedName name="BP_03">'Summary of Building Performance'!$C$37</definedName>
    <definedName name="BP_04">'Summary of Building Performance'!$C$38</definedName>
    <definedName name="BP_05">'Summary of Building Performance'!$C$39</definedName>
    <definedName name="BP_06">'Summary of Building Performance'!$C$40</definedName>
    <definedName name="BP_07">'Summary of Building Performance'!$C$41</definedName>
    <definedName name="BP_08">'Summary of Building Performance'!$C$42</definedName>
    <definedName name="BP_09">'Summary of Building Performance'!$C$43</definedName>
    <definedName name="BP_10">'Summary of Building Performance'!$C$44</definedName>
    <definedName name="BP_11">'Summary of Building Performance'!$D$35</definedName>
    <definedName name="BP_12">'Summary of Building Performance'!$D$36</definedName>
    <definedName name="BP_13">'Summary of Building Performance'!$D$37</definedName>
    <definedName name="BP_14">'Summary of Building Performance'!$D$38</definedName>
    <definedName name="BP_15">'Summary of Building Performance'!$D$39</definedName>
    <definedName name="BP_16">'Summary of Building Performance'!$D$40</definedName>
    <definedName name="BP_18">'Summary of Building Performance'!$D$41</definedName>
    <definedName name="BP_19">'Summary of Building Performance'!$D$42</definedName>
    <definedName name="BP_20">'Summary of Building Performance'!$D$43</definedName>
    <definedName name="BP_21">'Summary of Building Performance'!$D$44</definedName>
    <definedName name="BP_22">'Summary of Building Performance'!$E$35</definedName>
    <definedName name="BP_23">'Summary of Building Performance'!$E$36</definedName>
    <definedName name="BP_24">'Summary of Building Performance'!$E$37</definedName>
    <definedName name="BP_25">'Summary of Building Performance'!$E$38</definedName>
    <definedName name="BP_26">'Summary of Building Performance'!$E$39</definedName>
    <definedName name="BP_27">'Summary of Building Performance'!$E$40</definedName>
    <definedName name="BP_28">'Summary of Building Performance'!$E$41</definedName>
    <definedName name="BP_29">'Summary of Building Performance'!$E$42</definedName>
    <definedName name="BP_30">'Summary of Building Performance'!$E$43</definedName>
    <definedName name="BP_31">'Summary of Building Performance'!$E$44</definedName>
    <definedName name="BP_32">'Summary of Building Performance'!$J$35</definedName>
    <definedName name="BP_34">'Summary of Building Performance'!$J$37</definedName>
    <definedName name="BP_35">'Summary of Building Performance'!$J$38</definedName>
    <definedName name="BP_36">'Summary of Building Performance'!$J$39</definedName>
    <definedName name="BP_38">'Summary of Building Performance'!$J$40</definedName>
    <definedName name="BP_39">'Summary of Building Performance'!$J$41</definedName>
    <definedName name="BP_40">'Summary of Building Performance'!$J$42</definedName>
    <definedName name="BP_BREEAMRating">Poeng!$AS$112</definedName>
    <definedName name="BP_Energy_score">'Summary of Building Performance'!$K$37</definedName>
    <definedName name="BP_Innovation_score">'Summary of Building Performance'!$K$44</definedName>
    <definedName name="BP_LUE_score">'Summary of Building Performance'!$K$42</definedName>
    <definedName name="BP_Man_score">'Summary of Building Performance'!$K$35</definedName>
    <definedName name="BP_Materials_score">'Summary of Building Performance'!$K$40</definedName>
    <definedName name="BP_MinStandards">Poeng!$AS$107</definedName>
    <definedName name="BP_MinStandards_const">Poeng!$AY$107</definedName>
    <definedName name="BP_MinStandards_design">Poeng!$AV$107</definedName>
    <definedName name="BP_Trans_score">'Summary of Building Performance'!$K$38</definedName>
    <definedName name="BP_Waste_Score">'Summary of Building Performance'!$K$41</definedName>
    <definedName name="BP_Water_score">'Summary of Building Performance'!$K$39</definedName>
    <definedName name="BRK_Banner" localSheetId="6">'PAE available for copy'!$C$1</definedName>
    <definedName name="BRK_Banner">'Pre-Assessment Estimator'!$C$1</definedName>
    <definedName name="Ene_01">Poeng!$D$31</definedName>
    <definedName name="Ene_02">Poeng!$D$32</definedName>
    <definedName name="Ene_03">Poeng!$D$33</definedName>
    <definedName name="Ene_04">Poeng!$D$34</definedName>
    <definedName name="Ene_05">Poeng!$D$35</definedName>
    <definedName name="Ene_06">Poeng!$D$36</definedName>
    <definedName name="Ene_07">Poeng!$D$37</definedName>
    <definedName name="Ene_08">Poeng!$D$38</definedName>
    <definedName name="Ene_09">Poeng!$D$39</definedName>
    <definedName name="Ene_23">Poeng!$D$40</definedName>
    <definedName name="Ene_c_user">Poeng!$Y$41</definedName>
    <definedName name="Ene_cont_tot">Poeng!$U$41</definedName>
    <definedName name="Ene_Credits">Poeng!$R$41</definedName>
    <definedName name="Ene_d_user">Poeng!$X$41</definedName>
    <definedName name="Ene_tot_user">Poeng!$W$41</definedName>
    <definedName name="Ene01_27">Poeng!$BH$32</definedName>
    <definedName name="Ene01_28">Poeng!$AS$31</definedName>
    <definedName name="Ene01_41">Poeng!$T$31</definedName>
    <definedName name="Ene01_42">Poeng!$U$31</definedName>
    <definedName name="Ene01_credits">Poeng!$R$31</definedName>
    <definedName name="Ene01_minstd">Poeng!$AS$31</definedName>
    <definedName name="Ene01_tot">Poeng!$BG$32</definedName>
    <definedName name="Ene01_user">Poeng!$W$31</definedName>
    <definedName name="Ene02_10">Poeng!$T$32</definedName>
    <definedName name="Ene02_11">Poeng!$BH$33</definedName>
    <definedName name="Ene02_12">Poeng!$AS$32</definedName>
    <definedName name="Ene02_13">Poeng!$U$32</definedName>
    <definedName name="Ene02_credits">Poeng!$R$32</definedName>
    <definedName name="Ene02_tot">Poeng!$BG$33</definedName>
    <definedName name="Ene02_user">Poeng!$W$32</definedName>
    <definedName name="Ene03_05">Poeng!$T$33</definedName>
    <definedName name="Ene03_06">Poeng!$U$33</definedName>
    <definedName name="Ene03_credits">Poeng!$R$33</definedName>
    <definedName name="Ene03_minstd">Poeng!$AS$33</definedName>
    <definedName name="Ene03_tot" localSheetId="6">Poeng!#REF!</definedName>
    <definedName name="Ene03_tot">Poeng!#REF!</definedName>
    <definedName name="Ene03_user">Poeng!$W$33</definedName>
    <definedName name="Ene04_15">Poeng!$BG$34</definedName>
    <definedName name="Ene04_16">Poeng!$AS$34</definedName>
    <definedName name="Ene04_19">Poeng!$T$34</definedName>
    <definedName name="Ene04_20">Poeng!$U$34</definedName>
    <definedName name="Ene04_credits">Poeng!$R$34</definedName>
    <definedName name="Ene04_tot">Poeng!$BF$34</definedName>
    <definedName name="Ene04_user">Poeng!$W$34</definedName>
    <definedName name="Ene05_14">Poeng!$BG$35</definedName>
    <definedName name="Ene05_15">Poeng!$AS$35</definedName>
    <definedName name="Ene05_20">Poeng!$T$35</definedName>
    <definedName name="Ene05_21">Poeng!$U$35</definedName>
    <definedName name="Ene05_credits">Poeng!$R$35</definedName>
    <definedName name="Ene05_tot">Poeng!$BF$35</definedName>
    <definedName name="Ene05_user">Poeng!$W$35</definedName>
    <definedName name="Ene06_11">Poeng!$T$36</definedName>
    <definedName name="Ene06_12">Poeng!$U$36</definedName>
    <definedName name="Ene06_credits">Poeng!$R$36</definedName>
    <definedName name="Ene06_minstd">Poeng!$AS$36</definedName>
    <definedName name="Ene06_tot">Poeng!$BF$36</definedName>
    <definedName name="Ene06_user">Poeng!$W$36</definedName>
    <definedName name="Ene07_24">Poeng!$T$37</definedName>
    <definedName name="Ene07_25">Poeng!$U$37</definedName>
    <definedName name="Ene07_credits">Poeng!$R$37</definedName>
    <definedName name="Ene07_minstd">Poeng!$AS$37</definedName>
    <definedName name="Ene07_tot">Poeng!$BF$37</definedName>
    <definedName name="Ene07_user">Poeng!$W$37</definedName>
    <definedName name="Ene08_27">Poeng!$T$38</definedName>
    <definedName name="Ene08_29">Poeng!$U$38</definedName>
    <definedName name="Ene08_credits">Poeng!$R$38</definedName>
    <definedName name="Ene08_minstd">Poeng!$AS$38</definedName>
    <definedName name="Ene08_tot">Poeng!$BF$38</definedName>
    <definedName name="Ene08_user">Poeng!$W$38</definedName>
    <definedName name="Ene09_07">Poeng!$T$39</definedName>
    <definedName name="Ene09_10">Poeng!$U$39</definedName>
    <definedName name="Ene09_credits">Poeng!$R$39</definedName>
    <definedName name="Ene09_minstd">Poeng!$AS$39</definedName>
    <definedName name="Ene09_tot">Poeng!$BF$39</definedName>
    <definedName name="Ene09_user">Poeng!$W$39</definedName>
    <definedName name="Ene23_cont">Poeng!$U$40</definedName>
    <definedName name="Ene23_credits">Poeng!$R$40</definedName>
    <definedName name="Ene23_minstd">Poeng!$AS$40</definedName>
    <definedName name="Ene23_user">Poeng!$W$40</definedName>
    <definedName name="Hea_01">Poeng!$D$19</definedName>
    <definedName name="Hea_02">Poeng!$D$20</definedName>
    <definedName name="Hea_03">Poeng!$D$21</definedName>
    <definedName name="Hea_04">Poeng!$D$22</definedName>
    <definedName name="Hea_05">Poeng!$D$23</definedName>
    <definedName name="Hea_06">Poeng!$D$24</definedName>
    <definedName name="Hea_07">Poeng!$D$25</definedName>
    <definedName name="Hea_08">Poeng!$D$26</definedName>
    <definedName name="Hea_09">Poeng!$D$27</definedName>
    <definedName name="Hea_cont_tot">Poeng!$U$28</definedName>
    <definedName name="Hea_Credits">Poeng!$R$28</definedName>
    <definedName name="Hea_Weight">'Summary of Building Performance'!$J$36</definedName>
    <definedName name="Hea01_06" localSheetId="6">Poeng!#REF!</definedName>
    <definedName name="Hea01_06">Poeng!#REF!</definedName>
    <definedName name="Hea01_25" localSheetId="6">Poeng!#REF!</definedName>
    <definedName name="Hea01_25">Poeng!#REF!</definedName>
    <definedName name="Hea01_26">Poeng!$T$19</definedName>
    <definedName name="Hea01_27">Poeng!$U$19</definedName>
    <definedName name="Hea01_credits">Poeng!$R$19</definedName>
    <definedName name="Hea01_Crit1">Poeng!$D$102</definedName>
    <definedName name="Hea01_Crit1_cont">Poeng!$U$102</definedName>
    <definedName name="Hea01_Crit1_credits">Poeng!$R$102</definedName>
    <definedName name="Hea01_minstd">Poeng!$AS$102</definedName>
    <definedName name="Hea01_tot" localSheetId="6">Poeng!#REF!</definedName>
    <definedName name="Hea01_tot">Poeng!#REF!</definedName>
    <definedName name="Hea01_user">Poeng!$W$19</definedName>
    <definedName name="Hea02_25">Poeng!$T$20</definedName>
    <definedName name="Hea02_26">Poeng!$U$20</definedName>
    <definedName name="Hea02_credits">Poeng!$R$20</definedName>
    <definedName name="Hea02_minstd">Poeng!$AS$20</definedName>
    <definedName name="Hea02_tot">Poeng!$BG$20</definedName>
    <definedName name="Hea02_user">Poeng!$W$20</definedName>
    <definedName name="Hea03_09">Poeng!$T$21</definedName>
    <definedName name="Hea03_10">Poeng!$BH$21</definedName>
    <definedName name="Hea03_11">Poeng!$AS$21</definedName>
    <definedName name="Hea03_contr">Poeng!$U$21</definedName>
    <definedName name="Hea03_credits">Poeng!$R$21</definedName>
    <definedName name="Hea03_tot">Poeng!$BG$21</definedName>
    <definedName name="Hea03_user">Poeng!$W$21</definedName>
    <definedName name="Hea04_10">Poeng!$BH$22</definedName>
    <definedName name="Hea04_11">Poeng!$AS$22</definedName>
    <definedName name="Hea04_12">Poeng!$T$22</definedName>
    <definedName name="Hea04_13">Poeng!$U$22</definedName>
    <definedName name="Hea04_credits">Poeng!$R$22</definedName>
    <definedName name="Hea04_tot">Poeng!$BG$22</definedName>
    <definedName name="Hea04_user">Poeng!$W$22</definedName>
    <definedName name="Hea05_07">Poeng!$T$23</definedName>
    <definedName name="Hea05_08">Poeng!$U$23</definedName>
    <definedName name="Hea05_credits">Poeng!$R$23</definedName>
    <definedName name="Hea05_minstd">Poeng!$AS$23</definedName>
    <definedName name="Hea05_tot">Poeng!$BG$23</definedName>
    <definedName name="Hea05_user">Poeng!$W$23</definedName>
    <definedName name="Hea06_07">Poeng!$T$24</definedName>
    <definedName name="Hea06_contr">Poeng!$U$24</definedName>
    <definedName name="Hea06_credits">Poeng!$R$24</definedName>
    <definedName name="Hea06_minstd">Poeng!$AS$24</definedName>
    <definedName name="Hea06_tot">Poeng!$BG$24</definedName>
    <definedName name="Hea06_user">Poeng!$W$24</definedName>
    <definedName name="Hea07_07">Poeng!$T$25</definedName>
    <definedName name="Hea07_contr">Poeng!$U$25</definedName>
    <definedName name="Hea07_Credits">Poeng!$R$25</definedName>
    <definedName name="Hea07_minstd">Poeng!$AS$25</definedName>
    <definedName name="Hea07_Tot">Poeng!$BG$26</definedName>
    <definedName name="Hea07_user">Poeng!$W$25</definedName>
    <definedName name="Hea08_07">Poeng!$T$26</definedName>
    <definedName name="Hea08_contr">Poeng!$U$26</definedName>
    <definedName name="Hea08_Credits">Poeng!$R$26</definedName>
    <definedName name="Hea08_minstd">Poeng!$AS$26</definedName>
    <definedName name="Hea08_tot">Poeng!$BG$27</definedName>
    <definedName name="Hea08_user">Poeng!$W$26</definedName>
    <definedName name="Hea09_cont">Poeng!$U$27</definedName>
    <definedName name="Hea09_Credits">Poeng!$R$27</definedName>
    <definedName name="Hea09_minstd">Poeng!$AS$27</definedName>
    <definedName name="Hea09_user">Poeng!$W$27</definedName>
    <definedName name="HUG" localSheetId="6">'PAE available for copy'!$AN$14</definedName>
    <definedName name="HUG">'Pre-Assessment Estimator'!$AP$15</definedName>
    <definedName name="HW_c_user">Poeng!$Y$28</definedName>
    <definedName name="HW_d_user">Poeng!$X$28</definedName>
    <definedName name="HW_tot_user">Poeng!$W$28</definedName>
    <definedName name="Inn_01">Poeng!$D$90</definedName>
    <definedName name="Inn_02">Poeng!$D$91</definedName>
    <definedName name="Inn_03">Poeng!$D$92</definedName>
    <definedName name="Inn_04">Poeng!$D$93</definedName>
    <definedName name="Inn_05">Poeng!$D$94</definedName>
    <definedName name="Inn_06">Poeng!$D$95</definedName>
    <definedName name="Inn_07">Poeng!$D$96</definedName>
    <definedName name="Inn_08">Poeng!$D$97</definedName>
    <definedName name="Inn_09">Poeng!$D$98</definedName>
    <definedName name="Inn_c_user">Poeng!$Y$99</definedName>
    <definedName name="Inn_cont_tot">Poeng!$U$99</definedName>
    <definedName name="Inn_Credits">Poeng!$R$99</definedName>
    <definedName name="Inn_d_user">Poeng!$X$99</definedName>
    <definedName name="Inn_tot_user">Poeng!$W$99</definedName>
    <definedName name="Inn_Weight">'Summary of Building Performance'!$J$44</definedName>
    <definedName name="Inn01_cont">Poeng!$U$90</definedName>
    <definedName name="Inn01_credits">Poeng!$R$90</definedName>
    <definedName name="Inn01_minstd">Poeng!$AS$90</definedName>
    <definedName name="Inn01_user">Poeng!$W$90</definedName>
    <definedName name="Inn02_cont">Poeng!$U$91</definedName>
    <definedName name="Inn02_credits">Poeng!$R$91</definedName>
    <definedName name="Inn02_minstd">Poeng!$AS$91</definedName>
    <definedName name="Inn02_user">Poeng!$W$91</definedName>
    <definedName name="Inn03_cont">Poeng!$U$92</definedName>
    <definedName name="Inn03_credits">Poeng!$R$92</definedName>
    <definedName name="Inn03_minstd">Poeng!$AS$92</definedName>
    <definedName name="Inn03_user">Poeng!$W$92</definedName>
    <definedName name="Inn04_cont">Poeng!$U$93</definedName>
    <definedName name="Inn04_credits">Poeng!$R$93</definedName>
    <definedName name="Inn04_minstd">Poeng!$AS$93</definedName>
    <definedName name="Inn04_user">Poeng!$W$93</definedName>
    <definedName name="Inn05_cont">Poeng!$U$94</definedName>
    <definedName name="Inn05_credits">Poeng!$R$94</definedName>
    <definedName name="Inn05_minstd">Poeng!$AS$94</definedName>
    <definedName name="Inn05_user">Poeng!$W$94</definedName>
    <definedName name="Inn06_cont">Poeng!$U$95</definedName>
    <definedName name="Inn06_credits">Poeng!$R$95</definedName>
    <definedName name="Inn06_minstd">Poeng!$AS$95</definedName>
    <definedName name="Inn06_user">Poeng!$W$95</definedName>
    <definedName name="Inn07_cont">Poeng!$U$96</definedName>
    <definedName name="Inn07_credits">Poeng!$R$96</definedName>
    <definedName name="Inn07_minstd">Poeng!$AS$96</definedName>
    <definedName name="Inn07_user">Poeng!$W$96</definedName>
    <definedName name="Inn08_cont">Poeng!$U$97</definedName>
    <definedName name="Inn08_credits">Poeng!$R$97</definedName>
    <definedName name="Inn08_minstd">Poeng!$AS$97</definedName>
    <definedName name="Inn08_user">Poeng!$W$97</definedName>
    <definedName name="Inn09_cont">Poeng!$U$98</definedName>
    <definedName name="Inn09_credits">Poeng!$R$98</definedName>
    <definedName name="Inn09_minstd">Poeng!$AS$98</definedName>
    <definedName name="Inn09_user">Poeng!$W$98</definedName>
    <definedName name="janei">'Assessment Details'!$L$51:$L$52</definedName>
    <definedName name="LE_01">Poeng!$D$74</definedName>
    <definedName name="LE_02">Poeng!$D$75</definedName>
    <definedName name="LE_04">Poeng!$D$76</definedName>
    <definedName name="LE_05">Poeng!$D$77</definedName>
    <definedName name="LE_06">Poeng!$D$78</definedName>
    <definedName name="LE_cont_tot">Poeng!$U$79</definedName>
    <definedName name="LE_Credits">Poeng!$R$79</definedName>
    <definedName name="LE01_07">Poeng!$T$74</definedName>
    <definedName name="LE01_08">Poeng!$U$74</definedName>
    <definedName name="LE01_credits">Poeng!$R$74</definedName>
    <definedName name="LE01_minstd">Poeng!$AS$74</definedName>
    <definedName name="LE01_tot">Poeng!$BF$74</definedName>
    <definedName name="LE01_user">Poeng!$W$74</definedName>
    <definedName name="LE02_07">Poeng!$T$75</definedName>
    <definedName name="LE02_08">Poeng!$U$75</definedName>
    <definedName name="LE02_credits">Poeng!$R$75</definedName>
    <definedName name="LE02_minstd">Poeng!$AS$75</definedName>
    <definedName name="LE02_tot">Poeng!$BF$75</definedName>
    <definedName name="LE02_user">Poeng!$W$75</definedName>
    <definedName name="LE03_minstd">Poeng!$AS$76</definedName>
    <definedName name="LE04_13">Poeng!$T$76</definedName>
    <definedName name="LE04_14">Poeng!$U$76</definedName>
    <definedName name="LE04_credits">Poeng!$R$76</definedName>
    <definedName name="LE04_tot">Poeng!$BF$76</definedName>
    <definedName name="LE04_user">Poeng!$W$76</definedName>
    <definedName name="LE05_14">Poeng!$T$77</definedName>
    <definedName name="LE05_15">Poeng!$U$77</definedName>
    <definedName name="LE05_credits">Poeng!$R$77</definedName>
    <definedName name="LE05_minstd">Poeng!$AS$77</definedName>
    <definedName name="LE05_minstdach">Poeng!$AS$77</definedName>
    <definedName name="LE05_tot">Poeng!$BF$77</definedName>
    <definedName name="LE05_user">Poeng!$W$77</definedName>
    <definedName name="LE06_contr">Poeng!$U$78</definedName>
    <definedName name="LE06_credits">Poeng!$R$78</definedName>
    <definedName name="LE06_minstd">Poeng!$AS$78</definedName>
    <definedName name="LE06_tot">Poeng!$BF$78</definedName>
    <definedName name="LE06_user">Poeng!$W$78</definedName>
    <definedName name="Lue_c_user">Poeng!$Y$79</definedName>
    <definedName name="Lue_d_user">Poeng!$X$79</definedName>
    <definedName name="Lue_tot_user">Poeng!$W$79</definedName>
    <definedName name="Man_01">Poeng!$D$9</definedName>
    <definedName name="Man_02">Poeng!$D$10</definedName>
    <definedName name="Man_03">Poeng!$D$11</definedName>
    <definedName name="Man_04">Poeng!$D$12</definedName>
    <definedName name="Man_05">Poeng!$D$13</definedName>
    <definedName name="Man_06">Poeng!$D$14</definedName>
    <definedName name="Man_07">Poeng!$D$15</definedName>
    <definedName name="Man_c_user">Poeng!$Y$16</definedName>
    <definedName name="Man_cont_tot">Poeng!$U$16</definedName>
    <definedName name="Man_Credits">Poeng!$R$16</definedName>
    <definedName name="Man_d_user">Poeng!$X$16</definedName>
    <definedName name="Man_tot_user">Poeng!$W$16</definedName>
    <definedName name="Man01_37">Poeng!$AS$9</definedName>
    <definedName name="Man01_38">Poeng!$T$9</definedName>
    <definedName name="Man01_39">Poeng!$U$9</definedName>
    <definedName name="Man01_credits">Poeng!$R$9</definedName>
    <definedName name="Man01_Exemp">Poeng!$BG$9</definedName>
    <definedName name="Man01_Tot">Poeng!$BF$9</definedName>
    <definedName name="Man01_user">Poeng!$W$9</definedName>
    <definedName name="Man02_11">Poeng!$T$10</definedName>
    <definedName name="Man02_12">Poeng!$U$10</definedName>
    <definedName name="Man02_credits">Poeng!$R$10</definedName>
    <definedName name="Man02_Exempl">Poeng!$BG$10</definedName>
    <definedName name="Man02_minstd">Poeng!$AS$10</definedName>
    <definedName name="Man02_Tot">Poeng!$BF$10</definedName>
    <definedName name="Man02_user">Poeng!$W$10</definedName>
    <definedName name="Man03_12">Poeng!$T$11</definedName>
    <definedName name="Man03_18">Poeng!$U$11</definedName>
    <definedName name="Man03_credits">Poeng!$R$11</definedName>
    <definedName name="Man03_minstd">Poeng!$AS$11</definedName>
    <definedName name="Man03_Tot">Poeng!$BF$11</definedName>
    <definedName name="Man03_user">Poeng!$W$11</definedName>
    <definedName name="Man04_17">Poeng!$T$12</definedName>
    <definedName name="Man04_cont">Poeng!$U$12</definedName>
    <definedName name="Man04_credits">Poeng!$R$12</definedName>
    <definedName name="Man04_minstd">Poeng!$AS$12</definedName>
    <definedName name="Man04_tot">Poeng!$BF$12</definedName>
    <definedName name="Man04_user">Poeng!$W$12</definedName>
    <definedName name="Man05_10">Poeng!$T$13</definedName>
    <definedName name="Man05_cont">Poeng!$U$13</definedName>
    <definedName name="Man05_credits">Poeng!$R$13</definedName>
    <definedName name="Man05_minstd">Poeng!$AS$13</definedName>
    <definedName name="Man05_tot">Poeng!$BF$13</definedName>
    <definedName name="Man05_user">Poeng!$W$13</definedName>
    <definedName name="Man06_cont">Poeng!$U$14</definedName>
    <definedName name="Man06_credits">Poeng!$R$14</definedName>
    <definedName name="Man06_minstd">Poeng!$AS$14</definedName>
    <definedName name="Man06_user">Poeng!$W$14</definedName>
    <definedName name="Man07_cont">Poeng!$U$15</definedName>
    <definedName name="Man07_credits">Poeng!$R$15</definedName>
    <definedName name="Man07_minstd">Poeng!$AS$15</definedName>
    <definedName name="Man07_user">Poeng!$W$15</definedName>
    <definedName name="Mat_01">Poeng!$D$60</definedName>
    <definedName name="Mat_03">Poeng!$D$61</definedName>
    <definedName name="Mat_05">Poeng!$D$62</definedName>
    <definedName name="Mat_06">Poeng!$D$63</definedName>
    <definedName name="Mat_c_user">Poeng!$Y$64</definedName>
    <definedName name="Mat_cont_tot">Poeng!$U$64</definedName>
    <definedName name="Mat_Credits">Poeng!$R$64</definedName>
    <definedName name="Mat_d_user">Poeng!$X$64</definedName>
    <definedName name="Mat_tot_user">Poeng!$W$64</definedName>
    <definedName name="Mat01_08">Poeng!$BG$60</definedName>
    <definedName name="Mat01_27">Poeng!$T$60</definedName>
    <definedName name="Mat01_28">Poeng!$U$60</definedName>
    <definedName name="Mat01_credits">Poeng!$R$60</definedName>
    <definedName name="Mat01_Crit1">Poeng!$D$103</definedName>
    <definedName name="Mat01_Crit1_cont">Poeng!$U$103</definedName>
    <definedName name="Mat01_Crit1_credits">Poeng!$R$103</definedName>
    <definedName name="Mat01_minstd">Poeng!$AS$103</definedName>
    <definedName name="Mat01_tot">Poeng!$BF$60</definedName>
    <definedName name="Mat01_user">Poeng!$W$60</definedName>
    <definedName name="Mat03_35">Poeng!$BG$61</definedName>
    <definedName name="Mat03_36">Poeng!$AS$61</definedName>
    <definedName name="Mat03_37">Poeng!$T$61</definedName>
    <definedName name="Mat03_38">Poeng!$U$61</definedName>
    <definedName name="Mat03_credits">Poeng!$R$61</definedName>
    <definedName name="Mat03_Crit1">Poeng!$D$104</definedName>
    <definedName name="Mat03_Crit1_cont">Poeng!$U$104</definedName>
    <definedName name="Mat03_Crit1_credits">Poeng!$R$104</definedName>
    <definedName name="Mat03_minstd">Poeng!$AS$104</definedName>
    <definedName name="Mat03_tot">Poeng!$BF$61</definedName>
    <definedName name="Mat03_user">Poeng!$W$61</definedName>
    <definedName name="Mat05_05">Poeng!$T$62</definedName>
    <definedName name="Mat05_06">Poeng!$U$62</definedName>
    <definedName name="Mat05_credits">Poeng!$R$62</definedName>
    <definedName name="Mat05_minstd">Poeng!$AS$62</definedName>
    <definedName name="Mat05_tot">Poeng!$BF$62</definedName>
    <definedName name="Mat05_user">Poeng!$W$62</definedName>
    <definedName name="Mat06_cont">Poeng!$U$63</definedName>
    <definedName name="Mat06_credits">Poeng!$R$63</definedName>
    <definedName name="Mat06_minstd">Poeng!$AS$63</definedName>
    <definedName name="Mat06_user">Poeng!$W$63</definedName>
    <definedName name="Note_minstand">Poeng!$AS$115</definedName>
    <definedName name="Note_minstand_const">Poeng!$AY$115</definedName>
    <definedName name="Note_minstand_design">Poeng!$AV$115</definedName>
    <definedName name="Poeng_bort">Poeng!$Q$106</definedName>
    <definedName name="Poeng_tilgj">Poeng!$R$106</definedName>
    <definedName name="Poeng_tot">Poeng!$K$106</definedName>
    <definedName name="Pol_01">Poeng!$D$82</definedName>
    <definedName name="Pol_02">Poeng!$D$83</definedName>
    <definedName name="Pol_03">Poeng!$D$84</definedName>
    <definedName name="Pol_04">Poeng!$D$85</definedName>
    <definedName name="Pol_05">Poeng!$D$86</definedName>
    <definedName name="Pol_c_user">Poeng!$Y$87</definedName>
    <definedName name="Pol_cont_tot">Poeng!$U$87</definedName>
    <definedName name="Pol_Credits">Poeng!$R$87</definedName>
    <definedName name="Pol_d_user">Poeng!$X$87</definedName>
    <definedName name="Pol_tot_user">Poeng!$W$87</definedName>
    <definedName name="Pol_Weight">'Summary of Building Performance'!$J$43</definedName>
    <definedName name="Pol01_19">Poeng!$T$82</definedName>
    <definedName name="Pol01_20">Poeng!$U$82</definedName>
    <definedName name="Pol01_credits">Poeng!$R$82</definedName>
    <definedName name="Pol01_minstd">Poeng!$AS$82</definedName>
    <definedName name="Pol01_tot">Poeng!$BF$82</definedName>
    <definedName name="Pol01_user">Poeng!$W$82</definedName>
    <definedName name="Pol02_26">Poeng!$T$83</definedName>
    <definedName name="Pol02_27">Poeng!$U$83</definedName>
    <definedName name="Pol02_credits">Poeng!$R$83</definedName>
    <definedName name="Pol02_minstd">Poeng!$AS$83</definedName>
    <definedName name="Pol02_tot">Poeng!$BF$83</definedName>
    <definedName name="Pol02_user">Poeng!$W$83</definedName>
    <definedName name="Pol03_14">Poeng!$T$84</definedName>
    <definedName name="Pol03_15">Poeng!$U$84</definedName>
    <definedName name="Pol03_credits">Poeng!$R$84</definedName>
    <definedName name="Pol03_minstd">Poeng!$AS$84</definedName>
    <definedName name="Pol03_tot">Poeng!$BF$84</definedName>
    <definedName name="Pol03_user">Poeng!$W$84</definedName>
    <definedName name="Pol04_05">Poeng!$T$85</definedName>
    <definedName name="Pol04_06">Poeng!$U$85</definedName>
    <definedName name="Pol04_credits">Poeng!$R$85</definedName>
    <definedName name="Pol04_minstd">Poeng!$AS$85</definedName>
    <definedName name="Pol04_tot">Poeng!$BF$85</definedName>
    <definedName name="Pol04_user">Poeng!$W$85</definedName>
    <definedName name="Pol05_10">Poeng!$T$86</definedName>
    <definedName name="Pol05_11">Poeng!$U$86</definedName>
    <definedName name="Pol05_credits">Poeng!$R$86</definedName>
    <definedName name="Pol05_minstd">Poeng!$AS$86</definedName>
    <definedName name="Pol05_tot">Poeng!$BF$86</definedName>
    <definedName name="Pol05_user">Poeng!$W$86</definedName>
    <definedName name="_xlnm.Print_Area" localSheetId="1">'Assessment Details'!$B$2:$F$54</definedName>
    <definedName name="_xlnm.Print_Area" localSheetId="0">Instructions!$B$2:$P$16</definedName>
    <definedName name="_xlnm.Print_Area" localSheetId="6">'PAE available for copy'!$C$1:$X$100</definedName>
    <definedName name="_xlnm.Print_Area" localSheetId="2">'Pre-Assessment Estimator'!$C$1:$X$100</definedName>
    <definedName name="_xlnm.Print_Area" localSheetId="5">'Summary of Building Performance'!$B$2:$N$48</definedName>
    <definedName name="_xlnm.Print_Area" localSheetId="7">'Version Control'!$B$2:$P$22</definedName>
    <definedName name="_xlnm.Print_Titles" localSheetId="6">'PAE available for copy'!$8:$8</definedName>
    <definedName name="_xlnm.Print_Titles" localSheetId="2">'Pre-Assessment Estimator'!$8:$8</definedName>
    <definedName name="projecttype">'Assessment Details'!$M$98</definedName>
    <definedName name="Score_const">'Summary of Building Performance'!$M$45</definedName>
    <definedName name="Score_design">'Summary of Building Performance'!$L$45</definedName>
    <definedName name="Score_Initial">'Summary of Building Performance'!$K$45</definedName>
    <definedName name="status">'Assessment Details'!$L$45:$L$48</definedName>
    <definedName name="Tra_01">Poeng!$D$44</definedName>
    <definedName name="Tra_02">Poeng!$D$45</definedName>
    <definedName name="Tra_03">Poeng!$D$46</definedName>
    <definedName name="Tra_04">Poeng!$D$47</definedName>
    <definedName name="Tra_05">Poeng!$D$48</definedName>
    <definedName name="Tra_06">Poeng!$D$49</definedName>
    <definedName name="Tra_c_user">Poeng!$Y$50</definedName>
    <definedName name="Tra_cont_tot">Poeng!$U$50</definedName>
    <definedName name="Tra_Credits">Poeng!$R$50</definedName>
    <definedName name="Tra_d_user">Poeng!$X$50</definedName>
    <definedName name="Tra_tot_user">Poeng!$W$50</definedName>
    <definedName name="Tra01_07">Poeng!$T$44</definedName>
    <definedName name="TRa01_08">Poeng!$U$44</definedName>
    <definedName name="TRA01_BuildType">'Assessment Details'!$L$24:$L$30</definedName>
    <definedName name="Tra01_credits">Poeng!$R$44</definedName>
    <definedName name="Tra01_minstd">Poeng!$AS$44</definedName>
    <definedName name="Tra01_tot">Poeng!$BF$44</definedName>
    <definedName name="Tra01_type7">'Assessment Details'!$L$30</definedName>
    <definedName name="Tra01_user">Poeng!$W$44</definedName>
    <definedName name="Tra02_06">Poeng!$T$45</definedName>
    <definedName name="Tra02_07">Poeng!$U$45</definedName>
    <definedName name="Tra02_credits">Poeng!$R$45</definedName>
    <definedName name="Tra02_minstd">Poeng!$AS$45</definedName>
    <definedName name="Tra02_tot">Poeng!$BF$45</definedName>
    <definedName name="Tra02_user">Poeng!$W$45</definedName>
    <definedName name="Tra03_02">'Assessment Details'!$M$64:$M$64</definedName>
    <definedName name="Tra03_13">Poeng!$T$46</definedName>
    <definedName name="Tra03_14">Poeng!$U$46</definedName>
    <definedName name="Tra03_credits">Poeng!$R$46</definedName>
    <definedName name="Tra03_minstd">Poeng!$AS$46</definedName>
    <definedName name="Tra03_tot">Poeng!$BF$46</definedName>
    <definedName name="Tra03_user">Poeng!$W$46</definedName>
    <definedName name="Tra04_09">Poeng!$T$47</definedName>
    <definedName name="Tra04_10">Poeng!$U$47</definedName>
    <definedName name="Tra04_credits">Poeng!$R$47</definedName>
    <definedName name="Tra04_minstd">Poeng!$AS$47</definedName>
    <definedName name="Tra04_tot">Poeng!$BF$47</definedName>
    <definedName name="Tra04_user">Poeng!$W$47</definedName>
    <definedName name="Tra05_04">Poeng!$T$48</definedName>
    <definedName name="Tra05_05">Poeng!$U$48</definedName>
    <definedName name="Tra05_credits">Poeng!$R$48</definedName>
    <definedName name="Tra05_minstd">Poeng!$AS$48</definedName>
    <definedName name="Tra05_tot">Poeng!$BF$48</definedName>
    <definedName name="Tra05_user">Poeng!$W$48</definedName>
    <definedName name="Tra06_04">Poeng!$T$49</definedName>
    <definedName name="Tra06_05">Poeng!$U$49</definedName>
    <definedName name="Tra06_credits">Poeng!$R$49</definedName>
    <definedName name="Tra06_minstd">Poeng!$AS$49</definedName>
    <definedName name="Tra06_user">Poeng!$W$49</definedName>
    <definedName name="TVC_current_date">'Version Control'!$C$5</definedName>
    <definedName name="TVC_current_version">'Version Control'!$B$5</definedName>
    <definedName name="Wat__Credits">Poeng!$R$57</definedName>
    <definedName name="Wat_01">Poeng!$D$53</definedName>
    <definedName name="Wat_02">Poeng!$D$54</definedName>
    <definedName name="Wat_03">Poeng!$D$55</definedName>
    <definedName name="Wat_04">Poeng!$D$56</definedName>
    <definedName name="Wat_c_user">Poeng!$Y$57</definedName>
    <definedName name="Wat_cont_tot">Poeng!$U$57</definedName>
    <definedName name="Wat_Credits">Poeng!$R$57</definedName>
    <definedName name="Wat_d_user">Poeng!$X$57</definedName>
    <definedName name="Wat_tot_user">Poeng!$W$57</definedName>
    <definedName name="Wat01_08">Poeng!$BG$53</definedName>
    <definedName name="Wat01_09">Poeng!$AS$53</definedName>
    <definedName name="Wat01_14">Poeng!$T$53</definedName>
    <definedName name="Wat01_15">Poeng!$U$53</definedName>
    <definedName name="Wat01_credits">Poeng!$R$53</definedName>
    <definedName name="Wat01_minstd">Poeng!$AS$53</definedName>
    <definedName name="Wat01_tot">Poeng!$BF$53</definedName>
    <definedName name="Wat01_user">Poeng!$W$53</definedName>
    <definedName name="Wat02_10">Poeng!$BG$54</definedName>
    <definedName name="Wat02_11">Poeng!$AS$54</definedName>
    <definedName name="Wat02_12">Poeng!$T$54</definedName>
    <definedName name="Wat02_13">Poeng!$U$54</definedName>
    <definedName name="Wat02_credits">Poeng!$R$54</definedName>
    <definedName name="Wat02_tot">Poeng!$BF$54</definedName>
    <definedName name="Wat02_user">Poeng!$W$54</definedName>
    <definedName name="Wat03_09">Poeng!$T$55</definedName>
    <definedName name="Wat03_10">Poeng!$U$55</definedName>
    <definedName name="Wat03_credits">Poeng!$R$55</definedName>
    <definedName name="Wat03_minstd">Poeng!$AS$55</definedName>
    <definedName name="Wat03_tot">Poeng!$BF$55</definedName>
    <definedName name="Wat03_user">Poeng!$W$55</definedName>
    <definedName name="Wat04_05">Poeng!$T$56</definedName>
    <definedName name="Wat04_06">Poeng!$U$56</definedName>
    <definedName name="Wat04_credits">Poeng!$R$56</definedName>
    <definedName name="Wat04_minstd">Poeng!$AS$56</definedName>
    <definedName name="Wat04_tot">Poeng!$BF$56</definedName>
    <definedName name="Wat04_user">Poeng!$W$56</definedName>
    <definedName name="Wst_01">Poeng!$D$67</definedName>
    <definedName name="Wst_02">Poeng!$D$68</definedName>
    <definedName name="Wst_03">Poeng!$D$69</definedName>
    <definedName name="Wst_04">Poeng!$D$70</definedName>
    <definedName name="Wst_c_user">Poeng!$Y$71</definedName>
    <definedName name="Wst_cont_tot">Poeng!$U$71</definedName>
    <definedName name="Wst_Credits">Poeng!$R$71</definedName>
    <definedName name="Wst_d_user">Poeng!$X$71</definedName>
    <definedName name="Wst_tot_user">Poeng!$W$71</definedName>
    <definedName name="Wst01_17">Poeng!$BG$67</definedName>
    <definedName name="Wst01_18">Poeng!$AS$67</definedName>
    <definedName name="Wst01_27">Poeng!$T$67</definedName>
    <definedName name="Wst01_28">Poeng!$U$67</definedName>
    <definedName name="Wst01_credits">Poeng!$R$67</definedName>
    <definedName name="Wst01_tot">Poeng!$BF$67</definedName>
    <definedName name="Wst01_user">Poeng!$W$67</definedName>
    <definedName name="Wst02_11">Poeng!$BG$68</definedName>
    <definedName name="Wst02_14">Poeng!$T$68</definedName>
    <definedName name="Wst02_15">Poeng!$U$68</definedName>
    <definedName name="Wst02_credits">Poeng!$R$68</definedName>
    <definedName name="Wst02_minstd">Poeng!$AS$68</definedName>
    <definedName name="Wst02_tot">Poeng!$BF$68</definedName>
    <definedName name="Wst02_user">Poeng!$W$68</definedName>
    <definedName name="Wst03_09">Poeng!$BG$69</definedName>
    <definedName name="Wst03_10">Poeng!$AS$69</definedName>
    <definedName name="Wst03_12">Poeng!$T$69</definedName>
    <definedName name="Wst03_13">Poeng!$U$69</definedName>
    <definedName name="Wst03_credits">Poeng!$R$69</definedName>
    <definedName name="Wst03_tot">Poeng!$BF$69</definedName>
    <definedName name="Wst03_user">Poeng!$W$69</definedName>
    <definedName name="Wst04_08">Poeng!$T$70</definedName>
    <definedName name="Wst04_09">Poeng!$U$70</definedName>
    <definedName name="Wst04_credits">Poeng!$R$70</definedName>
    <definedName name="Wst04_minstd">Poeng!$AS$70</definedName>
    <definedName name="Wst04_tot">Poeng!$BF$70</definedName>
    <definedName name="Wst04_user">Poeng!$W$70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 i="21" l="1"/>
  <c r="X13" i="21"/>
  <c r="X14" i="21"/>
  <c r="X15" i="21"/>
  <c r="X18" i="21"/>
  <c r="X20" i="21"/>
  <c r="X21" i="21"/>
  <c r="X22" i="21"/>
  <c r="X23" i="21"/>
  <c r="X28" i="21"/>
  <c r="X31" i="21"/>
  <c r="X32" i="21"/>
  <c r="X33" i="21"/>
  <c r="X34" i="21"/>
  <c r="X35" i="21"/>
  <c r="X36" i="21"/>
  <c r="X38" i="21"/>
  <c r="X39" i="21"/>
  <c r="X40" i="21"/>
  <c r="X41" i="21"/>
  <c r="X50" i="21"/>
  <c r="X53" i="21"/>
  <c r="X54" i="21"/>
  <c r="X55" i="21"/>
  <c r="X57" i="21"/>
  <c r="X64" i="21"/>
  <c r="X65" i="21"/>
  <c r="X66" i="21"/>
  <c r="X67" i="21"/>
  <c r="X70" i="21"/>
  <c r="X71" i="21"/>
  <c r="X72" i="21"/>
  <c r="X73" i="21"/>
  <c r="X74" i="21"/>
  <c r="X80" i="21"/>
  <c r="X81" i="21"/>
  <c r="X82" i="21"/>
  <c r="X83" i="21"/>
  <c r="X84" i="21"/>
  <c r="X86" i="21"/>
  <c r="X87" i="21"/>
  <c r="X88" i="21"/>
  <c r="X100" i="21"/>
  <c r="X10" i="21"/>
  <c r="V10" i="21"/>
  <c r="BS33" i="13"/>
  <c r="AF7" i="5" l="1"/>
  <c r="BS19" i="13"/>
  <c r="BS86" i="13"/>
  <c r="BS85" i="13"/>
  <c r="BS83" i="13"/>
  <c r="BS82" i="13"/>
  <c r="BS62" i="13"/>
  <c r="BS54" i="13"/>
  <c r="BS55" i="13"/>
  <c r="BS39" i="13"/>
  <c r="BS38" i="13"/>
  <c r="BS35" i="13"/>
  <c r="BS32" i="13"/>
  <c r="BS22" i="13"/>
  <c r="BS21" i="13"/>
  <c r="BS20" i="13"/>
  <c r="BP55" i="13"/>
  <c r="BP32" i="13"/>
  <c r="BP20" i="13"/>
  <c r="BP19" i="13"/>
  <c r="BK91" i="13"/>
  <c r="BK92" i="13"/>
  <c r="BK93" i="13"/>
  <c r="BK94" i="13"/>
  <c r="BK95" i="13"/>
  <c r="BK96" i="13"/>
  <c r="BK97" i="13"/>
  <c r="BK98" i="13"/>
  <c r="BK83" i="13"/>
  <c r="BK84" i="13"/>
  <c r="BK85" i="13"/>
  <c r="BK86" i="13"/>
  <c r="BK75" i="13"/>
  <c r="BK76" i="13"/>
  <c r="BK77" i="13"/>
  <c r="BK78" i="13"/>
  <c r="BK68" i="13"/>
  <c r="BK69" i="13"/>
  <c r="BK70" i="13"/>
  <c r="BK61" i="13"/>
  <c r="BK62" i="13"/>
  <c r="BK63" i="13"/>
  <c r="BK54" i="13"/>
  <c r="BK55" i="13"/>
  <c r="BK56" i="13"/>
  <c r="BK45" i="13"/>
  <c r="BK46" i="13"/>
  <c r="BK47" i="13"/>
  <c r="BK48" i="13"/>
  <c r="BK49" i="13"/>
  <c r="BK67" i="13"/>
  <c r="BK74" i="13"/>
  <c r="BK82" i="13"/>
  <c r="BK90" i="13"/>
  <c r="BK60" i="13"/>
  <c r="BK53" i="13"/>
  <c r="BK44" i="13"/>
  <c r="BK32" i="13"/>
  <c r="BK33" i="13"/>
  <c r="BK34" i="13"/>
  <c r="BK35" i="13"/>
  <c r="BK36" i="13"/>
  <c r="BK37" i="13"/>
  <c r="BK38" i="13"/>
  <c r="BK39" i="13"/>
  <c r="BK40" i="13"/>
  <c r="BK31" i="13"/>
  <c r="BK24" i="13"/>
  <c r="BK25" i="13"/>
  <c r="BK26" i="13"/>
  <c r="BK27" i="13"/>
  <c r="BK23" i="13"/>
  <c r="BK22" i="13"/>
  <c r="BK21" i="13"/>
  <c r="BK20" i="13"/>
  <c r="BK19" i="13"/>
  <c r="BK10" i="13"/>
  <c r="BK11" i="13"/>
  <c r="BK12" i="13"/>
  <c r="BK13" i="13"/>
  <c r="BK9" i="13"/>
  <c r="AN32" i="5" l="1"/>
  <c r="AN18" i="5"/>
  <c r="AE83" i="5"/>
  <c r="AE84" i="5"/>
  <c r="AE86" i="5"/>
  <c r="AE87" i="5"/>
  <c r="AE64" i="5"/>
  <c r="AE55" i="5"/>
  <c r="AE54" i="5"/>
  <c r="AE39" i="5"/>
  <c r="AE38" i="5"/>
  <c r="AE35" i="5"/>
  <c r="AE33" i="5"/>
  <c r="AE32" i="5"/>
  <c r="AE22" i="5"/>
  <c r="AE21" i="5"/>
  <c r="AE20" i="5"/>
  <c r="AE18" i="5"/>
  <c r="D172" i="13"/>
  <c r="BL101" i="13"/>
  <c r="BL89" i="13"/>
  <c r="BL81" i="13"/>
  <c r="BL73" i="13"/>
  <c r="BL66" i="13"/>
  <c r="BL59" i="13"/>
  <c r="BL52" i="13"/>
  <c r="BL43" i="13"/>
  <c r="BL30" i="13"/>
  <c r="BL18" i="13"/>
  <c r="BL8" i="13"/>
  <c r="D140" i="13"/>
  <c r="D141" i="13"/>
  <c r="D142" i="13"/>
  <c r="D143" i="13"/>
  <c r="D144" i="13"/>
  <c r="D145" i="13"/>
  <c r="D146" i="13"/>
  <c r="D147" i="13"/>
  <c r="D148" i="13"/>
  <c r="D149" i="13"/>
  <c r="D150" i="13"/>
  <c r="D151" i="13"/>
  <c r="D152" i="13"/>
  <c r="D153" i="13"/>
  <c r="D154" i="13"/>
  <c r="D155" i="13"/>
  <c r="D156" i="13"/>
  <c r="D157" i="13"/>
  <c r="D158" i="13"/>
  <c r="D159" i="13"/>
  <c r="BM4" i="13"/>
  <c r="BO18" i="13" l="1"/>
  <c r="BO30" i="13"/>
  <c r="BO81" i="13"/>
  <c r="BN30" i="13"/>
  <c r="BN81" i="13"/>
  <c r="BQ102" i="13"/>
  <c r="BQ66" i="13"/>
  <c r="BQ43" i="13"/>
  <c r="BO104" i="13"/>
  <c r="BO102" i="13"/>
  <c r="BQ89" i="13"/>
  <c r="BO66" i="13"/>
  <c r="BQ52" i="13"/>
  <c r="BO43" i="13"/>
  <c r="BQ104" i="13"/>
  <c r="BN104" i="13"/>
  <c r="BN102" i="13"/>
  <c r="BQ73" i="13"/>
  <c r="BN66" i="13"/>
  <c r="BN43" i="13"/>
  <c r="BQ18" i="13"/>
  <c r="BN59" i="13"/>
  <c r="BQ103" i="13"/>
  <c r="BQ101" i="13"/>
  <c r="BO89" i="13"/>
  <c r="BO52" i="13"/>
  <c r="BN89" i="13"/>
  <c r="BQ59" i="13"/>
  <c r="BQ30" i="13"/>
  <c r="BO103" i="13"/>
  <c r="BO101" i="13"/>
  <c r="BQ81" i="13"/>
  <c r="BN73" i="13"/>
  <c r="BN18" i="13"/>
  <c r="BO73" i="13"/>
  <c r="BN52" i="13"/>
  <c r="BN103" i="13"/>
  <c r="BN101" i="13"/>
  <c r="BO59" i="13"/>
  <c r="X99" i="21"/>
  <c r="X98" i="21"/>
  <c r="X97" i="21"/>
  <c r="X96" i="21"/>
  <c r="X95" i="21"/>
  <c r="X94" i="21"/>
  <c r="X93" i="21"/>
  <c r="X92" i="21"/>
  <c r="X91" i="21"/>
  <c r="X85" i="21"/>
  <c r="X79" i="21"/>
  <c r="X78" i="21"/>
  <c r="X77" i="21"/>
  <c r="X76" i="21"/>
  <c r="X75" i="21"/>
  <c r="X69" i="21"/>
  <c r="X68" i="21"/>
  <c r="X63" i="21"/>
  <c r="X62" i="21"/>
  <c r="X61" i="21"/>
  <c r="X60" i="21"/>
  <c r="X56" i="21"/>
  <c r="X49" i="21"/>
  <c r="X48" i="21"/>
  <c r="X47" i="21"/>
  <c r="X46" i="21"/>
  <c r="X45" i="21"/>
  <c r="X44" i="21"/>
  <c r="X37" i="21"/>
  <c r="X27" i="21"/>
  <c r="X26" i="21"/>
  <c r="X25" i="21"/>
  <c r="X24" i="21"/>
  <c r="X19" i="21"/>
  <c r="X12" i="21"/>
  <c r="AG5" i="5" l="1"/>
  <c r="AG4" i="5"/>
  <c r="AG3" i="5"/>
  <c r="AF4" i="5" s="1"/>
  <c r="X8" i="21" l="1"/>
  <c r="X8" i="5"/>
  <c r="X6" i="21"/>
  <c r="X5" i="21"/>
  <c r="X4" i="21"/>
  <c r="AO13" i="5"/>
  <c r="V1" i="5"/>
  <c r="P2" i="12"/>
  <c r="P2" i="8"/>
  <c r="V1" i="21"/>
  <c r="N2" i="11"/>
  <c r="AQ15" i="5" l="1"/>
  <c r="AO22" i="5"/>
  <c r="AQ13" i="5"/>
  <c r="AQ24" i="5"/>
  <c r="AQ26" i="5"/>
  <c r="AO75" i="5"/>
  <c r="AP90" i="5"/>
  <c r="AQ96" i="5"/>
  <c r="AO83" i="5"/>
  <c r="AP69" i="5"/>
  <c r="AQ60" i="5"/>
  <c r="AO95" i="5"/>
  <c r="AP52" i="5"/>
  <c r="AO84" i="5"/>
  <c r="AP41" i="5"/>
  <c r="AP30" i="5"/>
  <c r="AP24" i="5"/>
  <c r="AP21" i="5"/>
  <c r="AP35" i="5"/>
  <c r="AP93" i="5"/>
  <c r="AQ63" i="5"/>
  <c r="AO86" i="5"/>
  <c r="AQ29" i="5"/>
  <c r="AQ76" i="5"/>
  <c r="AO34" i="5"/>
  <c r="AP68" i="5"/>
  <c r="AQ78" i="5"/>
  <c r="AO36" i="5"/>
  <c r="AP11" i="5"/>
  <c r="AO19" i="5"/>
  <c r="AQ12" i="5"/>
  <c r="AP22" i="5"/>
  <c r="AO15" i="5"/>
  <c r="AQ11" i="5"/>
  <c r="AO11" i="5"/>
  <c r="AQ72" i="5"/>
  <c r="AO30" i="5"/>
  <c r="AO59" i="5"/>
  <c r="AO88" i="5"/>
  <c r="AO40" i="5"/>
  <c r="AP82" i="5"/>
  <c r="AO61" i="5"/>
  <c r="AQ39" i="5"/>
  <c r="AQ80" i="5"/>
  <c r="AO38" i="5"/>
  <c r="AO67" i="5"/>
  <c r="AO96" i="5"/>
  <c r="AP53" i="5"/>
  <c r="AP95" i="5"/>
  <c r="AO74" i="5"/>
  <c r="AQ52" i="5"/>
  <c r="AP31" i="5"/>
  <c r="AO87" i="5"/>
  <c r="AQ65" i="5"/>
  <c r="AP44" i="5"/>
  <c r="AP97" i="5"/>
  <c r="AO76" i="5"/>
  <c r="AQ54" i="5"/>
  <c r="AP33" i="5"/>
  <c r="AP86" i="5"/>
  <c r="AO65" i="5"/>
  <c r="AQ43" i="5"/>
  <c r="AR83" i="5"/>
  <c r="AP16" i="5"/>
  <c r="AQ10" i="5"/>
  <c r="AQ56" i="5"/>
  <c r="AQ16" i="5"/>
  <c r="AO16" i="5"/>
  <c r="AQ88" i="5"/>
  <c r="AO27" i="5"/>
  <c r="AP61" i="5"/>
  <c r="AO69" i="5"/>
  <c r="AO54" i="5"/>
  <c r="AP40" i="5"/>
  <c r="AP29" i="5"/>
  <c r="AP39" i="5"/>
  <c r="AQ73" i="5"/>
  <c r="AO31" i="5"/>
  <c r="AQ62" i="5"/>
  <c r="AP94" i="5"/>
  <c r="AQ51" i="5"/>
  <c r="AQ25" i="5"/>
  <c r="AP26" i="5"/>
  <c r="AO78" i="5"/>
  <c r="AP64" i="5"/>
  <c r="AO85" i="5"/>
  <c r="AP42" i="5"/>
  <c r="AP72" i="5"/>
  <c r="AQ58" i="5"/>
  <c r="AP55" i="5"/>
  <c r="AQ89" i="5"/>
  <c r="AO100" i="5"/>
  <c r="AP57" i="5"/>
  <c r="AO89" i="5"/>
  <c r="AQ67" i="5"/>
  <c r="AQ19" i="5"/>
  <c r="AP13" i="5"/>
  <c r="AP10" i="5"/>
  <c r="AP15" i="5"/>
  <c r="AQ14" i="5"/>
  <c r="AO23" i="5"/>
  <c r="AP67" i="5"/>
  <c r="AP96" i="5"/>
  <c r="AQ53" i="5"/>
  <c r="AQ82" i="5"/>
  <c r="AQ34" i="5"/>
  <c r="AQ79" i="5"/>
  <c r="AP58" i="5"/>
  <c r="AO37" i="5"/>
  <c r="AP75" i="5"/>
  <c r="AP27" i="5"/>
  <c r="AQ61" i="5"/>
  <c r="AQ90" i="5"/>
  <c r="AQ50" i="5"/>
  <c r="AQ92" i="5"/>
  <c r="AP71" i="5"/>
  <c r="AO50" i="5"/>
  <c r="AQ28" i="5"/>
  <c r="AP84" i="5"/>
  <c r="AO63" i="5"/>
  <c r="AQ41" i="5"/>
  <c r="AQ94" i="5"/>
  <c r="AP73" i="5"/>
  <c r="AO52" i="5"/>
  <c r="AQ30" i="5"/>
  <c r="AQ83" i="5"/>
  <c r="AP62" i="5"/>
  <c r="AO41" i="5"/>
  <c r="AR55" i="5"/>
  <c r="AP25" i="5"/>
  <c r="AO46" i="5"/>
  <c r="AQ47" i="5"/>
  <c r="AO82" i="5"/>
  <c r="AO73" i="5"/>
  <c r="AP12" i="5"/>
  <c r="AP17" i="5"/>
  <c r="AP45" i="5"/>
  <c r="AP43" i="5"/>
  <c r="AO98" i="5"/>
  <c r="AO47" i="5"/>
  <c r="AP46" i="5"/>
  <c r="AQ21" i="5"/>
  <c r="AO17" i="5"/>
  <c r="AQ23" i="5"/>
  <c r="AO14" i="5"/>
  <c r="AO24" i="5"/>
  <c r="AP23" i="5"/>
  <c r="AO62" i="5"/>
  <c r="AO91" i="5"/>
  <c r="AP48" i="5"/>
  <c r="AP77" i="5"/>
  <c r="AP98" i="5"/>
  <c r="AO77" i="5"/>
  <c r="AQ55" i="5"/>
  <c r="AP34" i="5"/>
  <c r="AO70" i="5"/>
  <c r="AO99" i="5"/>
  <c r="AP56" i="5"/>
  <c r="AP85" i="5"/>
  <c r="AO48" i="5"/>
  <c r="AO90" i="5"/>
  <c r="AQ68" i="5"/>
  <c r="AP47" i="5"/>
  <c r="AP99" i="5"/>
  <c r="AQ81" i="5"/>
  <c r="AP60" i="5"/>
  <c r="AO39" i="5"/>
  <c r="AO92" i="5"/>
  <c r="AQ70" i="5"/>
  <c r="AP49" i="5"/>
  <c r="AO28" i="5"/>
  <c r="AO81" i="5"/>
  <c r="AQ59" i="5"/>
  <c r="AP38" i="5"/>
  <c r="AS20" i="5"/>
  <c r="AP20" i="5"/>
  <c r="AQ85" i="5"/>
  <c r="AO43" i="5"/>
  <c r="AO72" i="5"/>
  <c r="AQ95" i="5"/>
  <c r="AP74" i="5"/>
  <c r="AO53" i="5"/>
  <c r="AQ31" i="5"/>
  <c r="AQ64" i="5"/>
  <c r="AQ93" i="5"/>
  <c r="AO51" i="5"/>
  <c r="AO80" i="5"/>
  <c r="AQ42" i="5"/>
  <c r="AP87" i="5"/>
  <c r="AO66" i="5"/>
  <c r="AQ44" i="5"/>
  <c r="AP100" i="5"/>
  <c r="AO79" i="5"/>
  <c r="AQ57" i="5"/>
  <c r="AP36" i="5"/>
  <c r="AP89" i="5"/>
  <c r="AO68" i="5"/>
  <c r="AQ46" i="5"/>
  <c r="AQ99" i="5"/>
  <c r="AP78" i="5"/>
  <c r="AO57" i="5"/>
  <c r="AQ35" i="5"/>
  <c r="AR20" i="5"/>
  <c r="AP19" i="5"/>
  <c r="AO26" i="5"/>
  <c r="AO25" i="5"/>
  <c r="AO12" i="5"/>
  <c r="AQ20" i="5"/>
  <c r="AO94" i="5"/>
  <c r="AP51" i="5"/>
  <c r="AP80" i="5"/>
  <c r="AQ37" i="5"/>
  <c r="AQ66" i="5"/>
  <c r="AO93" i="5"/>
  <c r="AQ71" i="5"/>
  <c r="AP50" i="5"/>
  <c r="AO29" i="5"/>
  <c r="AP59" i="5"/>
  <c r="AP88" i="5"/>
  <c r="AQ45" i="5"/>
  <c r="AQ74" i="5"/>
  <c r="AP37" i="5"/>
  <c r="AQ84" i="5"/>
  <c r="AP63" i="5"/>
  <c r="AO42" i="5"/>
  <c r="AQ97" i="5"/>
  <c r="AP76" i="5"/>
  <c r="AO55" i="5"/>
  <c r="AQ33" i="5"/>
  <c r="AQ86" i="5"/>
  <c r="AP65" i="5"/>
  <c r="AO44" i="5"/>
  <c r="AO97" i="5"/>
  <c r="AQ75" i="5"/>
  <c r="AP54" i="5"/>
  <c r="AO33" i="5"/>
  <c r="AQ18" i="5"/>
  <c r="AT18" i="5"/>
  <c r="AR32" i="5"/>
  <c r="AO18" i="5"/>
  <c r="AO32" i="5"/>
  <c r="AR18" i="5"/>
  <c r="AS32" i="5"/>
  <c r="AP32" i="5"/>
  <c r="AS18" i="5"/>
  <c r="AT32" i="5"/>
  <c r="AP18" i="5"/>
  <c r="AQ32" i="5"/>
  <c r="AO20" i="5"/>
  <c r="AO21" i="5"/>
  <c r="AQ22" i="5"/>
  <c r="AO10" i="5"/>
  <c r="AQ17" i="5"/>
  <c r="AP14" i="5"/>
  <c r="AP83" i="5"/>
  <c r="AQ40" i="5"/>
  <c r="AQ69" i="5"/>
  <c r="AQ98" i="5"/>
  <c r="AO56" i="5"/>
  <c r="AQ87" i="5"/>
  <c r="AP66" i="5"/>
  <c r="AO45" i="5"/>
  <c r="AP91" i="5"/>
  <c r="AQ48" i="5"/>
  <c r="AQ77" i="5"/>
  <c r="AO35" i="5"/>
  <c r="AO64" i="5"/>
  <c r="AQ100" i="5"/>
  <c r="AP79" i="5"/>
  <c r="AO58" i="5"/>
  <c r="AQ36" i="5"/>
  <c r="AP92" i="5"/>
  <c r="AO71" i="5"/>
  <c r="AQ49" i="5"/>
  <c r="AP28" i="5"/>
  <c r="AP81" i="5"/>
  <c r="AO60" i="5"/>
  <c r="AQ38" i="5"/>
  <c r="AQ91" i="5"/>
  <c r="AP70" i="5"/>
  <c r="AO49" i="5"/>
  <c r="AQ27" i="5"/>
  <c r="BL4" i="13"/>
  <c r="I10" i="21"/>
  <c r="AC10" i="21" s="1"/>
  <c r="J9" i="3"/>
  <c r="L20" i="13" s="1"/>
  <c r="J8" i="3"/>
  <c r="I8" i="13" s="1"/>
  <c r="J7" i="3"/>
  <c r="J6" i="3"/>
  <c r="S4" i="13"/>
  <c r="L25" i="13"/>
  <c r="E8" i="13"/>
  <c r="E81" i="13" s="1"/>
  <c r="F8" i="13"/>
  <c r="F59" i="13" s="1"/>
  <c r="G8" i="13"/>
  <c r="G59" i="13" s="1"/>
  <c r="J5" i="3"/>
  <c r="H8" i="13" s="1"/>
  <c r="D5" i="13"/>
  <c r="AP20" i="13" s="1"/>
  <c r="J46" i="21"/>
  <c r="J44" i="21"/>
  <c r="C45" i="21"/>
  <c r="E45" i="21"/>
  <c r="C26" i="5"/>
  <c r="C35" i="5"/>
  <c r="C36" i="5"/>
  <c r="C37" i="5"/>
  <c r="C10" i="5"/>
  <c r="C11" i="5"/>
  <c r="C12" i="5"/>
  <c r="C13" i="5"/>
  <c r="C14" i="5"/>
  <c r="C18" i="5"/>
  <c r="L24" i="13"/>
  <c r="C19" i="5"/>
  <c r="F19" i="5"/>
  <c r="F19" i="21" s="1"/>
  <c r="C20" i="5"/>
  <c r="C21" i="5"/>
  <c r="C22" i="5"/>
  <c r="C23" i="5"/>
  <c r="C24" i="5"/>
  <c r="C25" i="5"/>
  <c r="C27" i="5"/>
  <c r="C31" i="5"/>
  <c r="C32" i="5"/>
  <c r="C33" i="5"/>
  <c r="C34" i="5"/>
  <c r="C38" i="5"/>
  <c r="C39" i="5"/>
  <c r="C40" i="5"/>
  <c r="C44" i="5"/>
  <c r="L44" i="13"/>
  <c r="C45" i="5"/>
  <c r="C46" i="5"/>
  <c r="C47" i="5"/>
  <c r="C48" i="5"/>
  <c r="C49" i="5"/>
  <c r="C53" i="5"/>
  <c r="C54" i="5"/>
  <c r="C55" i="5"/>
  <c r="C56" i="5"/>
  <c r="C60" i="5"/>
  <c r="C61" i="5"/>
  <c r="F61" i="5"/>
  <c r="F61" i="21" s="1"/>
  <c r="C62" i="5"/>
  <c r="C63" i="5"/>
  <c r="F63" i="5"/>
  <c r="F63" i="21" s="1"/>
  <c r="C64" i="5"/>
  <c r="C68" i="5"/>
  <c r="C69" i="5"/>
  <c r="C70" i="5"/>
  <c r="C71" i="5"/>
  <c r="C75" i="5"/>
  <c r="C76" i="5"/>
  <c r="C77" i="5"/>
  <c r="C78" i="5"/>
  <c r="C79" i="5"/>
  <c r="C83" i="5"/>
  <c r="L82" i="13"/>
  <c r="C84" i="5"/>
  <c r="C85" i="5"/>
  <c r="C86" i="5"/>
  <c r="C87" i="5"/>
  <c r="C46" i="21"/>
  <c r="E46" i="21"/>
  <c r="C47" i="21"/>
  <c r="E47" i="21"/>
  <c r="C48" i="21"/>
  <c r="E48" i="21"/>
  <c r="C49" i="21"/>
  <c r="E49" i="21"/>
  <c r="E44" i="21"/>
  <c r="E62" i="21"/>
  <c r="E64" i="21"/>
  <c r="E83" i="21"/>
  <c r="E84" i="21"/>
  <c r="E85" i="21"/>
  <c r="E86" i="21"/>
  <c r="E87" i="21"/>
  <c r="E91" i="21"/>
  <c r="E92" i="21"/>
  <c r="E93" i="21"/>
  <c r="E94" i="21"/>
  <c r="E95" i="21"/>
  <c r="E96" i="21"/>
  <c r="E97" i="21"/>
  <c r="E98" i="21"/>
  <c r="E99" i="21"/>
  <c r="E31" i="21"/>
  <c r="E32" i="21"/>
  <c r="E33" i="21"/>
  <c r="E34" i="21"/>
  <c r="E35" i="21"/>
  <c r="E36" i="21"/>
  <c r="E37" i="21"/>
  <c r="E38" i="21"/>
  <c r="E39" i="21"/>
  <c r="E40" i="21"/>
  <c r="E18" i="21"/>
  <c r="E19" i="21"/>
  <c r="E20" i="21"/>
  <c r="E21" i="21"/>
  <c r="E22" i="21"/>
  <c r="E23" i="21"/>
  <c r="E24" i="21"/>
  <c r="E25" i="21"/>
  <c r="E26" i="21"/>
  <c r="E27" i="21"/>
  <c r="E75" i="21"/>
  <c r="E76" i="21"/>
  <c r="E77" i="21"/>
  <c r="E78" i="21"/>
  <c r="E79" i="21"/>
  <c r="E10" i="21"/>
  <c r="E11" i="21"/>
  <c r="E12" i="21"/>
  <c r="E13" i="21"/>
  <c r="E14" i="21"/>
  <c r="E60" i="21"/>
  <c r="E61" i="21"/>
  <c r="E63" i="21"/>
  <c r="C53" i="21"/>
  <c r="E53" i="21"/>
  <c r="C54" i="21"/>
  <c r="E54" i="21"/>
  <c r="C55" i="21"/>
  <c r="E55" i="21"/>
  <c r="C56" i="21"/>
  <c r="E56" i="21"/>
  <c r="E68" i="21"/>
  <c r="E69" i="21"/>
  <c r="E70" i="21"/>
  <c r="E71" i="21"/>
  <c r="J11" i="21"/>
  <c r="C10" i="21"/>
  <c r="N6" i="11"/>
  <c r="E54" i="3"/>
  <c r="D3" i="12"/>
  <c r="G95" i="16"/>
  <c r="P97" i="13" s="1"/>
  <c r="N88" i="16"/>
  <c r="N89" i="16"/>
  <c r="N90" i="16"/>
  <c r="N91" i="16"/>
  <c r="N92" i="16"/>
  <c r="G18" i="16"/>
  <c r="P20" i="13" s="1"/>
  <c r="G19" i="16"/>
  <c r="P21" i="13" s="1"/>
  <c r="G20" i="16"/>
  <c r="P22" i="13" s="1"/>
  <c r="G21" i="16"/>
  <c r="P23" i="13" s="1"/>
  <c r="G22" i="16"/>
  <c r="P24" i="13" s="1"/>
  <c r="G23" i="16"/>
  <c r="P25" i="13" s="1"/>
  <c r="L5" i="3"/>
  <c r="H27" i="16"/>
  <c r="H40" i="16"/>
  <c r="H56" i="16"/>
  <c r="H63" i="16"/>
  <c r="H70" i="16"/>
  <c r="H78" i="16"/>
  <c r="H86" i="16"/>
  <c r="H15" i="16"/>
  <c r="F2" i="3"/>
  <c r="B17" i="3"/>
  <c r="G8" i="16"/>
  <c r="P10" i="13" s="1"/>
  <c r="G9" i="16"/>
  <c r="P11" i="13" s="1"/>
  <c r="G10" i="16"/>
  <c r="P12" i="13" s="1"/>
  <c r="G11" i="16"/>
  <c r="P13" i="13" s="1"/>
  <c r="G12" i="16"/>
  <c r="G13" i="16"/>
  <c r="G16" i="16"/>
  <c r="H16" i="16" s="1"/>
  <c r="G17" i="16"/>
  <c r="G24" i="16"/>
  <c r="P26" i="13" s="1"/>
  <c r="G25" i="16"/>
  <c r="P27" i="13" s="1"/>
  <c r="G28" i="16"/>
  <c r="H28" i="16" s="1"/>
  <c r="G29" i="16"/>
  <c r="P31" i="13" s="1"/>
  <c r="G30" i="16"/>
  <c r="P32" i="13" s="1"/>
  <c r="G31" i="16"/>
  <c r="P33" i="13" s="1"/>
  <c r="G32" i="16"/>
  <c r="G33" i="16"/>
  <c r="P35" i="13" s="1"/>
  <c r="G34" i="16"/>
  <c r="P36" i="13" s="1"/>
  <c r="G35" i="16"/>
  <c r="P37" i="13" s="1"/>
  <c r="G36" i="16"/>
  <c r="P38" i="13" s="1"/>
  <c r="G37" i="16"/>
  <c r="P39" i="13" s="1"/>
  <c r="G38" i="16"/>
  <c r="P40" i="13" s="1"/>
  <c r="G41" i="16"/>
  <c r="H41" i="16" s="1"/>
  <c r="G42" i="16"/>
  <c r="P44" i="13" s="1"/>
  <c r="G43" i="16"/>
  <c r="P45" i="13" s="1"/>
  <c r="G44" i="16"/>
  <c r="P46" i="13" s="1"/>
  <c r="G45" i="16"/>
  <c r="P47" i="13" s="1"/>
  <c r="G46" i="16"/>
  <c r="P48" i="13" s="1"/>
  <c r="G47" i="16"/>
  <c r="P49" i="13" s="1"/>
  <c r="H49" i="16"/>
  <c r="G50" i="16"/>
  <c r="H50" i="16" s="1"/>
  <c r="G51" i="16"/>
  <c r="P53" i="13" s="1"/>
  <c r="G52" i="16"/>
  <c r="P54" i="13" s="1"/>
  <c r="G53" i="16"/>
  <c r="P55" i="13" s="1"/>
  <c r="G54" i="16"/>
  <c r="P56" i="13" s="1"/>
  <c r="G57" i="16"/>
  <c r="H57" i="16" s="1"/>
  <c r="G58" i="16"/>
  <c r="G59" i="16"/>
  <c r="P61" i="13" s="1"/>
  <c r="G60" i="16"/>
  <c r="P62" i="13" s="1"/>
  <c r="G61" i="16"/>
  <c r="G64" i="16"/>
  <c r="H64" i="16" s="1"/>
  <c r="G65" i="16"/>
  <c r="P67" i="13" s="1"/>
  <c r="G66" i="16"/>
  <c r="P68" i="13" s="1"/>
  <c r="G67" i="16"/>
  <c r="G68" i="16"/>
  <c r="P70" i="13" s="1"/>
  <c r="G71" i="16"/>
  <c r="H71" i="16" s="1"/>
  <c r="G72" i="16"/>
  <c r="P74" i="13" s="1"/>
  <c r="G73" i="16"/>
  <c r="P75" i="13" s="1"/>
  <c r="G74" i="16"/>
  <c r="P76" i="13" s="1"/>
  <c r="G75" i="16"/>
  <c r="P77" i="13" s="1"/>
  <c r="G76" i="16"/>
  <c r="P78" i="13" s="1"/>
  <c r="G79" i="16"/>
  <c r="H79" i="16" s="1"/>
  <c r="G80" i="16"/>
  <c r="P82" i="13" s="1"/>
  <c r="G81" i="16"/>
  <c r="P83" i="13" s="1"/>
  <c r="G82" i="16"/>
  <c r="P84" i="13" s="1"/>
  <c r="G83" i="16"/>
  <c r="P85" i="13" s="1"/>
  <c r="G84" i="16"/>
  <c r="P86" i="13" s="1"/>
  <c r="G87" i="16"/>
  <c r="H87" i="16" s="1"/>
  <c r="G88" i="16"/>
  <c r="P90" i="13" s="1"/>
  <c r="G89" i="16"/>
  <c r="P91" i="13" s="1"/>
  <c r="G90" i="16"/>
  <c r="P92" i="13" s="1"/>
  <c r="G91" i="16"/>
  <c r="P93" i="13" s="1"/>
  <c r="G92" i="16"/>
  <c r="P94" i="13" s="1"/>
  <c r="G93" i="16"/>
  <c r="P95" i="13" s="1"/>
  <c r="G94" i="16"/>
  <c r="P96" i="13" s="1"/>
  <c r="G7"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6" i="16"/>
  <c r="P98" i="13"/>
  <c r="S98" i="16"/>
  <c r="G55" i="16"/>
  <c r="J10" i="21"/>
  <c r="AB9" i="21"/>
  <c r="AB16" i="21"/>
  <c r="AB17" i="21"/>
  <c r="AB29" i="21"/>
  <c r="AB30" i="21"/>
  <c r="AB42" i="21"/>
  <c r="AB43" i="21"/>
  <c r="AB51" i="21"/>
  <c r="AB52" i="21"/>
  <c r="AB58" i="21"/>
  <c r="AB59" i="21"/>
  <c r="AB66" i="21"/>
  <c r="AB67" i="21"/>
  <c r="AB73" i="21"/>
  <c r="AB74" i="21"/>
  <c r="AB81" i="21"/>
  <c r="AB82" i="21"/>
  <c r="AB89" i="21"/>
  <c r="AB90" i="21"/>
  <c r="H10" i="21"/>
  <c r="I11" i="21"/>
  <c r="AC11" i="21" s="1"/>
  <c r="I26" i="21"/>
  <c r="AC26" i="21" s="1"/>
  <c r="I32" i="21"/>
  <c r="AC32" i="21" s="1"/>
  <c r="C11" i="21"/>
  <c r="H11" i="21"/>
  <c r="I12" i="21"/>
  <c r="AC12" i="21" s="1"/>
  <c r="I35" i="21"/>
  <c r="AC35" i="21" s="1"/>
  <c r="I33" i="21"/>
  <c r="AC33" i="21" s="1"/>
  <c r="C12" i="21"/>
  <c r="H12" i="21"/>
  <c r="I13" i="21"/>
  <c r="AC13" i="21" s="1"/>
  <c r="I36" i="21"/>
  <c r="AC36" i="21" s="1"/>
  <c r="I34" i="21"/>
  <c r="AC34" i="21" s="1"/>
  <c r="J12" i="21"/>
  <c r="C13" i="21"/>
  <c r="H13" i="21"/>
  <c r="I14" i="21"/>
  <c r="AC14" i="21" s="1"/>
  <c r="I37" i="21"/>
  <c r="AC37" i="21" s="1"/>
  <c r="J13" i="21"/>
  <c r="C14" i="21"/>
  <c r="H14" i="21"/>
  <c r="I15" i="21"/>
  <c r="I39" i="21"/>
  <c r="AC39" i="21" s="1"/>
  <c r="J14" i="21"/>
  <c r="H15" i="21"/>
  <c r="J15" i="21"/>
  <c r="H17" i="21"/>
  <c r="I17" i="21"/>
  <c r="J17" i="21"/>
  <c r="C18" i="21"/>
  <c r="H18" i="21"/>
  <c r="I18" i="21"/>
  <c r="AC18" i="21" s="1"/>
  <c r="I21" i="21"/>
  <c r="AC21" i="21" s="1"/>
  <c r="I22" i="21"/>
  <c r="AC22" i="21" s="1"/>
  <c r="I40" i="21"/>
  <c r="AC40" i="21" s="1"/>
  <c r="J18" i="21"/>
  <c r="C19" i="21"/>
  <c r="H19" i="21"/>
  <c r="I19" i="21"/>
  <c r="AC19" i="21" s="1"/>
  <c r="I25" i="21"/>
  <c r="AC25" i="21" s="1"/>
  <c r="I30" i="21"/>
  <c r="J19" i="21"/>
  <c r="C20" i="21"/>
  <c r="H20" i="21"/>
  <c r="I20" i="21"/>
  <c r="AC20" i="21" s="1"/>
  <c r="I23" i="21"/>
  <c r="AC23" i="21" s="1"/>
  <c r="J20" i="21"/>
  <c r="C21" i="21"/>
  <c r="H21" i="21"/>
  <c r="I24" i="21"/>
  <c r="AC24" i="21" s="1"/>
  <c r="I45" i="21"/>
  <c r="AC45" i="21" s="1"/>
  <c r="J21" i="21"/>
  <c r="C22" i="21"/>
  <c r="H22" i="21"/>
  <c r="I48" i="21"/>
  <c r="AC48" i="21" s="1"/>
  <c r="J22" i="21"/>
  <c r="C23" i="21"/>
  <c r="H23" i="21"/>
  <c r="I54" i="21"/>
  <c r="AC54" i="21" s="1"/>
  <c r="J23" i="21"/>
  <c r="C24" i="21"/>
  <c r="H24" i="21"/>
  <c r="I27" i="21"/>
  <c r="AC27" i="21" s="1"/>
  <c r="I64" i="21"/>
  <c r="AC64" i="21" s="1"/>
  <c r="J24" i="21"/>
  <c r="I75" i="21"/>
  <c r="AC75" i="21" s="1"/>
  <c r="I94" i="21"/>
  <c r="AC94" i="21" s="1"/>
  <c r="I88" i="21"/>
  <c r="I44" i="21"/>
  <c r="AC44" i="21" s="1"/>
  <c r="L10" i="21"/>
  <c r="M10" i="21"/>
  <c r="N10" i="21"/>
  <c r="AD10" i="21" s="1"/>
  <c r="N11" i="21"/>
  <c r="AD11" i="21" s="1"/>
  <c r="N26" i="21"/>
  <c r="AD26" i="21" s="1"/>
  <c r="N32" i="21"/>
  <c r="AD32" i="21" s="1"/>
  <c r="O10" i="21"/>
  <c r="P10" i="21"/>
  <c r="R10" i="21"/>
  <c r="S10" i="21"/>
  <c r="T10" i="21"/>
  <c r="AE10" i="21" s="1"/>
  <c r="T11" i="21"/>
  <c r="AE11" i="21" s="1"/>
  <c r="T26" i="21"/>
  <c r="AE26" i="21" s="1"/>
  <c r="T32" i="21"/>
  <c r="AE32" i="21" s="1"/>
  <c r="U10" i="21"/>
  <c r="L11" i="21"/>
  <c r="M11" i="21"/>
  <c r="N12" i="21"/>
  <c r="AD12" i="21" s="1"/>
  <c r="N35" i="21"/>
  <c r="AD35" i="21" s="1"/>
  <c r="N33" i="21"/>
  <c r="AD33" i="21" s="1"/>
  <c r="O11" i="21"/>
  <c r="P11" i="21"/>
  <c r="R11" i="21"/>
  <c r="S11" i="21"/>
  <c r="T12" i="21"/>
  <c r="AE12" i="21" s="1"/>
  <c r="T35" i="21"/>
  <c r="AE35" i="21" s="1"/>
  <c r="T33" i="21"/>
  <c r="AE33" i="21" s="1"/>
  <c r="U11" i="21"/>
  <c r="V11" i="21"/>
  <c r="L12" i="21"/>
  <c r="M12" i="21"/>
  <c r="N13" i="21"/>
  <c r="AD13" i="21" s="1"/>
  <c r="N36" i="21"/>
  <c r="AD36" i="21" s="1"/>
  <c r="N34" i="21"/>
  <c r="AD34" i="21" s="1"/>
  <c r="O12" i="21"/>
  <c r="P12" i="21"/>
  <c r="R12" i="21"/>
  <c r="S12" i="21"/>
  <c r="T13" i="21"/>
  <c r="AE13" i="21" s="1"/>
  <c r="T36" i="21"/>
  <c r="AE36" i="21" s="1"/>
  <c r="T34" i="21"/>
  <c r="AE34" i="21" s="1"/>
  <c r="U12" i="21"/>
  <c r="V12" i="21"/>
  <c r="L13" i="21"/>
  <c r="M13" i="21"/>
  <c r="N14" i="21"/>
  <c r="AD14" i="21" s="1"/>
  <c r="N37" i="21"/>
  <c r="AD37" i="21" s="1"/>
  <c r="O13" i="21"/>
  <c r="P13" i="21"/>
  <c r="R13" i="21"/>
  <c r="S13" i="21"/>
  <c r="T14" i="21"/>
  <c r="AE14" i="21" s="1"/>
  <c r="T37" i="21"/>
  <c r="AE37" i="21" s="1"/>
  <c r="U13" i="21"/>
  <c r="V13" i="21"/>
  <c r="L14" i="21"/>
  <c r="M14" i="21"/>
  <c r="N15" i="21"/>
  <c r="N39" i="21"/>
  <c r="AD39" i="21" s="1"/>
  <c r="O14" i="21"/>
  <c r="P14" i="21"/>
  <c r="R14" i="21"/>
  <c r="S14" i="21"/>
  <c r="T15" i="21"/>
  <c r="T39" i="21"/>
  <c r="AE39" i="21" s="1"/>
  <c r="U14" i="21"/>
  <c r="V14" i="21"/>
  <c r="L15" i="21"/>
  <c r="M15" i="21"/>
  <c r="O15" i="21"/>
  <c r="P15" i="21"/>
  <c r="R15" i="21"/>
  <c r="S15" i="21"/>
  <c r="U15" i="21"/>
  <c r="V15" i="21"/>
  <c r="L17" i="21"/>
  <c r="M17" i="21"/>
  <c r="N17" i="21"/>
  <c r="O17" i="21"/>
  <c r="P17" i="21"/>
  <c r="R17" i="21"/>
  <c r="S17" i="21"/>
  <c r="T17" i="21"/>
  <c r="U17" i="21"/>
  <c r="V17" i="21"/>
  <c r="L18" i="21"/>
  <c r="M18" i="21"/>
  <c r="N18" i="21"/>
  <c r="AD18" i="21" s="1"/>
  <c r="N21" i="21"/>
  <c r="AD21" i="21" s="1"/>
  <c r="N22" i="21"/>
  <c r="AD22" i="21" s="1"/>
  <c r="N40" i="21"/>
  <c r="AD40" i="21" s="1"/>
  <c r="O18" i="21"/>
  <c r="P18" i="21"/>
  <c r="R18" i="21"/>
  <c r="S18" i="21"/>
  <c r="T18" i="21"/>
  <c r="AE18" i="21" s="1"/>
  <c r="T21" i="21"/>
  <c r="AE21" i="21" s="1"/>
  <c r="T22" i="21"/>
  <c r="AE22" i="21" s="1"/>
  <c r="T40" i="21"/>
  <c r="AE40" i="21" s="1"/>
  <c r="U18" i="21"/>
  <c r="V18" i="21"/>
  <c r="L19" i="21"/>
  <c r="M19" i="21"/>
  <c r="N19" i="21"/>
  <c r="AD19" i="21" s="1"/>
  <c r="N25" i="21"/>
  <c r="AD25" i="21" s="1"/>
  <c r="N30" i="21"/>
  <c r="O19" i="21"/>
  <c r="P19" i="21"/>
  <c r="R19" i="21"/>
  <c r="S19" i="21"/>
  <c r="T19" i="21"/>
  <c r="AE19" i="21" s="1"/>
  <c r="T25" i="21"/>
  <c r="AE25" i="21" s="1"/>
  <c r="T30" i="21"/>
  <c r="U19" i="21"/>
  <c r="V19" i="21"/>
  <c r="L20" i="21"/>
  <c r="M20" i="21"/>
  <c r="N20" i="21"/>
  <c r="AD20" i="21" s="1"/>
  <c r="N23" i="21"/>
  <c r="AD23" i="21" s="1"/>
  <c r="O20" i="21"/>
  <c r="P20" i="21"/>
  <c r="R20" i="21"/>
  <c r="S20" i="21"/>
  <c r="T20" i="21"/>
  <c r="AE20" i="21" s="1"/>
  <c r="T23" i="21"/>
  <c r="AE23" i="21" s="1"/>
  <c r="U20" i="21"/>
  <c r="V20" i="21"/>
  <c r="L21" i="21"/>
  <c r="M21" i="21"/>
  <c r="N24" i="21"/>
  <c r="AD24" i="21" s="1"/>
  <c r="N45" i="21"/>
  <c r="AD45" i="21" s="1"/>
  <c r="O21" i="21"/>
  <c r="P21" i="21"/>
  <c r="R21" i="21"/>
  <c r="S21" i="21"/>
  <c r="T24" i="21"/>
  <c r="AE24" i="21" s="1"/>
  <c r="T45" i="21"/>
  <c r="AE45" i="21" s="1"/>
  <c r="U21" i="21"/>
  <c r="V21" i="21"/>
  <c r="L22" i="21"/>
  <c r="M22" i="21"/>
  <c r="N48" i="21"/>
  <c r="AD48" i="21" s="1"/>
  <c r="O22" i="21"/>
  <c r="P22" i="21"/>
  <c r="R22" i="21"/>
  <c r="S22" i="21"/>
  <c r="T48" i="21"/>
  <c r="AE48" i="21" s="1"/>
  <c r="U22" i="21"/>
  <c r="V22" i="21"/>
  <c r="L23" i="21"/>
  <c r="M23" i="21"/>
  <c r="N54" i="21"/>
  <c r="AD54" i="21" s="1"/>
  <c r="O23" i="21"/>
  <c r="P23" i="21"/>
  <c r="R23" i="21"/>
  <c r="S23" i="21"/>
  <c r="T54" i="21"/>
  <c r="U23" i="21"/>
  <c r="V23" i="21"/>
  <c r="L24" i="21"/>
  <c r="M24" i="21"/>
  <c r="N27" i="21"/>
  <c r="AD27" i="21" s="1"/>
  <c r="N64" i="21"/>
  <c r="AD64" i="21" s="1"/>
  <c r="O24" i="21"/>
  <c r="P24" i="21"/>
  <c r="R24" i="21"/>
  <c r="S24" i="21"/>
  <c r="T27" i="21"/>
  <c r="AE27" i="21" s="1"/>
  <c r="T64" i="21"/>
  <c r="AE64" i="21" s="1"/>
  <c r="U24" i="21"/>
  <c r="V24" i="21"/>
  <c r="I28" i="21"/>
  <c r="I69" i="21"/>
  <c r="AC69" i="21" s="1"/>
  <c r="J25" i="21"/>
  <c r="L25" i="21"/>
  <c r="M25" i="21"/>
  <c r="N28" i="21"/>
  <c r="N69" i="21"/>
  <c r="AD69" i="21" s="1"/>
  <c r="O25" i="21"/>
  <c r="P25" i="21"/>
  <c r="R25" i="21"/>
  <c r="S25" i="21"/>
  <c r="T28" i="21"/>
  <c r="T69" i="21"/>
  <c r="AE69" i="21" s="1"/>
  <c r="U25" i="21"/>
  <c r="V25" i="21"/>
  <c r="I31" i="21"/>
  <c r="AC31" i="21" s="1"/>
  <c r="I70" i="21"/>
  <c r="AC70" i="21" s="1"/>
  <c r="J26" i="21"/>
  <c r="L26" i="21"/>
  <c r="M26" i="21"/>
  <c r="N31" i="21"/>
  <c r="AD31" i="21" s="1"/>
  <c r="N70" i="21"/>
  <c r="AD70" i="21" s="1"/>
  <c r="O26" i="21"/>
  <c r="P26" i="21"/>
  <c r="R26" i="21"/>
  <c r="S26" i="21"/>
  <c r="T31" i="21"/>
  <c r="AE31" i="21" s="1"/>
  <c r="T70" i="21"/>
  <c r="AE70" i="21" s="1"/>
  <c r="U26" i="21"/>
  <c r="V26" i="21"/>
  <c r="I71" i="21"/>
  <c r="AC71" i="21" s="1"/>
  <c r="J27" i="21"/>
  <c r="L27" i="21"/>
  <c r="M27" i="21"/>
  <c r="N71" i="21"/>
  <c r="AD71" i="21" s="1"/>
  <c r="O27" i="21"/>
  <c r="P27" i="21"/>
  <c r="R27" i="21"/>
  <c r="S27" i="21"/>
  <c r="T71" i="21"/>
  <c r="AE71" i="21" s="1"/>
  <c r="U27" i="21"/>
  <c r="V27" i="21"/>
  <c r="J28" i="21"/>
  <c r="L28" i="21"/>
  <c r="M28" i="21"/>
  <c r="O28" i="21"/>
  <c r="P28" i="21"/>
  <c r="R28" i="21"/>
  <c r="S28" i="21"/>
  <c r="U28" i="21"/>
  <c r="V28" i="21"/>
  <c r="J30" i="21"/>
  <c r="L30" i="21"/>
  <c r="M30" i="21"/>
  <c r="O30" i="21"/>
  <c r="P30" i="21"/>
  <c r="R30" i="21"/>
  <c r="S30" i="21"/>
  <c r="U30" i="21"/>
  <c r="V30" i="21"/>
  <c r="I92" i="21"/>
  <c r="AC92" i="21" s="1"/>
  <c r="J31" i="21"/>
  <c r="L31" i="21"/>
  <c r="M31" i="21"/>
  <c r="N92" i="21"/>
  <c r="AD92" i="21" s="1"/>
  <c r="O31" i="21"/>
  <c r="P31" i="21"/>
  <c r="R31" i="21"/>
  <c r="S31" i="21"/>
  <c r="T92" i="21"/>
  <c r="AE92" i="21" s="1"/>
  <c r="U31" i="21"/>
  <c r="V31" i="21"/>
  <c r="I93" i="21"/>
  <c r="AC93" i="21" s="1"/>
  <c r="I91" i="21"/>
  <c r="AC91" i="21" s="1"/>
  <c r="J32" i="21"/>
  <c r="L32" i="21"/>
  <c r="M32" i="21"/>
  <c r="N93" i="21"/>
  <c r="AD93" i="21" s="1"/>
  <c r="N91" i="21"/>
  <c r="AD91" i="21" s="1"/>
  <c r="O32" i="21"/>
  <c r="P32" i="21"/>
  <c r="R32" i="21"/>
  <c r="S32" i="21"/>
  <c r="T93" i="21"/>
  <c r="AE93" i="21" s="1"/>
  <c r="T91" i="21"/>
  <c r="AE91" i="21" s="1"/>
  <c r="U32" i="21"/>
  <c r="V32" i="21"/>
  <c r="I38" i="21"/>
  <c r="AC38" i="21" s="1"/>
  <c r="J33" i="21"/>
  <c r="L33" i="21"/>
  <c r="M33" i="21"/>
  <c r="N38" i="21"/>
  <c r="AD38" i="21" s="1"/>
  <c r="N94" i="21"/>
  <c r="AD94" i="21" s="1"/>
  <c r="O33" i="21"/>
  <c r="P33" i="21"/>
  <c r="R33" i="21"/>
  <c r="S33" i="21"/>
  <c r="T38" i="21"/>
  <c r="AE38" i="21" s="1"/>
  <c r="T94" i="21"/>
  <c r="AE94" i="21" s="1"/>
  <c r="U33" i="21"/>
  <c r="V33" i="21"/>
  <c r="I96" i="21"/>
  <c r="AC96" i="21" s="1"/>
  <c r="J34" i="21"/>
  <c r="L34" i="21"/>
  <c r="M34" i="21"/>
  <c r="N96" i="21"/>
  <c r="AD96" i="21" s="1"/>
  <c r="O34" i="21"/>
  <c r="P34" i="21"/>
  <c r="R34" i="21"/>
  <c r="S34" i="21"/>
  <c r="T96" i="21"/>
  <c r="AE96" i="21" s="1"/>
  <c r="U34" i="21"/>
  <c r="V34" i="21"/>
  <c r="I97" i="21"/>
  <c r="AC97" i="21" s="1"/>
  <c r="J35" i="21"/>
  <c r="L35" i="21"/>
  <c r="M35" i="21"/>
  <c r="N97" i="21"/>
  <c r="AD97" i="21" s="1"/>
  <c r="O35" i="21"/>
  <c r="P35" i="21"/>
  <c r="R35" i="21"/>
  <c r="S35" i="21"/>
  <c r="T97" i="21"/>
  <c r="AE97" i="21" s="1"/>
  <c r="U35" i="21"/>
  <c r="V35" i="21"/>
  <c r="I41" i="21"/>
  <c r="I98" i="21"/>
  <c r="AC98" i="21" s="1"/>
  <c r="I95" i="21"/>
  <c r="AC95" i="21" s="1"/>
  <c r="J36" i="21"/>
  <c r="L36" i="21"/>
  <c r="M36" i="21"/>
  <c r="N41" i="21"/>
  <c r="N98" i="21"/>
  <c r="AD98" i="21" s="1"/>
  <c r="N95" i="21"/>
  <c r="AD95" i="21" s="1"/>
  <c r="O36" i="21"/>
  <c r="P36" i="21"/>
  <c r="R36" i="21"/>
  <c r="S36" i="21"/>
  <c r="T41" i="21"/>
  <c r="T98" i="21"/>
  <c r="AE98" i="21" s="1"/>
  <c r="T95" i="21"/>
  <c r="AE95" i="21" s="1"/>
  <c r="U36" i="21"/>
  <c r="V36" i="21"/>
  <c r="J37" i="21"/>
  <c r="L37" i="21"/>
  <c r="M37" i="21"/>
  <c r="N44" i="21"/>
  <c r="AD44" i="21" s="1"/>
  <c r="O37" i="21"/>
  <c r="P37" i="21"/>
  <c r="R37" i="21"/>
  <c r="S37" i="21"/>
  <c r="T44" i="21"/>
  <c r="AE44" i="21" s="1"/>
  <c r="U37" i="21"/>
  <c r="V37" i="21"/>
  <c r="J38" i="21"/>
  <c r="L38" i="21"/>
  <c r="M38" i="21"/>
  <c r="O38" i="21"/>
  <c r="P38" i="21"/>
  <c r="R38" i="21"/>
  <c r="S38" i="21"/>
  <c r="U38" i="21"/>
  <c r="V38" i="21"/>
  <c r="I46" i="21"/>
  <c r="AC46" i="21" s="1"/>
  <c r="J39" i="21"/>
  <c r="L39" i="21"/>
  <c r="M39" i="21"/>
  <c r="N46" i="21"/>
  <c r="AD46" i="21" s="1"/>
  <c r="O39" i="21"/>
  <c r="P39" i="21"/>
  <c r="R39" i="21"/>
  <c r="S39" i="21"/>
  <c r="T46" i="21"/>
  <c r="AE46" i="21" s="1"/>
  <c r="U39" i="21"/>
  <c r="V39" i="21"/>
  <c r="I47" i="21"/>
  <c r="AC47" i="21" s="1"/>
  <c r="I99" i="21"/>
  <c r="AC99" i="21" s="1"/>
  <c r="J40" i="21"/>
  <c r="L40" i="21"/>
  <c r="M40" i="21"/>
  <c r="N47" i="21"/>
  <c r="AD47" i="21" s="1"/>
  <c r="N99" i="21"/>
  <c r="AD99" i="21" s="1"/>
  <c r="O40" i="21"/>
  <c r="P40" i="21"/>
  <c r="R40" i="21"/>
  <c r="S40" i="21"/>
  <c r="T47" i="21"/>
  <c r="AE47" i="21" s="1"/>
  <c r="T99" i="21"/>
  <c r="AE99" i="21" s="1"/>
  <c r="U40" i="21"/>
  <c r="V40" i="21"/>
  <c r="J41" i="21"/>
  <c r="L41" i="21"/>
  <c r="M41" i="21"/>
  <c r="O41" i="21"/>
  <c r="P41" i="21"/>
  <c r="R41" i="21"/>
  <c r="S41" i="21"/>
  <c r="U41" i="21"/>
  <c r="V41" i="21"/>
  <c r="I53" i="21"/>
  <c r="AC53" i="21" s="1"/>
  <c r="I55" i="21"/>
  <c r="AC55" i="21" s="1"/>
  <c r="I77" i="21"/>
  <c r="AC77" i="21" s="1"/>
  <c r="L44" i="21"/>
  <c r="M44" i="21"/>
  <c r="N53" i="21"/>
  <c r="AD53" i="21" s="1"/>
  <c r="N55" i="21"/>
  <c r="AD55" i="21" s="1"/>
  <c r="N77" i="21"/>
  <c r="AD77" i="21" s="1"/>
  <c r="O44" i="21"/>
  <c r="P44" i="21"/>
  <c r="R44" i="21"/>
  <c r="S44" i="21"/>
  <c r="T53" i="21"/>
  <c r="AE53" i="21" s="1"/>
  <c r="T55" i="21"/>
  <c r="AE55" i="21" s="1"/>
  <c r="T77" i="21"/>
  <c r="AE77" i="21" s="1"/>
  <c r="U44" i="21"/>
  <c r="V44" i="21"/>
  <c r="I76" i="21"/>
  <c r="AC76" i="21" s="1"/>
  <c r="I78" i="21"/>
  <c r="AC78" i="21" s="1"/>
  <c r="J45" i="21"/>
  <c r="L45" i="21"/>
  <c r="M45" i="21"/>
  <c r="N76" i="21"/>
  <c r="AD76" i="21" s="1"/>
  <c r="N78" i="21"/>
  <c r="AD78" i="21" s="1"/>
  <c r="O45" i="21"/>
  <c r="P45" i="21"/>
  <c r="R45" i="21"/>
  <c r="S45" i="21"/>
  <c r="T76" i="21"/>
  <c r="AE76" i="21" s="1"/>
  <c r="T78" i="21"/>
  <c r="AE78" i="21" s="1"/>
  <c r="U45" i="21"/>
  <c r="V45" i="21"/>
  <c r="I79" i="21"/>
  <c r="AC79" i="21" s="1"/>
  <c r="L46" i="21"/>
  <c r="M46" i="21"/>
  <c r="N79" i="21"/>
  <c r="AD79" i="21" s="1"/>
  <c r="O46" i="21"/>
  <c r="P46" i="21"/>
  <c r="R46" i="21"/>
  <c r="S46" i="21"/>
  <c r="T79" i="21"/>
  <c r="AE79" i="21" s="1"/>
  <c r="U46" i="21"/>
  <c r="V46" i="21"/>
  <c r="I56" i="21"/>
  <c r="AC56" i="21" s="1"/>
  <c r="J47" i="21"/>
  <c r="L47" i="21"/>
  <c r="M47" i="21"/>
  <c r="N56" i="21"/>
  <c r="AD56" i="21" s="1"/>
  <c r="O47" i="21"/>
  <c r="P47" i="21"/>
  <c r="R47" i="21"/>
  <c r="S47" i="21"/>
  <c r="T56" i="21"/>
  <c r="AE56" i="21" s="1"/>
  <c r="U47" i="21"/>
  <c r="V47" i="21"/>
  <c r="I57" i="21"/>
  <c r="J48" i="21"/>
  <c r="L48" i="21"/>
  <c r="M48" i="21"/>
  <c r="N57" i="21"/>
  <c r="O48" i="21"/>
  <c r="P48" i="21"/>
  <c r="R48" i="21"/>
  <c r="S48" i="21"/>
  <c r="T57" i="21"/>
  <c r="U48" i="21"/>
  <c r="V48" i="21"/>
  <c r="I49" i="21"/>
  <c r="AC49" i="21" s="1"/>
  <c r="I60" i="21"/>
  <c r="AC60" i="21" s="1"/>
  <c r="J49" i="21"/>
  <c r="L49" i="21"/>
  <c r="M49" i="21"/>
  <c r="N49" i="21"/>
  <c r="AD49" i="21" s="1"/>
  <c r="N60" i="21"/>
  <c r="AD60" i="21" s="1"/>
  <c r="O49" i="21"/>
  <c r="P49" i="21"/>
  <c r="R49" i="21"/>
  <c r="S49" i="21"/>
  <c r="T49" i="21"/>
  <c r="AE49" i="21" s="1"/>
  <c r="T60" i="21"/>
  <c r="AE60" i="21" s="1"/>
  <c r="U49" i="21"/>
  <c r="V49" i="21"/>
  <c r="I50" i="21"/>
  <c r="J50" i="21"/>
  <c r="L50" i="21"/>
  <c r="M50" i="21"/>
  <c r="N50" i="21"/>
  <c r="O50" i="21"/>
  <c r="P50" i="21"/>
  <c r="R50" i="21"/>
  <c r="S50" i="21"/>
  <c r="T50" i="21"/>
  <c r="U50" i="21"/>
  <c r="V50" i="21"/>
  <c r="I62" i="21"/>
  <c r="AC62" i="21" s="1"/>
  <c r="J53" i="21"/>
  <c r="L53" i="21"/>
  <c r="M53" i="21"/>
  <c r="N62" i="21"/>
  <c r="AD62" i="21" s="1"/>
  <c r="O53" i="21"/>
  <c r="P53" i="21"/>
  <c r="R53" i="21"/>
  <c r="S53" i="21"/>
  <c r="T62" i="21"/>
  <c r="AE62" i="21" s="1"/>
  <c r="U53" i="21"/>
  <c r="V53" i="21"/>
  <c r="I65" i="21"/>
  <c r="I68" i="21"/>
  <c r="AC68" i="21" s="1"/>
  <c r="I61" i="21"/>
  <c r="AC61" i="21" s="1"/>
  <c r="J54" i="21"/>
  <c r="L54" i="21"/>
  <c r="M54" i="21"/>
  <c r="N65" i="21"/>
  <c r="N68" i="21"/>
  <c r="AD68" i="21" s="1"/>
  <c r="N61" i="21"/>
  <c r="AD61" i="21" s="1"/>
  <c r="O54" i="21"/>
  <c r="P54" i="21"/>
  <c r="R54" i="21"/>
  <c r="S54" i="21"/>
  <c r="T65" i="21"/>
  <c r="T68" i="21"/>
  <c r="AE68" i="21" s="1"/>
  <c r="T61" i="21"/>
  <c r="AE61" i="21" s="1"/>
  <c r="AE54" i="21"/>
  <c r="U54" i="21"/>
  <c r="V54" i="21"/>
  <c r="I63" i="21"/>
  <c r="AC63" i="21" s="1"/>
  <c r="J55" i="21"/>
  <c r="L55" i="21"/>
  <c r="M55" i="21"/>
  <c r="N75" i="21"/>
  <c r="AD75" i="21" s="1"/>
  <c r="N63" i="21"/>
  <c r="AD63" i="21" s="1"/>
  <c r="O55" i="21"/>
  <c r="P55" i="21"/>
  <c r="R55" i="21"/>
  <c r="S55" i="21"/>
  <c r="T75" i="21"/>
  <c r="AE75" i="21" s="1"/>
  <c r="T63" i="21"/>
  <c r="AE63" i="21" s="1"/>
  <c r="U55" i="21"/>
  <c r="V55" i="21"/>
  <c r="J56" i="21"/>
  <c r="L56" i="21"/>
  <c r="M56" i="21"/>
  <c r="O56" i="21"/>
  <c r="P56" i="21"/>
  <c r="R56" i="21"/>
  <c r="S56" i="21"/>
  <c r="U56" i="21"/>
  <c r="V56" i="21"/>
  <c r="J57" i="21"/>
  <c r="L57" i="21"/>
  <c r="M57" i="21"/>
  <c r="O57" i="21"/>
  <c r="P57" i="21"/>
  <c r="R57" i="21"/>
  <c r="S57" i="21"/>
  <c r="U57" i="21"/>
  <c r="V57" i="21"/>
  <c r="I84" i="21"/>
  <c r="AC84" i="21" s="1"/>
  <c r="J60" i="21"/>
  <c r="L60" i="21"/>
  <c r="M60" i="21"/>
  <c r="N84" i="21"/>
  <c r="AD84" i="21" s="1"/>
  <c r="O60" i="21"/>
  <c r="P60" i="21"/>
  <c r="R60" i="21"/>
  <c r="S60" i="21"/>
  <c r="T84" i="21"/>
  <c r="AE84" i="21" s="1"/>
  <c r="U60" i="21"/>
  <c r="V60" i="21"/>
  <c r="I85" i="21"/>
  <c r="AC85" i="21" s="1"/>
  <c r="J61" i="21"/>
  <c r="L61" i="21"/>
  <c r="M61" i="21"/>
  <c r="N85" i="21"/>
  <c r="AD85" i="21" s="1"/>
  <c r="O61" i="21"/>
  <c r="P61" i="21"/>
  <c r="R61" i="21"/>
  <c r="S61" i="21"/>
  <c r="T85" i="21"/>
  <c r="AE85" i="21" s="1"/>
  <c r="U61" i="21"/>
  <c r="V61" i="21"/>
  <c r="I86" i="21"/>
  <c r="AC86" i="21" s="1"/>
  <c r="J62" i="21"/>
  <c r="L62" i="21"/>
  <c r="M62" i="21"/>
  <c r="N86" i="21"/>
  <c r="AD86" i="21" s="1"/>
  <c r="O62" i="21"/>
  <c r="P62" i="21"/>
  <c r="R62" i="21"/>
  <c r="S62" i="21"/>
  <c r="T86" i="21"/>
  <c r="AE86" i="21" s="1"/>
  <c r="U62" i="21"/>
  <c r="V62" i="21"/>
  <c r="I87" i="21"/>
  <c r="AC87" i="21" s="1"/>
  <c r="J63" i="21"/>
  <c r="L63" i="21"/>
  <c r="M63" i="21"/>
  <c r="N87" i="21"/>
  <c r="AD87" i="21" s="1"/>
  <c r="O63" i="21"/>
  <c r="P63" i="21"/>
  <c r="R63" i="21"/>
  <c r="S63" i="21"/>
  <c r="T87" i="21"/>
  <c r="AE87" i="21" s="1"/>
  <c r="U63" i="21"/>
  <c r="V63" i="21"/>
  <c r="J64" i="21"/>
  <c r="L64" i="21"/>
  <c r="M64" i="21"/>
  <c r="O64" i="21"/>
  <c r="P64" i="21"/>
  <c r="R64" i="21"/>
  <c r="S64" i="21"/>
  <c r="U64" i="21"/>
  <c r="V64" i="21"/>
  <c r="J65" i="21"/>
  <c r="L65" i="21"/>
  <c r="M65" i="21"/>
  <c r="O65" i="21"/>
  <c r="P65" i="21"/>
  <c r="R65" i="21"/>
  <c r="S65" i="21"/>
  <c r="U65" i="21"/>
  <c r="V65" i="21"/>
  <c r="I80" i="21"/>
  <c r="J68" i="21"/>
  <c r="L68" i="21"/>
  <c r="M68" i="21"/>
  <c r="N80" i="21"/>
  <c r="O68" i="21"/>
  <c r="P68" i="21"/>
  <c r="R68" i="21"/>
  <c r="S68" i="21"/>
  <c r="T80" i="21"/>
  <c r="U68" i="21"/>
  <c r="V68" i="21"/>
  <c r="J69" i="21"/>
  <c r="L69" i="21"/>
  <c r="M69" i="21"/>
  <c r="O69" i="21"/>
  <c r="P69" i="21"/>
  <c r="R69" i="21"/>
  <c r="S69" i="21"/>
  <c r="U69" i="21"/>
  <c r="V69" i="21"/>
  <c r="J70" i="21"/>
  <c r="L70" i="21"/>
  <c r="M70" i="21"/>
  <c r="O70" i="21"/>
  <c r="P70" i="21"/>
  <c r="R70" i="21"/>
  <c r="S70" i="21"/>
  <c r="U70" i="21"/>
  <c r="V70" i="21"/>
  <c r="J71" i="21"/>
  <c r="L71" i="21"/>
  <c r="M71" i="21"/>
  <c r="N88" i="21"/>
  <c r="O71" i="21"/>
  <c r="P71" i="21"/>
  <c r="R71" i="21"/>
  <c r="S71" i="21"/>
  <c r="T88" i="21"/>
  <c r="U71" i="21"/>
  <c r="V71" i="21"/>
  <c r="I72" i="21"/>
  <c r="J72" i="21"/>
  <c r="L72" i="21"/>
  <c r="M72" i="21"/>
  <c r="N72" i="21"/>
  <c r="O72" i="21"/>
  <c r="P72" i="21"/>
  <c r="R72" i="21"/>
  <c r="S72" i="21"/>
  <c r="T72" i="21"/>
  <c r="U72" i="21"/>
  <c r="V72" i="21"/>
  <c r="J75" i="21"/>
  <c r="L75" i="21"/>
  <c r="M75" i="21"/>
  <c r="O75" i="21"/>
  <c r="P75" i="21"/>
  <c r="R75" i="21"/>
  <c r="S75" i="21"/>
  <c r="U75" i="21"/>
  <c r="V75" i="21"/>
  <c r="J76" i="21"/>
  <c r="L76" i="21"/>
  <c r="M76" i="21"/>
  <c r="O76" i="21"/>
  <c r="P76" i="21"/>
  <c r="R76" i="21"/>
  <c r="S76" i="21"/>
  <c r="U76" i="21"/>
  <c r="V76" i="21"/>
  <c r="J77" i="21"/>
  <c r="L77" i="21"/>
  <c r="M77" i="21"/>
  <c r="O77" i="21"/>
  <c r="P77" i="21"/>
  <c r="R77" i="21"/>
  <c r="S77" i="21"/>
  <c r="U77" i="21"/>
  <c r="V77" i="21"/>
  <c r="J78" i="21"/>
  <c r="L78" i="21"/>
  <c r="M78" i="21"/>
  <c r="O78" i="21"/>
  <c r="P78" i="21"/>
  <c r="R78" i="21"/>
  <c r="S78" i="21"/>
  <c r="U78" i="21"/>
  <c r="V78" i="21"/>
  <c r="J79" i="21"/>
  <c r="L79" i="21"/>
  <c r="M79" i="21"/>
  <c r="O79" i="21"/>
  <c r="P79" i="21"/>
  <c r="R79" i="21"/>
  <c r="S79" i="21"/>
  <c r="U79" i="21"/>
  <c r="V79" i="21"/>
  <c r="J80" i="21"/>
  <c r="L80" i="21"/>
  <c r="M80" i="21"/>
  <c r="O80" i="21"/>
  <c r="P80" i="21"/>
  <c r="R80" i="21"/>
  <c r="S80" i="21"/>
  <c r="U80" i="21"/>
  <c r="V80" i="21"/>
  <c r="I83" i="21"/>
  <c r="AC83" i="21" s="1"/>
  <c r="J83" i="21"/>
  <c r="L83" i="21"/>
  <c r="M83" i="21"/>
  <c r="N83" i="21"/>
  <c r="AD83" i="21" s="1"/>
  <c r="O83" i="21"/>
  <c r="P83" i="21"/>
  <c r="R83" i="21"/>
  <c r="S83" i="21"/>
  <c r="T83" i="21"/>
  <c r="AE83" i="21" s="1"/>
  <c r="U83" i="21"/>
  <c r="V83" i="21"/>
  <c r="J84" i="21"/>
  <c r="L84" i="21"/>
  <c r="M84" i="21"/>
  <c r="O84" i="21"/>
  <c r="P84" i="21"/>
  <c r="R84" i="21"/>
  <c r="S84" i="21"/>
  <c r="U84" i="21"/>
  <c r="V84" i="21"/>
  <c r="J85" i="21"/>
  <c r="L85" i="21"/>
  <c r="M85" i="21"/>
  <c r="O85" i="21"/>
  <c r="P85" i="21"/>
  <c r="R85" i="21"/>
  <c r="S85" i="21"/>
  <c r="U85" i="21"/>
  <c r="V85" i="21"/>
  <c r="J86" i="21"/>
  <c r="L86" i="21"/>
  <c r="M86" i="21"/>
  <c r="O86" i="21"/>
  <c r="P86" i="21"/>
  <c r="R86" i="21"/>
  <c r="S86" i="21"/>
  <c r="U86" i="21"/>
  <c r="V86" i="21"/>
  <c r="J87" i="21"/>
  <c r="L87" i="21"/>
  <c r="M87" i="21"/>
  <c r="O87" i="21"/>
  <c r="P87" i="21"/>
  <c r="R87" i="21"/>
  <c r="S87" i="21"/>
  <c r="U87" i="21"/>
  <c r="V87" i="21"/>
  <c r="J88" i="21"/>
  <c r="L88" i="21"/>
  <c r="M88" i="21"/>
  <c r="O88" i="21"/>
  <c r="P88" i="21"/>
  <c r="R88" i="21"/>
  <c r="S88" i="21"/>
  <c r="U88" i="21"/>
  <c r="V88" i="21"/>
  <c r="J91" i="21"/>
  <c r="L91" i="21"/>
  <c r="M91" i="21"/>
  <c r="O91" i="21"/>
  <c r="P91" i="21"/>
  <c r="R91" i="21"/>
  <c r="S91" i="21"/>
  <c r="U91" i="21"/>
  <c r="V91" i="21"/>
  <c r="J92" i="21"/>
  <c r="L92" i="21"/>
  <c r="M92" i="21"/>
  <c r="O92" i="21"/>
  <c r="P92" i="21"/>
  <c r="R92" i="21"/>
  <c r="S92" i="21"/>
  <c r="U92" i="21"/>
  <c r="V92" i="21"/>
  <c r="J93" i="21"/>
  <c r="L93" i="21"/>
  <c r="M93" i="21"/>
  <c r="O93" i="21"/>
  <c r="P93" i="21"/>
  <c r="R93" i="21"/>
  <c r="S93" i="21"/>
  <c r="U93" i="21"/>
  <c r="V93" i="21"/>
  <c r="J94" i="21"/>
  <c r="L94" i="21"/>
  <c r="M94" i="21"/>
  <c r="O94" i="21"/>
  <c r="P94" i="21"/>
  <c r="R94" i="21"/>
  <c r="S94" i="21"/>
  <c r="U94" i="21"/>
  <c r="V94" i="21"/>
  <c r="J95" i="21"/>
  <c r="L95" i="21"/>
  <c r="M95" i="21"/>
  <c r="O95" i="21"/>
  <c r="P95" i="21"/>
  <c r="R95" i="21"/>
  <c r="S95" i="21"/>
  <c r="U95" i="21"/>
  <c r="V95" i="21"/>
  <c r="J96" i="21"/>
  <c r="L96" i="21"/>
  <c r="M96" i="21"/>
  <c r="O96" i="21"/>
  <c r="P96" i="21"/>
  <c r="R96" i="21"/>
  <c r="S96" i="21"/>
  <c r="U96" i="21"/>
  <c r="V96" i="21"/>
  <c r="J97" i="21"/>
  <c r="L97" i="21"/>
  <c r="M97" i="21"/>
  <c r="O97" i="21"/>
  <c r="P97" i="21"/>
  <c r="R97" i="21"/>
  <c r="S97" i="21"/>
  <c r="U97" i="21"/>
  <c r="V97" i="21"/>
  <c r="J98" i="21"/>
  <c r="L98" i="21"/>
  <c r="M98" i="21"/>
  <c r="O98" i="21"/>
  <c r="P98" i="21"/>
  <c r="R98" i="21"/>
  <c r="S98" i="21"/>
  <c r="U98" i="21"/>
  <c r="V98" i="21"/>
  <c r="J99" i="21"/>
  <c r="L99" i="21"/>
  <c r="M99" i="21"/>
  <c r="O99" i="21"/>
  <c r="P99" i="21"/>
  <c r="R99" i="21"/>
  <c r="S99" i="21"/>
  <c r="U99" i="21"/>
  <c r="V99" i="21"/>
  <c r="I100" i="21"/>
  <c r="J100" i="21"/>
  <c r="L100" i="21"/>
  <c r="M100" i="21"/>
  <c r="N100" i="21"/>
  <c r="O100" i="21"/>
  <c r="P100" i="21"/>
  <c r="R100" i="21"/>
  <c r="S100" i="21"/>
  <c r="T100" i="21"/>
  <c r="U100" i="21"/>
  <c r="V100" i="21"/>
  <c r="H25" i="21"/>
  <c r="H26" i="21"/>
  <c r="H27" i="21"/>
  <c r="H28" i="21"/>
  <c r="H30" i="21"/>
  <c r="H31" i="21"/>
  <c r="H32" i="21"/>
  <c r="H33" i="21"/>
  <c r="H34" i="21"/>
  <c r="H35" i="21"/>
  <c r="H36" i="21"/>
  <c r="H37" i="21"/>
  <c r="H38" i="21"/>
  <c r="H39" i="21"/>
  <c r="H40" i="21"/>
  <c r="H41" i="21"/>
  <c r="H44" i="21"/>
  <c r="H45" i="21"/>
  <c r="H46" i="21"/>
  <c r="H47" i="21"/>
  <c r="H48" i="21"/>
  <c r="H49" i="21"/>
  <c r="H50" i="21"/>
  <c r="H53" i="21"/>
  <c r="H54" i="21"/>
  <c r="H55" i="21"/>
  <c r="H56" i="21"/>
  <c r="H57" i="21"/>
  <c r="H60" i="21"/>
  <c r="H61" i="21"/>
  <c r="H62" i="21"/>
  <c r="H63" i="21"/>
  <c r="H64" i="21"/>
  <c r="H65" i="21"/>
  <c r="H68" i="21"/>
  <c r="H69" i="21"/>
  <c r="H70" i="21"/>
  <c r="H71" i="21"/>
  <c r="H72" i="21"/>
  <c r="H75" i="21"/>
  <c r="H76" i="21"/>
  <c r="H77" i="21"/>
  <c r="H78" i="21"/>
  <c r="H79" i="21"/>
  <c r="H80" i="21"/>
  <c r="H83" i="21"/>
  <c r="H84" i="21"/>
  <c r="H85" i="21"/>
  <c r="H86" i="21"/>
  <c r="H87" i="21"/>
  <c r="H88" i="21"/>
  <c r="H91" i="21"/>
  <c r="H92" i="21"/>
  <c r="H93" i="21"/>
  <c r="H94" i="21"/>
  <c r="H95" i="21"/>
  <c r="H96" i="21"/>
  <c r="H97" i="21"/>
  <c r="H98" i="21"/>
  <c r="H99" i="21"/>
  <c r="H100" i="21"/>
  <c r="C87" i="21"/>
  <c r="C86" i="21"/>
  <c r="C85" i="21"/>
  <c r="C84" i="21"/>
  <c r="C83" i="21"/>
  <c r="C79" i="21"/>
  <c r="C78" i="21"/>
  <c r="C77" i="21"/>
  <c r="C76" i="21"/>
  <c r="C75" i="21"/>
  <c r="C71" i="21"/>
  <c r="C70" i="21"/>
  <c r="C69" i="21"/>
  <c r="C68" i="21"/>
  <c r="C64" i="21"/>
  <c r="C63" i="21"/>
  <c r="C62" i="21"/>
  <c r="C61" i="21"/>
  <c r="C60" i="21"/>
  <c r="C44" i="21"/>
  <c r="C40" i="21"/>
  <c r="C39" i="21"/>
  <c r="C38" i="21"/>
  <c r="C37" i="21"/>
  <c r="C36" i="21"/>
  <c r="C35" i="21"/>
  <c r="C34" i="21"/>
  <c r="C33" i="21"/>
  <c r="C32" i="21"/>
  <c r="C31" i="21"/>
  <c r="C27" i="21"/>
  <c r="C26" i="21"/>
  <c r="C25" i="21"/>
  <c r="L8" i="3"/>
  <c r="L9" i="3"/>
  <c r="L10" i="3"/>
  <c r="L11" i="3"/>
  <c r="L12" i="3"/>
  <c r="L13" i="3"/>
  <c r="L6" i="3"/>
  <c r="L7" i="3"/>
  <c r="Z98" i="5"/>
  <c r="AA98" i="5"/>
  <c r="AB98" i="5"/>
  <c r="Z48" i="5"/>
  <c r="AA48" i="5"/>
  <c r="AB48" i="5"/>
  <c r="O49" i="13"/>
  <c r="F50" i="13"/>
  <c r="G50" i="13"/>
  <c r="H50" i="13"/>
  <c r="I50" i="13"/>
  <c r="E50" i="13"/>
  <c r="AB51" i="11"/>
  <c r="R4" i="5"/>
  <c r="L4" i="5"/>
  <c r="B40" i="3"/>
  <c r="AL117" i="13"/>
  <c r="AC22" i="11"/>
  <c r="AC23" i="11"/>
  <c r="AC24" i="11"/>
  <c r="AC25" i="11"/>
  <c r="AC26" i="11"/>
  <c r="AC27" i="11"/>
  <c r="AC28" i="11"/>
  <c r="AC29" i="11"/>
  <c r="AC30" i="11"/>
  <c r="AC31" i="11"/>
  <c r="AF21" i="11"/>
  <c r="AE35" i="11" s="1"/>
  <c r="AE21" i="11"/>
  <c r="AD35" i="11" s="1"/>
  <c r="AD21" i="11"/>
  <c r="AC35" i="11"/>
  <c r="AB50" i="11"/>
  <c r="AB49" i="11"/>
  <c r="AB48" i="11"/>
  <c r="AB47" i="11"/>
  <c r="AB46" i="11"/>
  <c r="AB43" i="11"/>
  <c r="AB40" i="11"/>
  <c r="AB39" i="11"/>
  <c r="AB38" i="11"/>
  <c r="AB37" i="11"/>
  <c r="AB36" i="11"/>
  <c r="AB35" i="11"/>
  <c r="D6" i="11"/>
  <c r="C3" i="12"/>
  <c r="C6" i="5"/>
  <c r="C6" i="21" s="1"/>
  <c r="M6" i="11"/>
  <c r="G101" i="13"/>
  <c r="H101" i="13"/>
  <c r="F101" i="13"/>
  <c r="O98" i="13"/>
  <c r="L56" i="13"/>
  <c r="Y16" i="5"/>
  <c r="Y17" i="5"/>
  <c r="Y29" i="5"/>
  <c r="Y30" i="5"/>
  <c r="Y42" i="5"/>
  <c r="Y43" i="5"/>
  <c r="Y51" i="5"/>
  <c r="Y52" i="5"/>
  <c r="Y58" i="5"/>
  <c r="Y59" i="5"/>
  <c r="Y66" i="5"/>
  <c r="Y67" i="5"/>
  <c r="Y73" i="5"/>
  <c r="Y74" i="5"/>
  <c r="Y81" i="5"/>
  <c r="Y82" i="5"/>
  <c r="Y89" i="5"/>
  <c r="Y90" i="5"/>
  <c r="Y9" i="5"/>
  <c r="Z18" i="5"/>
  <c r="AA18" i="5"/>
  <c r="AB18" i="5"/>
  <c r="Z19" i="5"/>
  <c r="AA19" i="5"/>
  <c r="AB19" i="5"/>
  <c r="Z20" i="5"/>
  <c r="AA20" i="5"/>
  <c r="AB20" i="5"/>
  <c r="Z21" i="5"/>
  <c r="AA21" i="5"/>
  <c r="AB21" i="5"/>
  <c r="Z22" i="5"/>
  <c r="AA22" i="5"/>
  <c r="AB22" i="5"/>
  <c r="Z23" i="5"/>
  <c r="AA23" i="5"/>
  <c r="AB23" i="5"/>
  <c r="Z24" i="5"/>
  <c r="AA24" i="5"/>
  <c r="AB24" i="5"/>
  <c r="Z25" i="5"/>
  <c r="AA25" i="5"/>
  <c r="AB25" i="5"/>
  <c r="Z26" i="5"/>
  <c r="AA26" i="5"/>
  <c r="AB26" i="5"/>
  <c r="Z27" i="5"/>
  <c r="AA27" i="5"/>
  <c r="AB27" i="5"/>
  <c r="Z31" i="5"/>
  <c r="AA31" i="5"/>
  <c r="AB31" i="5"/>
  <c r="Z32" i="5"/>
  <c r="AA32" i="5"/>
  <c r="AB32" i="5"/>
  <c r="Z33" i="5"/>
  <c r="AA33" i="5"/>
  <c r="AB33" i="5"/>
  <c r="Z34" i="5"/>
  <c r="AA34" i="5"/>
  <c r="AB34" i="5"/>
  <c r="Z35" i="5"/>
  <c r="AA35" i="5"/>
  <c r="AB35" i="5"/>
  <c r="Z36" i="5"/>
  <c r="AA36" i="5"/>
  <c r="AB36" i="5"/>
  <c r="Z37" i="5"/>
  <c r="AA37" i="5"/>
  <c r="AB37" i="5"/>
  <c r="Z38" i="5"/>
  <c r="AA38" i="5"/>
  <c r="AB38" i="5"/>
  <c r="Z39" i="5"/>
  <c r="AA39" i="5"/>
  <c r="AB39" i="5"/>
  <c r="Z40" i="5"/>
  <c r="AA40" i="5"/>
  <c r="AB40" i="5"/>
  <c r="Z44" i="5"/>
  <c r="AA44" i="5"/>
  <c r="AB44" i="5"/>
  <c r="Z45" i="5"/>
  <c r="AA45" i="5"/>
  <c r="AB45" i="5"/>
  <c r="Z46" i="5"/>
  <c r="AA46" i="5"/>
  <c r="AB46" i="5"/>
  <c r="Z47" i="5"/>
  <c r="AA47" i="5"/>
  <c r="AB47" i="5"/>
  <c r="Z49" i="5"/>
  <c r="AA49" i="5"/>
  <c r="AB49" i="5"/>
  <c r="Z53" i="5"/>
  <c r="AA53" i="5"/>
  <c r="AB53" i="5"/>
  <c r="Z54" i="5"/>
  <c r="AA54" i="5"/>
  <c r="AB54" i="5"/>
  <c r="Z55" i="5"/>
  <c r="AA55" i="5"/>
  <c r="AB55" i="5"/>
  <c r="Z56" i="5"/>
  <c r="AA56" i="5"/>
  <c r="AB56" i="5"/>
  <c r="Z60" i="5"/>
  <c r="AA60" i="5"/>
  <c r="AB60" i="5"/>
  <c r="Z61" i="5"/>
  <c r="AA61" i="5"/>
  <c r="AB61" i="5"/>
  <c r="Z62" i="5"/>
  <c r="AA62" i="5"/>
  <c r="AB62" i="5"/>
  <c r="Z63" i="5"/>
  <c r="AA63" i="5"/>
  <c r="AB63" i="5"/>
  <c r="Z64" i="5"/>
  <c r="AA64" i="5"/>
  <c r="AB64" i="5"/>
  <c r="Z68" i="5"/>
  <c r="AA68" i="5"/>
  <c r="AB68" i="5"/>
  <c r="Z69" i="5"/>
  <c r="AA69" i="5"/>
  <c r="AB69" i="5"/>
  <c r="Z70" i="5"/>
  <c r="AA70" i="5"/>
  <c r="AB70" i="5"/>
  <c r="Z71" i="5"/>
  <c r="AA71" i="5"/>
  <c r="AB71" i="5"/>
  <c r="Z75" i="5"/>
  <c r="AA75" i="5"/>
  <c r="AB75" i="5"/>
  <c r="Z76" i="5"/>
  <c r="AA76" i="5"/>
  <c r="AB76" i="5"/>
  <c r="Z77" i="5"/>
  <c r="AA77" i="5"/>
  <c r="AB77" i="5"/>
  <c r="Z78" i="5"/>
  <c r="AA78" i="5"/>
  <c r="AB78" i="5"/>
  <c r="Z79" i="5"/>
  <c r="AA79" i="5"/>
  <c r="AB79" i="5"/>
  <c r="Z83" i="5"/>
  <c r="AA83" i="5"/>
  <c r="AB83" i="5"/>
  <c r="Z84" i="5"/>
  <c r="AA84" i="5"/>
  <c r="AB84" i="5"/>
  <c r="Z85" i="5"/>
  <c r="AA85" i="5"/>
  <c r="AB85" i="5"/>
  <c r="Z86" i="5"/>
  <c r="AA86" i="5"/>
  <c r="AB86" i="5"/>
  <c r="Z87" i="5"/>
  <c r="AA87" i="5"/>
  <c r="AB87" i="5"/>
  <c r="Z91" i="5"/>
  <c r="AA91" i="5"/>
  <c r="AB91" i="5"/>
  <c r="Z92" i="5"/>
  <c r="AA92" i="5"/>
  <c r="AB92" i="5"/>
  <c r="Z93" i="5"/>
  <c r="AA93" i="5"/>
  <c r="AB93" i="5"/>
  <c r="Z94" i="5"/>
  <c r="AA94" i="5"/>
  <c r="AB94" i="5"/>
  <c r="Z95" i="5"/>
  <c r="AA95" i="5"/>
  <c r="AB95" i="5"/>
  <c r="Z96" i="5"/>
  <c r="AA96" i="5"/>
  <c r="AB96" i="5"/>
  <c r="Z97" i="5"/>
  <c r="AA97" i="5"/>
  <c r="AB97" i="5"/>
  <c r="Z99" i="5"/>
  <c r="AA99" i="5"/>
  <c r="AB99" i="5"/>
  <c r="Z11" i="5"/>
  <c r="AA11" i="5"/>
  <c r="AB11" i="5"/>
  <c r="Z12" i="5"/>
  <c r="AA12" i="5"/>
  <c r="AB12" i="5"/>
  <c r="Z13" i="5"/>
  <c r="AA13" i="5"/>
  <c r="AB13" i="5"/>
  <c r="Z14" i="5"/>
  <c r="AA14" i="5"/>
  <c r="AB14" i="5"/>
  <c r="AB10" i="5"/>
  <c r="AA10" i="5"/>
  <c r="Z10" i="5"/>
  <c r="I99" i="13"/>
  <c r="F99" i="13"/>
  <c r="G99" i="13"/>
  <c r="H99" i="13"/>
  <c r="E99" i="13"/>
  <c r="D98" i="13"/>
  <c r="F41" i="13"/>
  <c r="G41" i="13"/>
  <c r="H41" i="13"/>
  <c r="I41" i="13"/>
  <c r="E41" i="13"/>
  <c r="E28" i="13"/>
  <c r="O24" i="13"/>
  <c r="O25" i="13"/>
  <c r="O26" i="13"/>
  <c r="O27" i="13"/>
  <c r="O31" i="13"/>
  <c r="O32" i="13"/>
  <c r="O33" i="13"/>
  <c r="O34" i="13"/>
  <c r="O35" i="13"/>
  <c r="O36" i="13"/>
  <c r="O37" i="13"/>
  <c r="O38" i="13"/>
  <c r="O39" i="13"/>
  <c r="O40" i="13"/>
  <c r="O44" i="13"/>
  <c r="O45" i="13"/>
  <c r="O46" i="13"/>
  <c r="O47" i="13"/>
  <c r="O48" i="13"/>
  <c r="O53" i="13"/>
  <c r="O54" i="13"/>
  <c r="O55" i="13"/>
  <c r="O56" i="13"/>
  <c r="O60" i="13"/>
  <c r="O61" i="13"/>
  <c r="O62" i="13"/>
  <c r="O63" i="13"/>
  <c r="O67" i="13"/>
  <c r="O68" i="13"/>
  <c r="O69" i="13"/>
  <c r="O70" i="13"/>
  <c r="O74" i="13"/>
  <c r="O75" i="13"/>
  <c r="O76" i="13"/>
  <c r="O77" i="13"/>
  <c r="O78" i="13"/>
  <c r="O82" i="13"/>
  <c r="O83" i="13"/>
  <c r="O84" i="13"/>
  <c r="O85" i="13"/>
  <c r="O86" i="13"/>
  <c r="O90" i="13"/>
  <c r="O91" i="13"/>
  <c r="O92" i="13"/>
  <c r="O93" i="13"/>
  <c r="O94" i="13"/>
  <c r="O95" i="13"/>
  <c r="O96" i="13"/>
  <c r="O97" i="13"/>
  <c r="O10" i="13"/>
  <c r="O11" i="13"/>
  <c r="O12" i="13"/>
  <c r="O13" i="13"/>
  <c r="O14" i="13"/>
  <c r="O15" i="13"/>
  <c r="O19" i="13"/>
  <c r="O20" i="13"/>
  <c r="O21" i="13"/>
  <c r="O22" i="13"/>
  <c r="O23" i="13"/>
  <c r="O9" i="13"/>
  <c r="AM104" i="13"/>
  <c r="AB45" i="11"/>
  <c r="AB42" i="11"/>
  <c r="AO103" i="13"/>
  <c r="AQ61" i="13"/>
  <c r="AR61" i="13" s="1"/>
  <c r="AS61" i="13" s="1"/>
  <c r="K101" i="13"/>
  <c r="K89" i="13"/>
  <c r="I87" i="13"/>
  <c r="H87" i="13"/>
  <c r="G87" i="13"/>
  <c r="F87" i="13"/>
  <c r="E87" i="13"/>
  <c r="I79" i="13"/>
  <c r="H79" i="13"/>
  <c r="G79" i="13"/>
  <c r="F79" i="13"/>
  <c r="E79" i="13"/>
  <c r="I71" i="13"/>
  <c r="H71" i="13"/>
  <c r="G71" i="13"/>
  <c r="F71" i="13"/>
  <c r="E71" i="13"/>
  <c r="I64" i="13"/>
  <c r="H64" i="13"/>
  <c r="G64" i="13"/>
  <c r="F64" i="13"/>
  <c r="E64" i="13"/>
  <c r="I57" i="13"/>
  <c r="H57" i="13"/>
  <c r="G57" i="13"/>
  <c r="F57" i="13"/>
  <c r="E57" i="13"/>
  <c r="D91" i="13"/>
  <c r="D92" i="13"/>
  <c r="D93" i="13"/>
  <c r="C94" i="21"/>
  <c r="D94" i="13"/>
  <c r="D95" i="13"/>
  <c r="D96" i="13"/>
  <c r="D97" i="13"/>
  <c r="D90" i="13"/>
  <c r="F28" i="13"/>
  <c r="G28" i="13"/>
  <c r="H28" i="13"/>
  <c r="I28" i="13"/>
  <c r="F16" i="13"/>
  <c r="G16" i="13"/>
  <c r="H16" i="13"/>
  <c r="I16" i="13"/>
  <c r="E16" i="13"/>
  <c r="V309" i="11"/>
  <c r="V306" i="11"/>
  <c r="V305" i="11"/>
  <c r="V304" i="11"/>
  <c r="V303" i="11"/>
  <c r="V302" i="11"/>
  <c r="V307" i="11"/>
  <c r="T309" i="11"/>
  <c r="T308" i="11"/>
  <c r="T307" i="11"/>
  <c r="T306" i="11"/>
  <c r="T305" i="11"/>
  <c r="T304" i="11"/>
  <c r="T303" i="11"/>
  <c r="T302" i="11"/>
  <c r="T301" i="11"/>
  <c r="T300" i="11"/>
  <c r="V300" i="11"/>
  <c r="V308" i="11"/>
  <c r="V301" i="11"/>
  <c r="C54" i="3"/>
  <c r="C5" i="5"/>
  <c r="C5" i="21" s="1"/>
  <c r="K8" i="13" l="1"/>
  <c r="K30" i="13"/>
  <c r="AQ14" i="13"/>
  <c r="AR14" i="13" s="1"/>
  <c r="AS14" i="13" s="1"/>
  <c r="AO102" i="13"/>
  <c r="BE24" i="13"/>
  <c r="AB41" i="11" s="1"/>
  <c r="K59" i="13"/>
  <c r="AM7" i="13"/>
  <c r="AM102" i="13"/>
  <c r="AQ104" i="13"/>
  <c r="K81" i="13"/>
  <c r="AQ15" i="13"/>
  <c r="AX15" i="13" s="1"/>
  <c r="AY15" i="13" s="1"/>
  <c r="AQ102" i="13"/>
  <c r="AN104" i="13"/>
  <c r="AN102" i="13"/>
  <c r="K52" i="13"/>
  <c r="AQ63" i="13"/>
  <c r="AU63" i="13" s="1"/>
  <c r="AV63" i="13" s="1"/>
  <c r="AQ103" i="13"/>
  <c r="AN103" i="13"/>
  <c r="AO104" i="13"/>
  <c r="AM103" i="13"/>
  <c r="K73" i="13"/>
  <c r="K43" i="13"/>
  <c r="AQ60" i="13"/>
  <c r="AR60" i="13" s="1"/>
  <c r="AS60" i="13" s="1"/>
  <c r="AP102" i="13"/>
  <c r="AQ19" i="13"/>
  <c r="AR19" i="13" s="1"/>
  <c r="AS19" i="13" s="1"/>
  <c r="AP104" i="13"/>
  <c r="K66" i="13"/>
  <c r="K18" i="13"/>
  <c r="AP103" i="13"/>
  <c r="BE27" i="13"/>
  <c r="AB44" i="11" s="1"/>
  <c r="AQ98" i="13"/>
  <c r="AR98" i="13" s="1"/>
  <c r="AS98" i="13" s="1"/>
  <c r="G99" i="5" s="1"/>
  <c r="G99" i="21" s="1"/>
  <c r="AP31" i="13"/>
  <c r="AQ32" i="13"/>
  <c r="BM45" i="13"/>
  <c r="BM48" i="13"/>
  <c r="C98" i="21"/>
  <c r="C96" i="21"/>
  <c r="C99" i="21"/>
  <c r="C95" i="5"/>
  <c r="AR15" i="13"/>
  <c r="AS15" i="13" s="1"/>
  <c r="C93" i="5"/>
  <c r="C97" i="5"/>
  <c r="C92" i="5"/>
  <c r="BL78" i="13"/>
  <c r="BL45" i="13"/>
  <c r="K9" i="13"/>
  <c r="C7" i="16" s="1"/>
  <c r="K50" i="13"/>
  <c r="C48" i="16" s="1"/>
  <c r="AQ34" i="13"/>
  <c r="AP69" i="13"/>
  <c r="AQ92" i="13"/>
  <c r="AQ47" i="13"/>
  <c r="AQ36" i="13"/>
  <c r="AX63" i="13"/>
  <c r="AY63" i="13" s="1"/>
  <c r="G14" i="16"/>
  <c r="AU61" i="13"/>
  <c r="AV61" i="13" s="1"/>
  <c r="C95" i="21"/>
  <c r="P9" i="13"/>
  <c r="AR63" i="13"/>
  <c r="AS63" i="13" s="1"/>
  <c r="AQ96" i="13"/>
  <c r="AQ90" i="13"/>
  <c r="AQ83" i="13"/>
  <c r="AR83" i="13" s="1"/>
  <c r="AS83" i="13" s="1"/>
  <c r="G84" i="5" s="1"/>
  <c r="G84" i="21" s="1"/>
  <c r="AQ78" i="13"/>
  <c r="AQ74" i="13"/>
  <c r="AQ68" i="13"/>
  <c r="AQ54" i="13"/>
  <c r="AQ39" i="13"/>
  <c r="AQ31" i="13"/>
  <c r="AQ23" i="13"/>
  <c r="AR23" i="13" s="1"/>
  <c r="AS23" i="13" s="1"/>
  <c r="G23" i="5" s="1"/>
  <c r="G23" i="21" s="1"/>
  <c r="AP12" i="13"/>
  <c r="K93" i="13"/>
  <c r="C91" i="16" s="1"/>
  <c r="AQ33" i="13"/>
  <c r="AQ12" i="13"/>
  <c r="AQ95" i="13"/>
  <c r="AQ86" i="13"/>
  <c r="AQ82" i="13"/>
  <c r="AQ77" i="13"/>
  <c r="AQ67" i="13"/>
  <c r="AQ53" i="13"/>
  <c r="AQ45" i="13"/>
  <c r="AQ38" i="13"/>
  <c r="AX38" i="13" s="1"/>
  <c r="AY38" i="13" s="1"/>
  <c r="AO27" i="13"/>
  <c r="AQ11" i="13"/>
  <c r="G89" i="13"/>
  <c r="AQ94" i="13"/>
  <c r="AQ70" i="13"/>
  <c r="AO32" i="13"/>
  <c r="AQ10" i="13"/>
  <c r="G73" i="13"/>
  <c r="AQ93" i="13"/>
  <c r="AQ85" i="13"/>
  <c r="AQ76" i="13"/>
  <c r="AQ62" i="13"/>
  <c r="AQ56" i="13"/>
  <c r="AX56" i="13" s="1"/>
  <c r="AY56" i="13" s="1"/>
  <c r="AQ49" i="13"/>
  <c r="AQ37" i="13"/>
  <c r="AU37" i="13" s="1"/>
  <c r="AV37" i="13" s="1"/>
  <c r="AP32" i="13"/>
  <c r="AQ26" i="13"/>
  <c r="AO20" i="13"/>
  <c r="AQ97" i="13"/>
  <c r="AQ91" i="13"/>
  <c r="AQ84" i="13"/>
  <c r="AX84" i="13" s="1"/>
  <c r="AY84" i="13" s="1"/>
  <c r="AQ75" i="13"/>
  <c r="AQ69" i="13"/>
  <c r="AQ55" i="13"/>
  <c r="AU55" i="13" s="1"/>
  <c r="AV55" i="13" s="1"/>
  <c r="AQ40" i="13"/>
  <c r="AQ35" i="13"/>
  <c r="AQ24" i="13"/>
  <c r="AQ20" i="13"/>
  <c r="AQ13" i="13"/>
  <c r="AU19" i="13"/>
  <c r="AV19" i="13" s="1"/>
  <c r="F73" i="13"/>
  <c r="K41" i="13"/>
  <c r="C39" i="16" s="1"/>
  <c r="AP27" i="13"/>
  <c r="G66" i="13"/>
  <c r="K14" i="13"/>
  <c r="C12" i="16" s="1"/>
  <c r="AX19" i="13"/>
  <c r="AY19" i="13" s="1"/>
  <c r="K85" i="13"/>
  <c r="C83" i="16" s="1"/>
  <c r="AP53" i="13"/>
  <c r="AQ46" i="13"/>
  <c r="AP34" i="13"/>
  <c r="AQ27" i="13"/>
  <c r="AQ22" i="13"/>
  <c r="AN12" i="13"/>
  <c r="G43" i="13"/>
  <c r="G30" i="13"/>
  <c r="K87" i="13"/>
  <c r="C85" i="16" s="1"/>
  <c r="K23" i="13"/>
  <c r="C21" i="16" s="1"/>
  <c r="K40" i="13"/>
  <c r="K10" i="13"/>
  <c r="Q10" i="13" s="1"/>
  <c r="K35" i="13"/>
  <c r="L35" i="13" s="1"/>
  <c r="Q35" i="13" s="1"/>
  <c r="R35" i="13" s="1"/>
  <c r="I73" i="13"/>
  <c r="I81" i="13"/>
  <c r="K57" i="13"/>
  <c r="C55" i="16" s="1"/>
  <c r="K92" i="13"/>
  <c r="C90" i="16" s="1"/>
  <c r="K84" i="13"/>
  <c r="C82" i="16" s="1"/>
  <c r="K63" i="13"/>
  <c r="C61" i="16" s="1"/>
  <c r="K56" i="13"/>
  <c r="C54" i="16" s="1"/>
  <c r="AQ48" i="13"/>
  <c r="AQ44" i="13"/>
  <c r="AX44" i="13" s="1"/>
  <c r="AY44" i="13" s="1"/>
  <c r="K44" i="13"/>
  <c r="C42" i="16" s="1"/>
  <c r="K39" i="13"/>
  <c r="C37" i="16" s="1"/>
  <c r="K34" i="13"/>
  <c r="C32" i="16" s="1"/>
  <c r="K22" i="13"/>
  <c r="C20" i="16" s="1"/>
  <c r="AP13" i="13"/>
  <c r="AP11" i="13"/>
  <c r="K13" i="13"/>
  <c r="C11" i="16" s="1"/>
  <c r="F89" i="13"/>
  <c r="F66" i="13"/>
  <c r="G18" i="13"/>
  <c r="G85" i="16"/>
  <c r="K16" i="13"/>
  <c r="C14" i="16" s="1"/>
  <c r="AX61" i="13"/>
  <c r="AY61" i="13" s="1"/>
  <c r="K28" i="13"/>
  <c r="C26" i="16" s="1"/>
  <c r="K99" i="13"/>
  <c r="C97" i="16" s="1"/>
  <c r="F106" i="13"/>
  <c r="K98" i="13"/>
  <c r="C96" i="16" s="1"/>
  <c r="E96" i="16" s="1"/>
  <c r="H96" i="16" s="1"/>
  <c r="K91" i="13"/>
  <c r="C89" i="16" s="1"/>
  <c r="K78" i="13"/>
  <c r="C76" i="16" s="1"/>
  <c r="K70" i="13"/>
  <c r="C68" i="16" s="1"/>
  <c r="K104" i="13"/>
  <c r="R104" i="13" s="1"/>
  <c r="D63" i="5" s="1"/>
  <c r="K62" i="13"/>
  <c r="K55" i="13"/>
  <c r="K49" i="13"/>
  <c r="K38" i="13"/>
  <c r="C36" i="16" s="1"/>
  <c r="K33" i="13"/>
  <c r="C31" i="16" s="1"/>
  <c r="E89" i="13"/>
  <c r="G52" i="13"/>
  <c r="F18" i="13"/>
  <c r="G48" i="16"/>
  <c r="K97" i="13"/>
  <c r="C95" i="16" s="1"/>
  <c r="K90" i="13"/>
  <c r="C88" i="16" s="1"/>
  <c r="K83" i="13"/>
  <c r="K77" i="13"/>
  <c r="C75" i="16" s="1"/>
  <c r="K69" i="13"/>
  <c r="C67" i="16" s="1"/>
  <c r="K54" i="13"/>
  <c r="C52" i="16" s="1"/>
  <c r="K48" i="13"/>
  <c r="C46" i="16" s="1"/>
  <c r="K37" i="13"/>
  <c r="C35" i="16" s="1"/>
  <c r="K32" i="13"/>
  <c r="C30" i="16" s="1"/>
  <c r="K102" i="13"/>
  <c r="R102" i="13" s="1"/>
  <c r="D19" i="5" s="1"/>
  <c r="K12" i="13"/>
  <c r="C10" i="16" s="1"/>
  <c r="K45" i="13"/>
  <c r="C43" i="16" s="1"/>
  <c r="F52" i="13"/>
  <c r="E18" i="13"/>
  <c r="K64" i="13"/>
  <c r="C62" i="16" s="1"/>
  <c r="K71" i="13"/>
  <c r="C69" i="16" s="1"/>
  <c r="K79" i="13"/>
  <c r="C77" i="16" s="1"/>
  <c r="H106" i="13"/>
  <c r="E101" i="13"/>
  <c r="K76" i="13"/>
  <c r="K68" i="13"/>
  <c r="C66" i="16" s="1"/>
  <c r="K61" i="13"/>
  <c r="C59" i="16" s="1"/>
  <c r="K53" i="13"/>
  <c r="C51" i="16" s="1"/>
  <c r="K31" i="13"/>
  <c r="C29" i="16" s="1"/>
  <c r="AQ25" i="13"/>
  <c r="AQ21" i="13"/>
  <c r="K21" i="13"/>
  <c r="L21" i="13" s="1"/>
  <c r="AM12" i="13"/>
  <c r="K11" i="13"/>
  <c r="C9" i="16" s="1"/>
  <c r="G81" i="13"/>
  <c r="E52" i="13"/>
  <c r="G106" i="13"/>
  <c r="C97" i="21"/>
  <c r="C93" i="21"/>
  <c r="I106" i="13"/>
  <c r="K96" i="13"/>
  <c r="C94" i="16" s="1"/>
  <c r="K67" i="13"/>
  <c r="C65" i="16" s="1"/>
  <c r="K60" i="13"/>
  <c r="C58" i="16" s="1"/>
  <c r="K47" i="13"/>
  <c r="K27" i="13"/>
  <c r="C25" i="16" s="1"/>
  <c r="K26" i="13"/>
  <c r="C24" i="16" s="1"/>
  <c r="F81" i="13"/>
  <c r="K95" i="13"/>
  <c r="C93" i="16" s="1"/>
  <c r="K82" i="13"/>
  <c r="K75" i="13"/>
  <c r="C73" i="16" s="1"/>
  <c r="K103" i="13"/>
  <c r="R103" i="13" s="1"/>
  <c r="D61" i="5" s="1"/>
  <c r="K46" i="13"/>
  <c r="C44" i="16" s="1"/>
  <c r="K36" i="13"/>
  <c r="K20" i="13"/>
  <c r="Q20" i="13" s="1"/>
  <c r="AO12" i="13"/>
  <c r="AQ9" i="13"/>
  <c r="F43" i="13"/>
  <c r="C92" i="21"/>
  <c r="K94" i="13"/>
  <c r="K86" i="13"/>
  <c r="C84" i="16" s="1"/>
  <c r="K74" i="13"/>
  <c r="C72" i="16" s="1"/>
  <c r="K24" i="13"/>
  <c r="C22" i="16" s="1"/>
  <c r="K19" i="13"/>
  <c r="C17" i="16" s="1"/>
  <c r="K15" i="13"/>
  <c r="C13" i="16" s="1"/>
  <c r="K25" i="13"/>
  <c r="E43" i="13"/>
  <c r="C91" i="5"/>
  <c r="C91" i="21"/>
  <c r="AU15" i="13"/>
  <c r="AV15" i="13" s="1"/>
  <c r="C98" i="5"/>
  <c r="C94" i="5"/>
  <c r="BL20" i="13" s="1"/>
  <c r="AU14" i="13"/>
  <c r="AV14" i="13" s="1"/>
  <c r="G77" i="16"/>
  <c r="G26" i="16"/>
  <c r="P19" i="13"/>
  <c r="G39" i="16"/>
  <c r="P34" i="13"/>
  <c r="C96" i="5"/>
  <c r="H52" i="13"/>
  <c r="H18" i="13"/>
  <c r="H89" i="13"/>
  <c r="H66" i="13"/>
  <c r="H43" i="13"/>
  <c r="H81" i="13"/>
  <c r="H59" i="13"/>
  <c r="H30" i="13"/>
  <c r="H73" i="13"/>
  <c r="P60" i="13"/>
  <c r="G62" i="16"/>
  <c r="E106" i="13"/>
  <c r="AX14" i="13"/>
  <c r="AY14" i="13" s="1"/>
  <c r="C99" i="5"/>
  <c r="BM56" i="13" s="1"/>
  <c r="P69" i="13"/>
  <c r="G69" i="16"/>
  <c r="E66" i="13"/>
  <c r="I30" i="13"/>
  <c r="I101" i="13"/>
  <c r="G97" i="16"/>
  <c r="I59" i="13"/>
  <c r="E73" i="13"/>
  <c r="I43" i="13"/>
  <c r="F30" i="13"/>
  <c r="I66" i="13"/>
  <c r="E30" i="13"/>
  <c r="I89" i="13"/>
  <c r="E59" i="13"/>
  <c r="I18" i="13"/>
  <c r="I52" i="13"/>
  <c r="E100" i="21"/>
  <c r="E80" i="21"/>
  <c r="E28" i="21"/>
  <c r="E50" i="21"/>
  <c r="E15" i="21"/>
  <c r="E72" i="21"/>
  <c r="E57" i="21"/>
  <c r="E65" i="21"/>
  <c r="E88" i="21"/>
  <c r="E41" i="21"/>
  <c r="BL56" i="13" l="1"/>
  <c r="BM78" i="13"/>
  <c r="BL25" i="13"/>
  <c r="BM37" i="13"/>
  <c r="BL68" i="13"/>
  <c r="BM68" i="13"/>
  <c r="X19" i="13"/>
  <c r="BL49" i="13"/>
  <c r="BN49" i="13" s="1"/>
  <c r="BM49" i="13"/>
  <c r="BL48" i="13"/>
  <c r="BO48" i="13" s="1"/>
  <c r="BM25" i="13"/>
  <c r="BL37" i="13"/>
  <c r="BL35" i="13"/>
  <c r="BL85" i="13"/>
  <c r="BQ85" i="13" s="1"/>
  <c r="BM33" i="13"/>
  <c r="BL69" i="13"/>
  <c r="BO69" i="13" s="1"/>
  <c r="BM70" i="13"/>
  <c r="BM85" i="13"/>
  <c r="BL70" i="13"/>
  <c r="BQ70" i="13" s="1"/>
  <c r="BL39" i="13"/>
  <c r="BN39" i="13" s="1"/>
  <c r="BU39" i="13" s="1"/>
  <c r="BM62" i="13"/>
  <c r="BL54" i="13"/>
  <c r="BQ54" i="13" s="1"/>
  <c r="BL22" i="13"/>
  <c r="BM54" i="13"/>
  <c r="BM36" i="13"/>
  <c r="BL86" i="13"/>
  <c r="BN86" i="13" s="1"/>
  <c r="BU86" i="13" s="1"/>
  <c r="BM22" i="13"/>
  <c r="BL36" i="13"/>
  <c r="BN36" i="13" s="1"/>
  <c r="BM69" i="13"/>
  <c r="BM35" i="13"/>
  <c r="BM39" i="13"/>
  <c r="BL62" i="13"/>
  <c r="BN62" i="13" s="1"/>
  <c r="BU62" i="13" s="1"/>
  <c r="BL33" i="13"/>
  <c r="BM86" i="13"/>
  <c r="BL84" i="13"/>
  <c r="BN84" i="13" s="1"/>
  <c r="BL38" i="13"/>
  <c r="BQ38" i="13" s="1"/>
  <c r="BL21" i="13"/>
  <c r="BL82" i="13"/>
  <c r="BQ82" i="13" s="1"/>
  <c r="BL53" i="13"/>
  <c r="BN53" i="13" s="1"/>
  <c r="BL67" i="13"/>
  <c r="BN67" i="13" s="1"/>
  <c r="BM23" i="13"/>
  <c r="BM38" i="13"/>
  <c r="BM84" i="13"/>
  <c r="BM12" i="13"/>
  <c r="BM34" i="13"/>
  <c r="BL44" i="13"/>
  <c r="BO44" i="13" s="1"/>
  <c r="BL61" i="13"/>
  <c r="BN61" i="13" s="1"/>
  <c r="BM40" i="13"/>
  <c r="BM103" i="13"/>
  <c r="BM30" i="13"/>
  <c r="BM76" i="13"/>
  <c r="BL9" i="13"/>
  <c r="BN9" i="13" s="1"/>
  <c r="BM27" i="13"/>
  <c r="BM26" i="13"/>
  <c r="X102" i="13"/>
  <c r="AU102" i="13" s="1"/>
  <c r="BG22" i="13" s="1"/>
  <c r="AD39" i="11" s="1"/>
  <c r="BL83" i="13"/>
  <c r="BN83" i="13" s="1"/>
  <c r="BU83" i="13" s="1"/>
  <c r="BL74" i="13"/>
  <c r="BL34" i="13"/>
  <c r="BN34" i="13" s="1"/>
  <c r="BL40" i="13"/>
  <c r="BN40" i="13" s="1"/>
  <c r="BM32" i="13"/>
  <c r="BM21" i="13"/>
  <c r="BM19" i="13"/>
  <c r="BM18" i="13"/>
  <c r="W104" i="13"/>
  <c r="AR104" i="13" s="1"/>
  <c r="AS104" i="13" s="1"/>
  <c r="Y102" i="13"/>
  <c r="AX102" i="13" s="1"/>
  <c r="AY102" i="13" s="1"/>
  <c r="BL55" i="13"/>
  <c r="BN55" i="13" s="1"/>
  <c r="BU55" i="13" s="1"/>
  <c r="BL26" i="13"/>
  <c r="BO26" i="13" s="1"/>
  <c r="BL32" i="13"/>
  <c r="BN32" i="13" s="1"/>
  <c r="BU32" i="13" s="1"/>
  <c r="BL31" i="13"/>
  <c r="BO31" i="13" s="1"/>
  <c r="BM24" i="13"/>
  <c r="BM81" i="13"/>
  <c r="BM13" i="13"/>
  <c r="BM60" i="13"/>
  <c r="BM83" i="13"/>
  <c r="BM10" i="13"/>
  <c r="BM11" i="13"/>
  <c r="BL46" i="13"/>
  <c r="BN46" i="13" s="1"/>
  <c r="BL27" i="13"/>
  <c r="BQ27" i="13" s="1"/>
  <c r="BL60" i="13"/>
  <c r="BN60" i="13" s="1"/>
  <c r="BL23" i="13"/>
  <c r="BN23" i="13" s="1"/>
  <c r="BM104" i="13"/>
  <c r="BM102" i="13"/>
  <c r="BM52" i="13"/>
  <c r="BM75" i="13"/>
  <c r="BL19" i="13"/>
  <c r="BL10" i="13"/>
  <c r="BN10" i="13" s="1"/>
  <c r="BL75" i="13"/>
  <c r="BQ75" i="13" s="1"/>
  <c r="BL24" i="13"/>
  <c r="BN24" i="13" s="1"/>
  <c r="BL13" i="13"/>
  <c r="BM31" i="13"/>
  <c r="BM77" i="13"/>
  <c r="BM55" i="13"/>
  <c r="BM44" i="13"/>
  <c r="BM67" i="13"/>
  <c r="BM82" i="13"/>
  <c r="BM9" i="13"/>
  <c r="BM47" i="13"/>
  <c r="BM59" i="13"/>
  <c r="BM74" i="13"/>
  <c r="Y19" i="13"/>
  <c r="BL47" i="13"/>
  <c r="BN47" i="13" s="1"/>
  <c r="BL11" i="13"/>
  <c r="BO11" i="13" s="1"/>
  <c r="BL12" i="13"/>
  <c r="BO12" i="13" s="1"/>
  <c r="BL77" i="13"/>
  <c r="BN77" i="13" s="1"/>
  <c r="BL76" i="13"/>
  <c r="BM46" i="13"/>
  <c r="BM61" i="13"/>
  <c r="BM53" i="13"/>
  <c r="BM20" i="13"/>
  <c r="BM43" i="13"/>
  <c r="BM66" i="13"/>
  <c r="AU60" i="13"/>
  <c r="AV60" i="13" s="1"/>
  <c r="AU98" i="13"/>
  <c r="AV98" i="13" s="1"/>
  <c r="AX60" i="13"/>
  <c r="AY60" i="13" s="1"/>
  <c r="AX98" i="13"/>
  <c r="AY98" i="13" s="1"/>
  <c r="Q92" i="13"/>
  <c r="R92" i="13" s="1"/>
  <c r="E90" i="16" s="1"/>
  <c r="H90" i="16" s="1"/>
  <c r="AR55" i="13"/>
  <c r="AS55" i="13" s="1"/>
  <c r="G55" i="5" s="1"/>
  <c r="G55" i="21" s="1"/>
  <c r="R10" i="13"/>
  <c r="BL80" i="13"/>
  <c r="BO80" i="13" s="1"/>
  <c r="Q63" i="13"/>
  <c r="R63" i="13" s="1"/>
  <c r="Q34" i="13"/>
  <c r="BM96" i="13"/>
  <c r="BM80" i="13"/>
  <c r="BM16" i="13"/>
  <c r="BM63" i="13"/>
  <c r="BM29" i="13"/>
  <c r="BM50" i="13"/>
  <c r="BL42" i="13"/>
  <c r="BO42" i="13" s="1"/>
  <c r="BM95" i="13"/>
  <c r="BM72" i="13"/>
  <c r="BM57" i="13"/>
  <c r="BM17" i="13"/>
  <c r="BM101" i="13"/>
  <c r="BM28" i="13"/>
  <c r="BM73" i="13"/>
  <c r="BM42" i="13"/>
  <c r="BM92" i="13"/>
  <c r="BM64" i="13"/>
  <c r="BM97" i="13"/>
  <c r="BM71" i="13"/>
  <c r="BM89" i="13"/>
  <c r="BM51" i="13"/>
  <c r="BM99" i="13"/>
  <c r="BL41" i="13"/>
  <c r="BN41" i="13" s="1"/>
  <c r="BM15" i="13"/>
  <c r="BM94" i="13"/>
  <c r="BM93" i="13"/>
  <c r="BM65" i="13"/>
  <c r="BM79" i="13"/>
  <c r="BL63" i="13"/>
  <c r="BN63" i="13" s="1"/>
  <c r="BM91" i="13"/>
  <c r="BM41" i="13"/>
  <c r="BM100" i="13"/>
  <c r="BM98" i="13"/>
  <c r="BM88" i="13"/>
  <c r="BM87" i="13"/>
  <c r="BM14" i="13"/>
  <c r="BM58" i="13"/>
  <c r="BM90" i="13"/>
  <c r="AR44" i="13"/>
  <c r="AS44" i="13" s="1"/>
  <c r="G44" i="5" s="1"/>
  <c r="G44" i="21" s="1"/>
  <c r="Q14" i="13"/>
  <c r="R14" i="13" s="1"/>
  <c r="BL100" i="13"/>
  <c r="BL71" i="13"/>
  <c r="BN78" i="13"/>
  <c r="BQ78" i="13"/>
  <c r="BO78" i="13"/>
  <c r="BO61" i="13"/>
  <c r="BL14" i="13"/>
  <c r="R34" i="13"/>
  <c r="D34" i="5" s="1"/>
  <c r="AU23" i="13"/>
  <c r="AV23" i="13" s="1"/>
  <c r="BL28" i="13"/>
  <c r="BL92" i="13"/>
  <c r="BN20" i="13"/>
  <c r="BU20" i="13" s="1"/>
  <c r="BL72" i="13"/>
  <c r="BL96" i="13"/>
  <c r="BN75" i="13"/>
  <c r="BL51" i="13"/>
  <c r="BL87" i="13"/>
  <c r="BL57" i="13"/>
  <c r="BN74" i="13"/>
  <c r="BQ74" i="13"/>
  <c r="BO74" i="13"/>
  <c r="BL50" i="13"/>
  <c r="BL93" i="13"/>
  <c r="BL58" i="13"/>
  <c r="BL15" i="13"/>
  <c r="BN33" i="13"/>
  <c r="BQ33" i="13"/>
  <c r="Q96" i="13"/>
  <c r="R96" i="13" s="1"/>
  <c r="W96" i="13" s="1"/>
  <c r="BL64" i="13"/>
  <c r="BL65" i="13"/>
  <c r="BN45" i="13"/>
  <c r="BQ45" i="13"/>
  <c r="BO45" i="13"/>
  <c r="BN56" i="13"/>
  <c r="BQ56" i="13"/>
  <c r="BO56" i="13"/>
  <c r="BN35" i="13"/>
  <c r="BU35" i="13" s="1"/>
  <c r="BQ35" i="13"/>
  <c r="BL97" i="13"/>
  <c r="BN25" i="13"/>
  <c r="BQ25" i="13"/>
  <c r="BO25" i="13"/>
  <c r="BL95" i="13"/>
  <c r="BN31" i="13"/>
  <c r="BQ31" i="13"/>
  <c r="BL29" i="13"/>
  <c r="BL98" i="13"/>
  <c r="BL88" i="13"/>
  <c r="BL16" i="13"/>
  <c r="BL94" i="13"/>
  <c r="BN22" i="13"/>
  <c r="BU22" i="13" s="1"/>
  <c r="BQ22" i="13"/>
  <c r="BN68" i="13"/>
  <c r="BO68" i="13"/>
  <c r="BO47" i="13"/>
  <c r="BO46" i="13"/>
  <c r="BL99" i="13"/>
  <c r="BL90" i="13"/>
  <c r="BL17" i="13"/>
  <c r="BL79" i="13"/>
  <c r="BN13" i="13"/>
  <c r="BO13" i="13"/>
  <c r="BN48" i="13"/>
  <c r="BQ48" i="13"/>
  <c r="BN21" i="13"/>
  <c r="BU21" i="13" s="1"/>
  <c r="BQ21" i="13"/>
  <c r="BN37" i="13"/>
  <c r="BQ37" i="13"/>
  <c r="BO37" i="13"/>
  <c r="BL91" i="13"/>
  <c r="BN19" i="13"/>
  <c r="BU19" i="13" s="1"/>
  <c r="BQ19" i="13"/>
  <c r="BN76" i="13"/>
  <c r="BO76" i="13"/>
  <c r="BQ76" i="13"/>
  <c r="Y103" i="13"/>
  <c r="AX103" i="13" s="1"/>
  <c r="AY103" i="13" s="1"/>
  <c r="Q27" i="13"/>
  <c r="R27" i="13" s="1"/>
  <c r="D27" i="5" s="1"/>
  <c r="Q75" i="13"/>
  <c r="R75" i="13" s="1"/>
  <c r="D76" i="5" s="1"/>
  <c r="Q70" i="13"/>
  <c r="R70" i="13" s="1"/>
  <c r="X70" i="13" s="1"/>
  <c r="C33" i="16"/>
  <c r="AR84" i="13"/>
  <c r="AS84" i="13" s="1"/>
  <c r="G85" i="5" s="1"/>
  <c r="G85" i="21" s="1"/>
  <c r="C81" i="16"/>
  <c r="L83" i="13"/>
  <c r="Q83" i="13" s="1"/>
  <c r="R83" i="13" s="1"/>
  <c r="D84" i="5" s="1"/>
  <c r="AU84" i="13"/>
  <c r="AV84" i="13" s="1"/>
  <c r="C80" i="16"/>
  <c r="M82" i="13"/>
  <c r="AX83" i="13"/>
  <c r="AY83" i="13" s="1"/>
  <c r="AU83" i="13"/>
  <c r="AV83" i="13" s="1"/>
  <c r="Q93" i="13"/>
  <c r="R93" i="13" s="1"/>
  <c r="W93" i="13" s="1"/>
  <c r="Q68" i="13"/>
  <c r="R68" i="13" s="1"/>
  <c r="AR36" i="13"/>
  <c r="AS36" i="13" s="1"/>
  <c r="G36" i="5" s="1"/>
  <c r="G36" i="21" s="1"/>
  <c r="AX36" i="13"/>
  <c r="AY36" i="13" s="1"/>
  <c r="AU36" i="13"/>
  <c r="AV36" i="13" s="1"/>
  <c r="AU44" i="13"/>
  <c r="AV44" i="13" s="1"/>
  <c r="AR47" i="13"/>
  <c r="AS47" i="13" s="1"/>
  <c r="G47" i="5" s="1"/>
  <c r="G47" i="21" s="1"/>
  <c r="AU47" i="13"/>
  <c r="AV47" i="13" s="1"/>
  <c r="AX47" i="13"/>
  <c r="AY47" i="13" s="1"/>
  <c r="Q85" i="13"/>
  <c r="R85" i="13" s="1"/>
  <c r="D86" i="5" s="1"/>
  <c r="AR92" i="13"/>
  <c r="AS92" i="13" s="1"/>
  <c r="G93" i="5" s="1"/>
  <c r="G93" i="21" s="1"/>
  <c r="AU92" i="13"/>
  <c r="AV92" i="13" s="1"/>
  <c r="AX92" i="13"/>
  <c r="AY92" i="13" s="1"/>
  <c r="W103" i="13"/>
  <c r="AR103" i="13" s="1"/>
  <c r="AS103" i="13" s="1"/>
  <c r="G61" i="5" s="1"/>
  <c r="G61" i="21" s="1"/>
  <c r="BH22" i="13"/>
  <c r="AE39" i="11" s="1"/>
  <c r="AV102" i="13"/>
  <c r="X104" i="13"/>
  <c r="AU104" i="13" s="1"/>
  <c r="AV104" i="13" s="1"/>
  <c r="X103" i="13"/>
  <c r="AU103" i="13" s="1"/>
  <c r="W102" i="13"/>
  <c r="AR102" i="13" s="1"/>
  <c r="AS102" i="13" s="1"/>
  <c r="Y104" i="13"/>
  <c r="AX104" i="13" s="1"/>
  <c r="AY104" i="13" s="1"/>
  <c r="Q77" i="13"/>
  <c r="R77" i="13" s="1"/>
  <c r="X77" i="13" s="1"/>
  <c r="Q61" i="13"/>
  <c r="R61" i="13" s="1"/>
  <c r="Q74" i="13"/>
  <c r="R74" i="13" s="1"/>
  <c r="AX55" i="13"/>
  <c r="AY55" i="13" s="1"/>
  <c r="Q45" i="13"/>
  <c r="R45" i="13" s="1"/>
  <c r="W45" i="13" s="1"/>
  <c r="AX23" i="13"/>
  <c r="AY23" i="13" s="1"/>
  <c r="AR93" i="13"/>
  <c r="AS93" i="13" s="1"/>
  <c r="G94" i="5" s="1"/>
  <c r="G94" i="21" s="1"/>
  <c r="AX93" i="13"/>
  <c r="AY93" i="13" s="1"/>
  <c r="AU93" i="13"/>
  <c r="AV93" i="13" s="1"/>
  <c r="AU95" i="13"/>
  <c r="AV95" i="13" s="1"/>
  <c r="AR95" i="13"/>
  <c r="AS95" i="13" s="1"/>
  <c r="G96" i="5" s="1"/>
  <c r="G96" i="21" s="1"/>
  <c r="AX95" i="13"/>
  <c r="AY95" i="13" s="1"/>
  <c r="AR54" i="13"/>
  <c r="AS54" i="13" s="1"/>
  <c r="G54" i="5" s="1"/>
  <c r="G54" i="21" s="1"/>
  <c r="AX54" i="13"/>
  <c r="AY54" i="13" s="1"/>
  <c r="AU54" i="13"/>
  <c r="AV54" i="13" s="1"/>
  <c r="Q32" i="13"/>
  <c r="R32" i="13" s="1"/>
  <c r="AR38" i="13"/>
  <c r="AS38" i="13" s="1"/>
  <c r="G38" i="5" s="1"/>
  <c r="G38" i="21" s="1"/>
  <c r="AU38" i="13"/>
  <c r="AV38" i="13" s="1"/>
  <c r="AR68" i="13"/>
  <c r="AS68" i="13" s="1"/>
  <c r="G69" i="5" s="1"/>
  <c r="G69" i="21" s="1"/>
  <c r="AX68" i="13"/>
  <c r="AY68" i="13" s="1"/>
  <c r="AU68" i="13"/>
  <c r="AV68" i="13" s="1"/>
  <c r="AR37" i="13"/>
  <c r="AS37" i="13" s="1"/>
  <c r="G37" i="5" s="1"/>
  <c r="G37" i="21" s="1"/>
  <c r="AX37" i="13"/>
  <c r="AY37" i="13" s="1"/>
  <c r="AR10" i="13"/>
  <c r="AS10" i="13" s="1"/>
  <c r="G11" i="5" s="1"/>
  <c r="G11" i="21" s="1"/>
  <c r="AX10" i="13"/>
  <c r="AY10" i="13" s="1"/>
  <c r="AU10" i="13"/>
  <c r="AV10" i="13" s="1"/>
  <c r="AR45" i="13"/>
  <c r="AS45" i="13" s="1"/>
  <c r="G45" i="5" s="1"/>
  <c r="G45" i="21" s="1"/>
  <c r="AU45" i="13"/>
  <c r="AV45" i="13" s="1"/>
  <c r="AX45" i="13"/>
  <c r="AY45" i="13" s="1"/>
  <c r="AR33" i="13"/>
  <c r="AS33" i="13" s="1"/>
  <c r="G33" i="5" s="1"/>
  <c r="G33" i="21" s="1"/>
  <c r="AU33" i="13"/>
  <c r="AV33" i="13" s="1"/>
  <c r="AX33" i="13"/>
  <c r="AY33" i="13" s="1"/>
  <c r="AR74" i="13"/>
  <c r="AS74" i="13" s="1"/>
  <c r="G75" i="5" s="1"/>
  <c r="G75" i="21" s="1"/>
  <c r="AU74" i="13"/>
  <c r="AV74" i="13" s="1"/>
  <c r="AX74" i="13"/>
  <c r="AY74" i="13" s="1"/>
  <c r="Q97" i="13"/>
  <c r="R97" i="13" s="1"/>
  <c r="AR75" i="13"/>
  <c r="AS75" i="13" s="1"/>
  <c r="G76" i="5" s="1"/>
  <c r="G76" i="21" s="1"/>
  <c r="AU75" i="13"/>
  <c r="AV75" i="13" s="1"/>
  <c r="AX75" i="13"/>
  <c r="AY75" i="13" s="1"/>
  <c r="AR49" i="13"/>
  <c r="AS49" i="13" s="1"/>
  <c r="G49" i="5" s="1"/>
  <c r="G49" i="21" s="1"/>
  <c r="AX49" i="13"/>
  <c r="AY49" i="13" s="1"/>
  <c r="AU49" i="13"/>
  <c r="AV49" i="13" s="1"/>
  <c r="AX78" i="13"/>
  <c r="AY78" i="13" s="1"/>
  <c r="AU78" i="13"/>
  <c r="AV78" i="13" s="1"/>
  <c r="AR78" i="13"/>
  <c r="AS78" i="13" s="1"/>
  <c r="G79" i="5" s="1"/>
  <c r="G79" i="21" s="1"/>
  <c r="R20" i="13"/>
  <c r="Q24" i="13"/>
  <c r="R24" i="13" s="1"/>
  <c r="X24" i="13" s="1"/>
  <c r="Q13" i="13"/>
  <c r="R13" i="13" s="1"/>
  <c r="E11" i="16" s="1"/>
  <c r="H11" i="16" s="1"/>
  <c r="AR56" i="13"/>
  <c r="AS56" i="13" s="1"/>
  <c r="G56" i="5" s="1"/>
  <c r="G56" i="21" s="1"/>
  <c r="AU56" i="13"/>
  <c r="AV56" i="13" s="1"/>
  <c r="AR70" i="13"/>
  <c r="AS70" i="13" s="1"/>
  <c r="G71" i="5" s="1"/>
  <c r="G71" i="21" s="1"/>
  <c r="AU70" i="13"/>
  <c r="AV70" i="13" s="1"/>
  <c r="AX70" i="13"/>
  <c r="AY70" i="13" s="1"/>
  <c r="AR91" i="13"/>
  <c r="AS91" i="13" s="1"/>
  <c r="G92" i="5" s="1"/>
  <c r="G92" i="21" s="1"/>
  <c r="AX91" i="13"/>
  <c r="AY91" i="13" s="1"/>
  <c r="AU91" i="13"/>
  <c r="AV91" i="13" s="1"/>
  <c r="AR62" i="13"/>
  <c r="AS62" i="13" s="1"/>
  <c r="G64" i="5" s="1"/>
  <c r="G64" i="21" s="1"/>
  <c r="AX62" i="13"/>
  <c r="AY62" i="13" s="1"/>
  <c r="AU62" i="13"/>
  <c r="AV62" i="13" s="1"/>
  <c r="AR94" i="13"/>
  <c r="AS94" i="13" s="1"/>
  <c r="G95" i="5" s="1"/>
  <c r="G95" i="21" s="1"/>
  <c r="AX94" i="13"/>
  <c r="AY94" i="13" s="1"/>
  <c r="AU94" i="13"/>
  <c r="AV94" i="13" s="1"/>
  <c r="AR77" i="13"/>
  <c r="AS77" i="13" s="1"/>
  <c r="G78" i="5" s="1"/>
  <c r="G78" i="21" s="1"/>
  <c r="AU77" i="13"/>
  <c r="AV77" i="13" s="1"/>
  <c r="AX77" i="13"/>
  <c r="AY77" i="13" s="1"/>
  <c r="AU90" i="13"/>
  <c r="AV90" i="13" s="1"/>
  <c r="AX90" i="13"/>
  <c r="AY90" i="13" s="1"/>
  <c r="AR90" i="13"/>
  <c r="AS90" i="13" s="1"/>
  <c r="G91" i="5" s="1"/>
  <c r="G91" i="21" s="1"/>
  <c r="Q86" i="13"/>
  <c r="R86" i="13" s="1"/>
  <c r="AR24" i="13"/>
  <c r="AS24" i="13" s="1"/>
  <c r="G24" i="5" s="1"/>
  <c r="G24" i="21" s="1"/>
  <c r="AU24" i="13"/>
  <c r="AV24" i="13" s="1"/>
  <c r="AX24" i="13"/>
  <c r="AY24" i="13" s="1"/>
  <c r="AR97" i="13"/>
  <c r="AS97" i="13" s="1"/>
  <c r="G98" i="5" s="1"/>
  <c r="G98" i="21" s="1"/>
  <c r="AX97" i="13"/>
  <c r="AY97" i="13" s="1"/>
  <c r="AU97" i="13"/>
  <c r="AV97" i="13" s="1"/>
  <c r="AR76" i="13"/>
  <c r="AS76" i="13" s="1"/>
  <c r="G77" i="5" s="1"/>
  <c r="G77" i="21" s="1"/>
  <c r="AU76" i="13"/>
  <c r="AV76" i="13" s="1"/>
  <c r="AX76" i="13"/>
  <c r="AY76" i="13" s="1"/>
  <c r="AR82" i="13"/>
  <c r="AS82" i="13" s="1"/>
  <c r="G83" i="5" s="1"/>
  <c r="G83" i="21" s="1"/>
  <c r="AX82" i="13"/>
  <c r="AY82" i="13" s="1"/>
  <c r="AU82" i="13"/>
  <c r="AV82" i="13" s="1"/>
  <c r="AX96" i="13"/>
  <c r="AY96" i="13" s="1"/>
  <c r="AU96" i="13"/>
  <c r="AV96" i="13" s="1"/>
  <c r="AR96" i="13"/>
  <c r="AS96" i="13" s="1"/>
  <c r="G97" i="5" s="1"/>
  <c r="G97" i="21" s="1"/>
  <c r="C18" i="16"/>
  <c r="Q56" i="13"/>
  <c r="R56" i="13" s="1"/>
  <c r="D56" i="5" s="1"/>
  <c r="D56" i="21" s="1"/>
  <c r="AB56" i="21" s="1"/>
  <c r="AR35" i="13"/>
  <c r="AS35" i="13" s="1"/>
  <c r="G35" i="5" s="1"/>
  <c r="G35" i="21" s="1"/>
  <c r="AX35" i="13"/>
  <c r="AY35" i="13" s="1"/>
  <c r="AU35" i="13"/>
  <c r="AV35" i="13" s="1"/>
  <c r="AR85" i="13"/>
  <c r="AS85" i="13" s="1"/>
  <c r="G86" i="5" s="1"/>
  <c r="G86" i="21" s="1"/>
  <c r="AX85" i="13"/>
  <c r="AY85" i="13" s="1"/>
  <c r="AU85" i="13"/>
  <c r="AV85" i="13" s="1"/>
  <c r="AR86" i="13"/>
  <c r="AS86" i="13" s="1"/>
  <c r="G87" i="5" s="1"/>
  <c r="G87" i="21" s="1"/>
  <c r="AU86" i="13"/>
  <c r="AV86" i="13" s="1"/>
  <c r="AX86" i="13"/>
  <c r="AY86" i="13" s="1"/>
  <c r="AR39" i="13"/>
  <c r="AS39" i="13" s="1"/>
  <c r="G39" i="5" s="1"/>
  <c r="G39" i="21" s="1"/>
  <c r="AU39" i="13"/>
  <c r="AV39" i="13" s="1"/>
  <c r="AX39" i="13"/>
  <c r="AY39" i="13" s="1"/>
  <c r="Q22" i="13"/>
  <c r="R22" i="13" s="1"/>
  <c r="C8" i="16"/>
  <c r="Q40" i="13"/>
  <c r="R40" i="13" s="1"/>
  <c r="C38" i="16"/>
  <c r="AR46" i="13"/>
  <c r="AS46" i="13" s="1"/>
  <c r="G46" i="5" s="1"/>
  <c r="G46" i="21" s="1"/>
  <c r="AU46" i="13"/>
  <c r="AV46" i="13" s="1"/>
  <c r="AX46" i="13"/>
  <c r="AY46" i="13" s="1"/>
  <c r="Q12" i="13"/>
  <c r="R12" i="13" s="1"/>
  <c r="D13" i="5" s="1"/>
  <c r="Q78" i="13"/>
  <c r="R78" i="13" s="1"/>
  <c r="W78" i="13" s="1"/>
  <c r="Q31" i="13"/>
  <c r="R31" i="13" s="1"/>
  <c r="W31" i="13" s="1"/>
  <c r="AR31" i="13" s="1"/>
  <c r="AS31" i="13" s="1"/>
  <c r="G31" i="5" s="1"/>
  <c r="G31" i="21" s="1"/>
  <c r="Q33" i="13"/>
  <c r="R33" i="13" s="1"/>
  <c r="Q23" i="13"/>
  <c r="R23" i="13" s="1"/>
  <c r="Q53" i="13"/>
  <c r="R53" i="13" s="1"/>
  <c r="D53" i="5" s="1"/>
  <c r="Q26" i="13"/>
  <c r="R26" i="13" s="1"/>
  <c r="D26" i="5" s="1"/>
  <c r="Q46" i="13"/>
  <c r="R46" i="13" s="1"/>
  <c r="W46" i="13" s="1"/>
  <c r="Q82" i="13"/>
  <c r="R82" i="13" s="1"/>
  <c r="Q48" i="13"/>
  <c r="R48" i="13" s="1"/>
  <c r="W48" i="13" s="1"/>
  <c r="Q11" i="13"/>
  <c r="R11" i="13" s="1"/>
  <c r="W11" i="13" s="1"/>
  <c r="AR11" i="13" s="1"/>
  <c r="Q44" i="13"/>
  <c r="R44" i="13" s="1"/>
  <c r="Y44" i="13" s="1"/>
  <c r="Q69" i="13"/>
  <c r="R69" i="13" s="1"/>
  <c r="Q15" i="13"/>
  <c r="R15" i="13" s="1"/>
  <c r="U15" i="13" s="1"/>
  <c r="Q60" i="13"/>
  <c r="R60" i="13" s="1"/>
  <c r="Q91" i="13"/>
  <c r="R91" i="13" s="1"/>
  <c r="D92" i="5" s="1"/>
  <c r="AR22" i="13"/>
  <c r="AS22" i="13" s="1"/>
  <c r="G22" i="5" s="1"/>
  <c r="G22" i="21" s="1"/>
  <c r="AU22" i="13"/>
  <c r="AV22" i="13" s="1"/>
  <c r="AX22" i="13"/>
  <c r="AY22" i="13" s="1"/>
  <c r="Q21" i="13"/>
  <c r="R21" i="13" s="1"/>
  <c r="C19" i="16"/>
  <c r="Q49" i="13"/>
  <c r="R49" i="13" s="1"/>
  <c r="Y49" i="13" s="1"/>
  <c r="C47" i="16"/>
  <c r="AR9" i="13"/>
  <c r="AS9" i="13" s="1"/>
  <c r="G10" i="5" s="1"/>
  <c r="G10" i="21" s="1"/>
  <c r="AX9" i="13"/>
  <c r="AY9" i="13" s="1"/>
  <c r="AU9" i="13"/>
  <c r="AV9" i="13" s="1"/>
  <c r="Q76" i="13"/>
  <c r="R76" i="13" s="1"/>
  <c r="C74" i="16"/>
  <c r="AR21" i="13"/>
  <c r="AS21" i="13" s="1"/>
  <c r="G21" i="5" s="1"/>
  <c r="G21" i="21" s="1"/>
  <c r="AX21" i="13"/>
  <c r="AY21" i="13" s="1"/>
  <c r="AU21" i="13"/>
  <c r="AV21" i="13" s="1"/>
  <c r="Q55" i="13"/>
  <c r="R55" i="13" s="1"/>
  <c r="C53" i="16"/>
  <c r="Q98" i="13"/>
  <c r="R98" i="13" s="1"/>
  <c r="Q9" i="13"/>
  <c r="R9" i="13" s="1"/>
  <c r="G98" i="16"/>
  <c r="Q54" i="13"/>
  <c r="R54" i="13" s="1"/>
  <c r="D54" i="5" s="1"/>
  <c r="D54" i="21" s="1"/>
  <c r="AB54" i="21" s="1"/>
  <c r="C34" i="16"/>
  <c r="L36" i="13"/>
  <c r="Q36" i="13" s="1"/>
  <c r="AX25" i="13"/>
  <c r="AY25" i="13" s="1"/>
  <c r="AU25" i="13"/>
  <c r="AV25" i="13" s="1"/>
  <c r="AR25" i="13"/>
  <c r="AS25" i="13" s="1"/>
  <c r="G25" i="5" s="1"/>
  <c r="G25" i="21" s="1"/>
  <c r="Q84" i="13"/>
  <c r="R84" i="13" s="1"/>
  <c r="Q67" i="13"/>
  <c r="R67" i="13" s="1"/>
  <c r="W67" i="13" s="1"/>
  <c r="Q62" i="13"/>
  <c r="R62" i="13" s="1"/>
  <c r="D64" i="5" s="1"/>
  <c r="D64" i="21" s="1"/>
  <c r="AB64" i="21" s="1"/>
  <c r="C60" i="16"/>
  <c r="AR48" i="13"/>
  <c r="AS48" i="13" s="1"/>
  <c r="G48" i="5" s="1"/>
  <c r="G48" i="21" s="1"/>
  <c r="AX48" i="13"/>
  <c r="AY48" i="13" s="1"/>
  <c r="AU48" i="13"/>
  <c r="AV48" i="13" s="1"/>
  <c r="Q19" i="13"/>
  <c r="R19" i="13" s="1"/>
  <c r="Q95" i="13"/>
  <c r="R95" i="13" s="1"/>
  <c r="Q94" i="13"/>
  <c r="R94" i="13" s="1"/>
  <c r="E92" i="16" s="1"/>
  <c r="H92" i="16" s="1"/>
  <c r="C92" i="16"/>
  <c r="Q47" i="13"/>
  <c r="R47" i="13" s="1"/>
  <c r="W47" i="13" s="1"/>
  <c r="C45" i="16"/>
  <c r="D63" i="21"/>
  <c r="AB63" i="21" s="1"/>
  <c r="Y63" i="5"/>
  <c r="K106" i="13"/>
  <c r="F30" i="3" s="1"/>
  <c r="Q25" i="13"/>
  <c r="R25" i="13" s="1"/>
  <c r="C23" i="16"/>
  <c r="D61" i="21"/>
  <c r="AB61" i="21" s="1"/>
  <c r="Y61" i="5"/>
  <c r="L37" i="13"/>
  <c r="Q37" i="13" s="1"/>
  <c r="R37" i="13" s="1"/>
  <c r="Q38" i="13"/>
  <c r="R38" i="13" s="1"/>
  <c r="E36" i="16" s="1"/>
  <c r="H36" i="16" s="1"/>
  <c r="Q39" i="13"/>
  <c r="R39" i="13" s="1"/>
  <c r="D19" i="21"/>
  <c r="AB19" i="21" s="1"/>
  <c r="Y19" i="5"/>
  <c r="Q90" i="13"/>
  <c r="E61" i="16"/>
  <c r="H61" i="16" s="1"/>
  <c r="U63" i="13"/>
  <c r="D11" i="5"/>
  <c r="W10" i="13"/>
  <c r="Y10" i="13"/>
  <c r="X10" i="13"/>
  <c r="E8" i="16"/>
  <c r="H8" i="16" s="1"/>
  <c r="Y93" i="13"/>
  <c r="W13" i="13"/>
  <c r="AR13" i="13" s="1"/>
  <c r="W92" i="13"/>
  <c r="D93" i="5"/>
  <c r="X92" i="13"/>
  <c r="E91" i="16"/>
  <c r="H91" i="16" s="1"/>
  <c r="U14" i="13"/>
  <c r="E12" i="16"/>
  <c r="H12" i="16" s="1"/>
  <c r="X26" i="13"/>
  <c r="AU26" i="13" s="1"/>
  <c r="AV26" i="13" s="1"/>
  <c r="E33" i="16"/>
  <c r="H33" i="16" s="1"/>
  <c r="D35" i="5"/>
  <c r="BQ47" i="13" l="1"/>
  <c r="BO75" i="13"/>
  <c r="BO49" i="13"/>
  <c r="BF32" i="13"/>
  <c r="AC49" i="11" s="1"/>
  <c r="BO23" i="13"/>
  <c r="BN11" i="13"/>
  <c r="BO27" i="13"/>
  <c r="BN44" i="13"/>
  <c r="BO10" i="13"/>
  <c r="BN82" i="13"/>
  <c r="BU82" i="13" s="1"/>
  <c r="Y82" i="13" s="1"/>
  <c r="BQ23" i="13"/>
  <c r="BQ83" i="13"/>
  <c r="BQ49" i="13"/>
  <c r="BO53" i="13"/>
  <c r="BQ69" i="13"/>
  <c r="BQ12" i="13"/>
  <c r="BQ62" i="13"/>
  <c r="BQ24" i="13"/>
  <c r="BO60" i="13"/>
  <c r="BN69" i="13"/>
  <c r="BN12" i="13"/>
  <c r="BO67" i="13"/>
  <c r="BO24" i="13"/>
  <c r="BQ77" i="13"/>
  <c r="BO77" i="13"/>
  <c r="BQ34" i="13"/>
  <c r="BO34" i="13"/>
  <c r="BN85" i="13"/>
  <c r="BU85" i="13" s="1"/>
  <c r="BN27" i="13"/>
  <c r="BQ11" i="13"/>
  <c r="BQ44" i="13"/>
  <c r="BN54" i="13"/>
  <c r="BU54" i="13" s="1"/>
  <c r="W54" i="13" s="1"/>
  <c r="BQ10" i="13"/>
  <c r="Y26" i="13"/>
  <c r="AX26" i="13" s="1"/>
  <c r="AY26" i="13" s="1"/>
  <c r="W26" i="13"/>
  <c r="AR26" i="13" s="1"/>
  <c r="X13" i="13"/>
  <c r="AU13" i="13" s="1"/>
  <c r="E24" i="16"/>
  <c r="H24" i="16" s="1"/>
  <c r="Y13" i="13"/>
  <c r="AX13" i="13" s="1"/>
  <c r="D14" i="5"/>
  <c r="BQ39" i="13"/>
  <c r="BQ9" i="13"/>
  <c r="BO9" i="13"/>
  <c r="BQ32" i="13"/>
  <c r="BQ36" i="13"/>
  <c r="BN38" i="13"/>
  <c r="BU38" i="13" s="1"/>
  <c r="BO36" i="13"/>
  <c r="BO40" i="13"/>
  <c r="BO84" i="13"/>
  <c r="BN70" i="13"/>
  <c r="BN26" i="13"/>
  <c r="BQ84" i="13"/>
  <c r="BQ40" i="13"/>
  <c r="BQ86" i="13"/>
  <c r="BO70" i="13"/>
  <c r="BQ26" i="13"/>
  <c r="BQ55" i="13"/>
  <c r="W32" i="13"/>
  <c r="AR32" i="13" s="1"/>
  <c r="W19" i="13"/>
  <c r="X55" i="13"/>
  <c r="E73" i="16"/>
  <c r="H73" i="16" s="1"/>
  <c r="E44" i="16"/>
  <c r="H44" i="16" s="1"/>
  <c r="Y92" i="13"/>
  <c r="X27" i="13"/>
  <c r="AU27" i="13" s="1"/>
  <c r="AV27" i="13" s="1"/>
  <c r="Y27" i="13"/>
  <c r="AX27" i="13" s="1"/>
  <c r="AY27" i="13" s="1"/>
  <c r="W70" i="13"/>
  <c r="E25" i="16"/>
  <c r="H25" i="16" s="1"/>
  <c r="W27" i="13"/>
  <c r="AR27" i="13" s="1"/>
  <c r="BF25" i="13" s="1"/>
  <c r="AC42" i="11" s="1"/>
  <c r="X75" i="13"/>
  <c r="W34" i="13"/>
  <c r="AR34" i="13" s="1"/>
  <c r="BF28" i="13" s="1"/>
  <c r="AC45" i="11" s="1"/>
  <c r="W75" i="13"/>
  <c r="Y75" i="13"/>
  <c r="X32" i="13"/>
  <c r="AU32" i="13" s="1"/>
  <c r="Y32" i="13"/>
  <c r="AX32" i="13" s="1"/>
  <c r="D71" i="5"/>
  <c r="D71" i="21" s="1"/>
  <c r="AB71" i="21" s="1"/>
  <c r="W55" i="13"/>
  <c r="W20" i="13"/>
  <c r="AR20" i="13" s="1"/>
  <c r="Y55" i="13"/>
  <c r="X20" i="13"/>
  <c r="Y20" i="13"/>
  <c r="AX20" i="13" s="1"/>
  <c r="BN42" i="13"/>
  <c r="BQ42" i="13"/>
  <c r="BO41" i="13"/>
  <c r="BQ41" i="13"/>
  <c r="X96" i="13"/>
  <c r="E94" i="16"/>
  <c r="H94" i="16" s="1"/>
  <c r="Y96" i="13"/>
  <c r="D97" i="5"/>
  <c r="D97" i="21" s="1"/>
  <c r="AB97" i="21" s="1"/>
  <c r="Y70" i="13"/>
  <c r="X93" i="13"/>
  <c r="D94" i="5"/>
  <c r="Y94" i="5" s="1"/>
  <c r="E68" i="16"/>
  <c r="H68" i="16" s="1"/>
  <c r="D85" i="5"/>
  <c r="D85" i="21" s="1"/>
  <c r="AB85" i="21" s="1"/>
  <c r="W84" i="13"/>
  <c r="Q57" i="13"/>
  <c r="W86" i="13"/>
  <c r="Y86" i="13"/>
  <c r="X86" i="13"/>
  <c r="X82" i="13"/>
  <c r="W85" i="13"/>
  <c r="Y85" i="13"/>
  <c r="X85" i="13"/>
  <c r="Y83" i="13"/>
  <c r="X83" i="13"/>
  <c r="W83" i="13"/>
  <c r="W62" i="13"/>
  <c r="Y62" i="13"/>
  <c r="X62" i="13"/>
  <c r="W39" i="13"/>
  <c r="X39" i="13"/>
  <c r="Y39" i="13"/>
  <c r="W38" i="13"/>
  <c r="Y38" i="13"/>
  <c r="X38" i="13"/>
  <c r="W35" i="13"/>
  <c r="Y35" i="13"/>
  <c r="X35" i="13"/>
  <c r="BN80" i="13"/>
  <c r="BQ80" i="13"/>
  <c r="W22" i="13"/>
  <c r="Y22" i="13"/>
  <c r="X22" i="13"/>
  <c r="W21" i="13"/>
  <c r="Y21" i="13"/>
  <c r="X21" i="13"/>
  <c r="BU33" i="13"/>
  <c r="D55" i="5"/>
  <c r="Y55" i="5" s="1"/>
  <c r="BO63" i="13"/>
  <c r="BQ63" i="13"/>
  <c r="Y77" i="13"/>
  <c r="E32" i="16"/>
  <c r="H32" i="16" s="1"/>
  <c r="X34" i="13"/>
  <c r="AU34" i="13" s="1"/>
  <c r="AV34" i="13" s="1"/>
  <c r="BF31" i="13"/>
  <c r="AC48" i="11" s="1"/>
  <c r="BN15" i="13"/>
  <c r="BQ15" i="13"/>
  <c r="BO15" i="13"/>
  <c r="BN72" i="13"/>
  <c r="BQ72" i="13"/>
  <c r="BO72" i="13"/>
  <c r="BN65" i="13"/>
  <c r="BQ65" i="13"/>
  <c r="BO65" i="13"/>
  <c r="BN58" i="13"/>
  <c r="BO58" i="13"/>
  <c r="BQ58" i="13"/>
  <c r="BN87" i="13"/>
  <c r="BO87" i="13"/>
  <c r="BQ87" i="13"/>
  <c r="BN90" i="13"/>
  <c r="BQ90" i="13"/>
  <c r="BO90" i="13"/>
  <c r="BN57" i="13"/>
  <c r="BO57" i="13"/>
  <c r="BQ57" i="13"/>
  <c r="Y34" i="13"/>
  <c r="AX34" i="13" s="1"/>
  <c r="BH28" i="13" s="1"/>
  <c r="AE45" i="11" s="1"/>
  <c r="BN94" i="13"/>
  <c r="BO94" i="13"/>
  <c r="BQ94" i="13"/>
  <c r="BN29" i="13"/>
  <c r="BQ29" i="13"/>
  <c r="BO29" i="13"/>
  <c r="BN64" i="13"/>
  <c r="BQ64" i="13"/>
  <c r="BO64" i="13"/>
  <c r="BN71" i="13"/>
  <c r="BO71" i="13"/>
  <c r="BQ71" i="13"/>
  <c r="BN95" i="13"/>
  <c r="BO95" i="13"/>
  <c r="BQ95" i="13"/>
  <c r="BN50" i="13"/>
  <c r="BO50" i="13"/>
  <c r="BQ50" i="13"/>
  <c r="BO100" i="13"/>
  <c r="BN100" i="13"/>
  <c r="BQ100" i="13"/>
  <c r="BN97" i="13"/>
  <c r="BO97" i="13"/>
  <c r="BQ97" i="13"/>
  <c r="BN91" i="13"/>
  <c r="BO91" i="13"/>
  <c r="BQ91" i="13"/>
  <c r="BN99" i="13"/>
  <c r="BO99" i="13"/>
  <c r="BQ99" i="13"/>
  <c r="BN98" i="13"/>
  <c r="BQ98" i="13"/>
  <c r="BO98" i="13"/>
  <c r="BO92" i="13"/>
  <c r="BN92" i="13"/>
  <c r="BQ92" i="13"/>
  <c r="BN14" i="13"/>
  <c r="BQ14" i="13"/>
  <c r="BO14" i="13"/>
  <c r="BN88" i="13"/>
  <c r="BO88" i="13"/>
  <c r="BQ88" i="13"/>
  <c r="E7" i="16"/>
  <c r="H7" i="16" s="1"/>
  <c r="W9" i="13"/>
  <c r="BN79" i="13"/>
  <c r="BO79" i="13"/>
  <c r="BQ79" i="13"/>
  <c r="BN93" i="13"/>
  <c r="BO93" i="13"/>
  <c r="BQ93" i="13"/>
  <c r="BN51" i="13"/>
  <c r="BQ51" i="13"/>
  <c r="BO51" i="13"/>
  <c r="BQ28" i="13"/>
  <c r="BN28" i="13"/>
  <c r="BO28" i="13"/>
  <c r="BN17" i="13"/>
  <c r="BO17" i="13"/>
  <c r="BQ17" i="13"/>
  <c r="BN16" i="13"/>
  <c r="BQ16" i="13"/>
  <c r="BO16" i="13"/>
  <c r="BO96" i="13"/>
  <c r="BQ96" i="13"/>
  <c r="BN96" i="13"/>
  <c r="X45" i="13"/>
  <c r="E29" i="16"/>
  <c r="H29" i="16" s="1"/>
  <c r="D46" i="5"/>
  <c r="D46" i="21" s="1"/>
  <c r="AB46" i="21" s="1"/>
  <c r="X46" i="13"/>
  <c r="Y46" i="13"/>
  <c r="E53" i="16"/>
  <c r="H53" i="16" s="1"/>
  <c r="E83" i="16"/>
  <c r="H83" i="16" s="1"/>
  <c r="D47" i="5"/>
  <c r="BH31" i="13"/>
  <c r="AE48" i="11" s="1"/>
  <c r="X78" i="13"/>
  <c r="E81" i="16"/>
  <c r="H81" i="16" s="1"/>
  <c r="D22" i="5"/>
  <c r="Y22" i="5" s="1"/>
  <c r="D48" i="5"/>
  <c r="W56" i="13"/>
  <c r="Y84" i="13"/>
  <c r="Y11" i="13"/>
  <c r="AX11" i="13" s="1"/>
  <c r="AY11" i="13" s="1"/>
  <c r="X11" i="13"/>
  <c r="AU11" i="13" s="1"/>
  <c r="BG19" i="13" s="1"/>
  <c r="AD36" i="11" s="1"/>
  <c r="D38" i="5"/>
  <c r="D38" i="21" s="1"/>
  <c r="AB38" i="21" s="1"/>
  <c r="E9" i="16"/>
  <c r="H9" i="16" s="1"/>
  <c r="D12" i="5"/>
  <c r="D12" i="21" s="1"/>
  <c r="AB12" i="21" s="1"/>
  <c r="Y45" i="13"/>
  <c r="D45" i="5"/>
  <c r="D45" i="21" s="1"/>
  <c r="AB45" i="21" s="1"/>
  <c r="E18" i="16"/>
  <c r="H18" i="16" s="1"/>
  <c r="E43" i="16"/>
  <c r="H43" i="16" s="1"/>
  <c r="D49" i="5"/>
  <c r="D49" i="21" s="1"/>
  <c r="AB49" i="21" s="1"/>
  <c r="E22" i="16"/>
  <c r="H22" i="16" s="1"/>
  <c r="D95" i="5"/>
  <c r="D95" i="21" s="1"/>
  <c r="AB95" i="21" s="1"/>
  <c r="X44" i="13"/>
  <c r="W91" i="13"/>
  <c r="Y56" i="5"/>
  <c r="Y94" i="13"/>
  <c r="Y91" i="13"/>
  <c r="D44" i="5"/>
  <c r="D44" i="21" s="1"/>
  <c r="AB44" i="21" s="1"/>
  <c r="Y24" i="13"/>
  <c r="W94" i="13"/>
  <c r="X91" i="13"/>
  <c r="D24" i="5"/>
  <c r="Y24" i="5" s="1"/>
  <c r="W24" i="13"/>
  <c r="X94" i="13"/>
  <c r="E89" i="16"/>
  <c r="H89" i="16" s="1"/>
  <c r="U56" i="13"/>
  <c r="F56" i="5" s="1"/>
  <c r="F56" i="21" s="1"/>
  <c r="E54" i="16"/>
  <c r="H54" i="16" s="1"/>
  <c r="Y56" i="13"/>
  <c r="E60" i="16"/>
  <c r="H60" i="16" s="1"/>
  <c r="X56" i="13"/>
  <c r="BF22" i="13"/>
  <c r="AC39" i="11" s="1"/>
  <c r="W61" i="13"/>
  <c r="D62" i="5"/>
  <c r="D62" i="21" s="1"/>
  <c r="AB62" i="21" s="1"/>
  <c r="X61" i="13"/>
  <c r="E59" i="16"/>
  <c r="H59" i="16" s="1"/>
  <c r="Y61" i="13"/>
  <c r="W44" i="13"/>
  <c r="E31" i="16"/>
  <c r="H31" i="16" s="1"/>
  <c r="D33" i="5"/>
  <c r="Y33" i="5" s="1"/>
  <c r="E84" i="16"/>
  <c r="H84" i="16" s="1"/>
  <c r="D87" i="5"/>
  <c r="D87" i="21" s="1"/>
  <c r="AB87" i="21" s="1"/>
  <c r="E42" i="16"/>
  <c r="H42" i="16" s="1"/>
  <c r="D20" i="5"/>
  <c r="D20" i="21" s="1"/>
  <c r="AB20" i="21" s="1"/>
  <c r="AS26" i="13"/>
  <c r="G26" i="5" s="1"/>
  <c r="G26" i="21" s="1"/>
  <c r="BF24" i="13"/>
  <c r="AC41" i="11" s="1"/>
  <c r="BG24" i="13"/>
  <c r="AD41" i="11" s="1"/>
  <c r="BH24" i="13"/>
  <c r="AE41" i="11" s="1"/>
  <c r="E20" i="16"/>
  <c r="H20" i="16" s="1"/>
  <c r="X9" i="13"/>
  <c r="X84" i="13"/>
  <c r="X12" i="13"/>
  <c r="AU12" i="13" s="1"/>
  <c r="BG20" i="13" s="1"/>
  <c r="AD37" i="11" s="1"/>
  <c r="Y78" i="13"/>
  <c r="X53" i="13"/>
  <c r="AU53" i="13" s="1"/>
  <c r="BG30" i="13" s="1"/>
  <c r="AD47" i="11" s="1"/>
  <c r="X48" i="13"/>
  <c r="E76" i="16"/>
  <c r="H76" i="16" s="1"/>
  <c r="D25" i="5"/>
  <c r="D25" i="21" s="1"/>
  <c r="AB25" i="21" s="1"/>
  <c r="Y48" i="13"/>
  <c r="D79" i="5"/>
  <c r="D79" i="21" s="1"/>
  <c r="AB79" i="21" s="1"/>
  <c r="E46" i="16"/>
  <c r="H46" i="16" s="1"/>
  <c r="BG32" i="13"/>
  <c r="AD49" i="11" s="1"/>
  <c r="G60" i="5"/>
  <c r="G60" i="21" s="1"/>
  <c r="BH32" i="13"/>
  <c r="AE49" i="11" s="1"/>
  <c r="BG31" i="13"/>
  <c r="AD48" i="11" s="1"/>
  <c r="AV103" i="13"/>
  <c r="Y85" i="5"/>
  <c r="Y64" i="5"/>
  <c r="D18" i="5"/>
  <c r="D18" i="21" s="1"/>
  <c r="AB18" i="21" s="1"/>
  <c r="E17" i="16"/>
  <c r="H17" i="16" s="1"/>
  <c r="W97" i="13"/>
  <c r="D98" i="5"/>
  <c r="D98" i="21" s="1"/>
  <c r="AB98" i="21" s="1"/>
  <c r="E95" i="16"/>
  <c r="H95" i="16" s="1"/>
  <c r="X97" i="13"/>
  <c r="Y97" i="13"/>
  <c r="W60" i="13"/>
  <c r="D60" i="5"/>
  <c r="D60" i="21" s="1"/>
  <c r="AB60" i="21" s="1"/>
  <c r="E58" i="16"/>
  <c r="H58" i="16" s="1"/>
  <c r="X60" i="13"/>
  <c r="Y60" i="13"/>
  <c r="R64" i="13"/>
  <c r="T63" i="13" s="1"/>
  <c r="E47" i="16"/>
  <c r="H47" i="16" s="1"/>
  <c r="D32" i="5"/>
  <c r="D32" i="21" s="1"/>
  <c r="AB32" i="21" s="1"/>
  <c r="E75" i="16"/>
  <c r="H75" i="16" s="1"/>
  <c r="D68" i="5"/>
  <c r="D68" i="21" s="1"/>
  <c r="AB68" i="21" s="1"/>
  <c r="W49" i="13"/>
  <c r="W77" i="13"/>
  <c r="Y53" i="13"/>
  <c r="AX53" i="13" s="1"/>
  <c r="Y31" i="13"/>
  <c r="AX31" i="13" s="1"/>
  <c r="BH26" i="13" s="1"/>
  <c r="AE43" i="11" s="1"/>
  <c r="E51" i="16"/>
  <c r="H51" i="16" s="1"/>
  <c r="X31" i="13"/>
  <c r="AU31" i="13" s="1"/>
  <c r="AV31" i="13" s="1"/>
  <c r="E13" i="16"/>
  <c r="H13" i="16" s="1"/>
  <c r="W53" i="13"/>
  <c r="AR53" i="13" s="1"/>
  <c r="E52" i="16"/>
  <c r="H52" i="16" s="1"/>
  <c r="Y54" i="5"/>
  <c r="Q16" i="13"/>
  <c r="X49" i="13"/>
  <c r="E30" i="16"/>
  <c r="H30" i="16" s="1"/>
  <c r="D78" i="5"/>
  <c r="D78" i="21" s="1"/>
  <c r="AB78" i="21" s="1"/>
  <c r="Y67" i="13"/>
  <c r="AX67" i="13" s="1"/>
  <c r="D77" i="5"/>
  <c r="Y77" i="5" s="1"/>
  <c r="W76" i="13"/>
  <c r="X76" i="13"/>
  <c r="E74" i="16"/>
  <c r="H74" i="16" s="1"/>
  <c r="Y76" i="13"/>
  <c r="X69" i="13"/>
  <c r="AU69" i="13" s="1"/>
  <c r="AV69" i="13" s="1"/>
  <c r="W69" i="13"/>
  <c r="AR69" i="13" s="1"/>
  <c r="AS69" i="13" s="1"/>
  <c r="G70" i="5" s="1"/>
  <c r="G70" i="21" s="1"/>
  <c r="D70" i="5"/>
  <c r="D70" i="21" s="1"/>
  <c r="AB70" i="21" s="1"/>
  <c r="E67" i="16"/>
  <c r="H67" i="16" s="1"/>
  <c r="Y69" i="13"/>
  <c r="AX69" i="13" s="1"/>
  <c r="AY69" i="13" s="1"/>
  <c r="Q87" i="13"/>
  <c r="Q79" i="13"/>
  <c r="E82" i="16"/>
  <c r="H82" i="16" s="1"/>
  <c r="D10" i="5"/>
  <c r="Y10" i="5" s="1"/>
  <c r="Q64" i="13"/>
  <c r="Q99" i="13"/>
  <c r="W98" i="13"/>
  <c r="Y98" i="13"/>
  <c r="D99" i="5"/>
  <c r="D99" i="21" s="1"/>
  <c r="AB99" i="21" s="1"/>
  <c r="X98" i="13"/>
  <c r="R50" i="13"/>
  <c r="T45" i="13" s="1"/>
  <c r="U45" i="13" s="1"/>
  <c r="F45" i="5" s="1"/>
  <c r="F45" i="21" s="1"/>
  <c r="X25" i="13"/>
  <c r="Y12" i="13"/>
  <c r="AX12" i="13" s="1"/>
  <c r="BH20" i="13" s="1"/>
  <c r="AE37" i="11" s="1"/>
  <c r="D31" i="5"/>
  <c r="E10" i="16"/>
  <c r="H10" i="16" s="1"/>
  <c r="W12" i="13"/>
  <c r="AR12" i="13" s="1"/>
  <c r="BF26" i="13"/>
  <c r="AC43" i="11" s="1"/>
  <c r="X23" i="13"/>
  <c r="E21" i="16"/>
  <c r="H21" i="16" s="1"/>
  <c r="Y23" i="13"/>
  <c r="D23" i="5"/>
  <c r="W23" i="13"/>
  <c r="R16" i="13"/>
  <c r="D40" i="5"/>
  <c r="Y40" i="13"/>
  <c r="AX40" i="13" s="1"/>
  <c r="W40" i="13"/>
  <c r="AR40" i="13" s="1"/>
  <c r="X40" i="13"/>
  <c r="AU40" i="13" s="1"/>
  <c r="E38" i="16"/>
  <c r="H38" i="16" s="1"/>
  <c r="R36" i="13"/>
  <c r="Q41" i="13"/>
  <c r="D39" i="5"/>
  <c r="D39" i="21" s="1"/>
  <c r="AB39" i="21" s="1"/>
  <c r="E37" i="16"/>
  <c r="H37" i="16" s="1"/>
  <c r="E35" i="16"/>
  <c r="H35" i="16" s="1"/>
  <c r="Y37" i="13"/>
  <c r="D37" i="5"/>
  <c r="Y37" i="5" s="1"/>
  <c r="X37" i="13"/>
  <c r="W37" i="13"/>
  <c r="U37" i="13"/>
  <c r="F37" i="5" s="1"/>
  <c r="F37" i="21" s="1"/>
  <c r="W95" i="13"/>
  <c r="Y95" i="13"/>
  <c r="X95" i="13"/>
  <c r="E93" i="16"/>
  <c r="H93" i="16" s="1"/>
  <c r="D96" i="5"/>
  <c r="D96" i="21" s="1"/>
  <c r="AB96" i="21" s="1"/>
  <c r="E23" i="16"/>
  <c r="H23" i="16" s="1"/>
  <c r="Y25" i="13"/>
  <c r="R90" i="13"/>
  <c r="Q71" i="13"/>
  <c r="W25" i="13"/>
  <c r="X67" i="13"/>
  <c r="AU67" i="13" s="1"/>
  <c r="Y9" i="13"/>
  <c r="Y47" i="13"/>
  <c r="E19" i="16"/>
  <c r="H19" i="16" s="1"/>
  <c r="D21" i="5"/>
  <c r="Q50" i="13"/>
  <c r="E65" i="16"/>
  <c r="H65" i="16" s="1"/>
  <c r="Q28" i="13"/>
  <c r="R57" i="13"/>
  <c r="E45" i="16"/>
  <c r="H45" i="16" s="1"/>
  <c r="X47" i="13"/>
  <c r="R28" i="13"/>
  <c r="D47" i="21"/>
  <c r="AB47" i="21" s="1"/>
  <c r="Y47" i="5"/>
  <c r="Y27" i="5"/>
  <c r="D27" i="21"/>
  <c r="AB27" i="21" s="1"/>
  <c r="AY13" i="13"/>
  <c r="BH21" i="13"/>
  <c r="AE38" i="11" s="1"/>
  <c r="D75" i="5"/>
  <c r="E72" i="16"/>
  <c r="X74" i="13"/>
  <c r="Y74" i="13"/>
  <c r="R79" i="13"/>
  <c r="W74" i="13"/>
  <c r="G63" i="5"/>
  <c r="G63" i="21" s="1"/>
  <c r="G62" i="5"/>
  <c r="G62" i="21" s="1"/>
  <c r="Y11" i="5"/>
  <c r="D11" i="21"/>
  <c r="AB11" i="21" s="1"/>
  <c r="D35" i="21"/>
  <c r="AB35" i="21" s="1"/>
  <c r="Y35" i="5"/>
  <c r="Y48" i="5"/>
  <c r="D48" i="21"/>
  <c r="AB48" i="21" s="1"/>
  <c r="D14" i="21"/>
  <c r="AB14" i="21" s="1"/>
  <c r="Y14" i="5"/>
  <c r="Y84" i="5"/>
  <c r="D84" i="21"/>
  <c r="AB84" i="21" s="1"/>
  <c r="D76" i="21"/>
  <c r="AB76" i="21" s="1"/>
  <c r="Y76" i="5"/>
  <c r="AR67" i="13"/>
  <c r="Y44" i="5"/>
  <c r="AS13" i="13"/>
  <c r="G14" i="5" s="1"/>
  <c r="G14" i="21" s="1"/>
  <c r="BF21" i="13"/>
  <c r="AC38" i="11" s="1"/>
  <c r="Y86" i="5"/>
  <c r="D86" i="21"/>
  <c r="AB86" i="21" s="1"/>
  <c r="D69" i="5"/>
  <c r="Y68" i="13"/>
  <c r="X68" i="13"/>
  <c r="E66" i="16"/>
  <c r="H66" i="16" s="1"/>
  <c r="W68" i="13"/>
  <c r="D93" i="21"/>
  <c r="AB93" i="21" s="1"/>
  <c r="Y93" i="5"/>
  <c r="R71" i="13"/>
  <c r="E80" i="16"/>
  <c r="D83" i="5"/>
  <c r="R87" i="13"/>
  <c r="Y53" i="5"/>
  <c r="D53" i="21"/>
  <c r="AB53" i="21" s="1"/>
  <c r="D26" i="21"/>
  <c r="AB26" i="21" s="1"/>
  <c r="Y26" i="5"/>
  <c r="D34" i="21"/>
  <c r="AB34" i="21" s="1"/>
  <c r="Y34" i="5"/>
  <c r="D92" i="21"/>
  <c r="AB92" i="21" s="1"/>
  <c r="Y92" i="5"/>
  <c r="AV13" i="13"/>
  <c r="BG21" i="13"/>
  <c r="AD38" i="11" s="1"/>
  <c r="G19" i="5"/>
  <c r="G19" i="21" s="1"/>
  <c r="G18" i="5"/>
  <c r="G18" i="21" s="1"/>
  <c r="Y13" i="5"/>
  <c r="D13" i="21"/>
  <c r="AB13" i="21" s="1"/>
  <c r="AS11" i="13"/>
  <c r="G12" i="5" s="1"/>
  <c r="G12" i="21" s="1"/>
  <c r="BF19" i="13"/>
  <c r="AC36" i="11" s="1"/>
  <c r="X54" i="13" l="1"/>
  <c r="X57" i="13" s="1"/>
  <c r="F39" i="11" s="1"/>
  <c r="Y54" i="13"/>
  <c r="Y57" i="13" s="1"/>
  <c r="H39" i="11" s="1"/>
  <c r="W82" i="13"/>
  <c r="W87" i="13" s="1"/>
  <c r="D43" i="11" s="1"/>
  <c r="Y38" i="5"/>
  <c r="Y71" i="5"/>
  <c r="AU20" i="13"/>
  <c r="AV20" i="13" s="1"/>
  <c r="AS20" i="13"/>
  <c r="G20" i="5" s="1"/>
  <c r="G20" i="21" s="1"/>
  <c r="AS34" i="13"/>
  <c r="G34" i="5" s="1"/>
  <c r="G34" i="21" s="1"/>
  <c r="BH25" i="13"/>
  <c r="AE42" i="11" s="1"/>
  <c r="BG25" i="13"/>
  <c r="AD42" i="11" s="1"/>
  <c r="C40" i="11"/>
  <c r="Y97" i="5"/>
  <c r="AS27" i="13"/>
  <c r="G27" i="5" s="1"/>
  <c r="G27" i="21" s="1"/>
  <c r="D94" i="21"/>
  <c r="AB94" i="21" s="1"/>
  <c r="D55" i="21"/>
  <c r="AB55" i="21" s="1"/>
  <c r="Y49" i="5"/>
  <c r="Y95" i="5"/>
  <c r="AY20" i="13"/>
  <c r="BH23" i="13"/>
  <c r="AE40" i="11" s="1"/>
  <c r="AS32" i="13"/>
  <c r="G32" i="5" s="1"/>
  <c r="G32" i="21" s="1"/>
  <c r="BF27" i="13"/>
  <c r="AC44" i="11" s="1"/>
  <c r="W33" i="13"/>
  <c r="Y33" i="13"/>
  <c r="X33" i="13"/>
  <c r="BG28" i="13"/>
  <c r="AD45" i="11" s="1"/>
  <c r="AY34" i="13"/>
  <c r="BG26" i="13"/>
  <c r="AD43" i="11" s="1"/>
  <c r="Y12" i="5"/>
  <c r="D22" i="21"/>
  <c r="AB22" i="21" s="1"/>
  <c r="Y62" i="5"/>
  <c r="Y46" i="5"/>
  <c r="D24" i="21"/>
  <c r="AB24" i="21" s="1"/>
  <c r="AV11" i="13"/>
  <c r="BH19" i="13"/>
  <c r="AE36" i="11" s="1"/>
  <c r="AV53" i="13"/>
  <c r="D33" i="21"/>
  <c r="AB33" i="21" s="1"/>
  <c r="Y45" i="5"/>
  <c r="BG23" i="13"/>
  <c r="AD40" i="11" s="1"/>
  <c r="AV12" i="13"/>
  <c r="Y68" i="5"/>
  <c r="D77" i="21"/>
  <c r="AB77" i="21" s="1"/>
  <c r="X64" i="13"/>
  <c r="F40" i="11" s="1"/>
  <c r="G40" i="11" s="1"/>
  <c r="L40" i="11" s="1"/>
  <c r="AE27" i="11" s="1"/>
  <c r="T46" i="13"/>
  <c r="U46" i="13" s="1"/>
  <c r="F46" i="5" s="1"/>
  <c r="F46" i="21" s="1"/>
  <c r="Y18" i="5"/>
  <c r="W50" i="13"/>
  <c r="G50" i="5" s="1"/>
  <c r="C38" i="11"/>
  <c r="T61" i="13"/>
  <c r="U61" i="13" s="1"/>
  <c r="F62" i="5" s="1"/>
  <c r="F62" i="21" s="1"/>
  <c r="E62" i="16"/>
  <c r="H62" i="16" s="1"/>
  <c r="X16" i="13"/>
  <c r="F35" i="11" s="1"/>
  <c r="Y98" i="5"/>
  <c r="Y87" i="5"/>
  <c r="W64" i="13"/>
  <c r="D40" i="11" s="1"/>
  <c r="X87" i="13"/>
  <c r="F43" i="11" s="1"/>
  <c r="Y87" i="13"/>
  <c r="H43" i="11" s="1"/>
  <c r="Y79" i="5"/>
  <c r="Y32" i="5"/>
  <c r="T60" i="13"/>
  <c r="U60" i="13" s="1"/>
  <c r="D65" i="5"/>
  <c r="Y65" i="5" s="1"/>
  <c r="T47" i="13"/>
  <c r="U47" i="13" s="1"/>
  <c r="F47" i="5" s="1"/>
  <c r="F47" i="21" s="1"/>
  <c r="T62" i="13"/>
  <c r="U62" i="13" s="1"/>
  <c r="F64" i="5" s="1"/>
  <c r="F64" i="21" s="1"/>
  <c r="T44" i="13"/>
  <c r="U44" i="13" s="1"/>
  <c r="T48" i="13"/>
  <c r="U48" i="13" s="1"/>
  <c r="F48" i="5" s="1"/>
  <c r="F48" i="21" s="1"/>
  <c r="E48" i="16"/>
  <c r="H48" i="16" s="1"/>
  <c r="Y64" i="13"/>
  <c r="H40" i="11" s="1"/>
  <c r="BF23" i="13"/>
  <c r="AC40" i="11" s="1"/>
  <c r="Y70" i="5"/>
  <c r="Y50" i="13"/>
  <c r="H38" i="11" s="1"/>
  <c r="Y20" i="5"/>
  <c r="Y25" i="5"/>
  <c r="D50" i="5"/>
  <c r="D50" i="21" s="1"/>
  <c r="AB50" i="21" s="1"/>
  <c r="E55" i="16"/>
  <c r="H55" i="16" s="1"/>
  <c r="T49" i="13"/>
  <c r="U49" i="13" s="1"/>
  <c r="F49" i="5" s="1"/>
  <c r="F49" i="21" s="1"/>
  <c r="D10" i="21"/>
  <c r="AB10" i="21" s="1"/>
  <c r="AY12" i="13"/>
  <c r="AY31" i="13"/>
  <c r="Y60" i="5"/>
  <c r="Y16" i="13"/>
  <c r="H35" i="11" s="1"/>
  <c r="X79" i="13"/>
  <c r="F42" i="11" s="1"/>
  <c r="Y71" i="13"/>
  <c r="H41" i="11" s="1"/>
  <c r="X50" i="13"/>
  <c r="F38" i="11" s="1"/>
  <c r="Y39" i="5"/>
  <c r="BH34" i="13"/>
  <c r="AE51" i="11" s="1"/>
  <c r="W79" i="13"/>
  <c r="G80" i="5" s="1"/>
  <c r="BG34" i="13"/>
  <c r="AD51" i="11" s="1"/>
  <c r="W16" i="13"/>
  <c r="D35" i="11" s="1"/>
  <c r="W57" i="13"/>
  <c r="D39" i="11" s="1"/>
  <c r="Y78" i="5"/>
  <c r="BF34" i="13"/>
  <c r="AC51" i="11" s="1"/>
  <c r="Y28" i="13"/>
  <c r="H36" i="11" s="1"/>
  <c r="Y79" i="13"/>
  <c r="H42" i="11" s="1"/>
  <c r="Y99" i="5"/>
  <c r="W71" i="13"/>
  <c r="D41" i="11" s="1"/>
  <c r="E14" i="16"/>
  <c r="H14" i="16" s="1"/>
  <c r="X28" i="13"/>
  <c r="F36" i="11" s="1"/>
  <c r="W28" i="13"/>
  <c r="G28" i="5" s="1"/>
  <c r="D23" i="21"/>
  <c r="AB23" i="21" s="1"/>
  <c r="Y23" i="5"/>
  <c r="Y31" i="5"/>
  <c r="D31" i="21"/>
  <c r="AB31" i="21" s="1"/>
  <c r="Y96" i="5"/>
  <c r="Q106" i="13"/>
  <c r="F31" i="3" s="1"/>
  <c r="BG29" i="13"/>
  <c r="AD46" i="11" s="1"/>
  <c r="AV40" i="13"/>
  <c r="AS40" i="13"/>
  <c r="G40" i="5" s="1"/>
  <c r="G40" i="21" s="1"/>
  <c r="BF29" i="13"/>
  <c r="AC46" i="11" s="1"/>
  <c r="BH29" i="13"/>
  <c r="AE46" i="11" s="1"/>
  <c r="AY40" i="13"/>
  <c r="E26" i="16"/>
  <c r="H26" i="16" s="1"/>
  <c r="D37" i="21"/>
  <c r="AB37" i="21" s="1"/>
  <c r="D40" i="21"/>
  <c r="AB40" i="21" s="1"/>
  <c r="Y40" i="5"/>
  <c r="BF20" i="13"/>
  <c r="AC37" i="11" s="1"/>
  <c r="AS12" i="13"/>
  <c r="G13" i="5" s="1"/>
  <c r="G13" i="21" s="1"/>
  <c r="X71" i="13"/>
  <c r="F41" i="11" s="1"/>
  <c r="AX107" i="13"/>
  <c r="AY107" i="13" s="1"/>
  <c r="V6" i="5" s="1"/>
  <c r="V6" i="21" s="1"/>
  <c r="T12" i="13"/>
  <c r="U12" i="13" s="1"/>
  <c r="F13" i="5" s="1"/>
  <c r="F13" i="21" s="1"/>
  <c r="T13" i="13"/>
  <c r="U13" i="13" s="1"/>
  <c r="F14" i="5" s="1"/>
  <c r="F14" i="21" s="1"/>
  <c r="T11" i="13"/>
  <c r="U11" i="13" s="1"/>
  <c r="F12" i="5" s="1"/>
  <c r="F12" i="21" s="1"/>
  <c r="T10" i="13"/>
  <c r="U10" i="13" s="1"/>
  <c r="F11" i="5" s="1"/>
  <c r="F11" i="21" s="1"/>
  <c r="C35" i="11"/>
  <c r="D15" i="5"/>
  <c r="T9" i="13"/>
  <c r="T14" i="13"/>
  <c r="T15" i="13"/>
  <c r="C36" i="11"/>
  <c r="T21" i="13"/>
  <c r="U21" i="13" s="1"/>
  <c r="F21" i="5" s="1"/>
  <c r="F21" i="21" s="1"/>
  <c r="T26" i="13"/>
  <c r="U26" i="13" s="1"/>
  <c r="F26" i="5" s="1"/>
  <c r="F26" i="21" s="1"/>
  <c r="T20" i="13"/>
  <c r="U20" i="13" s="1"/>
  <c r="F20" i="5" s="1"/>
  <c r="F20" i="21" s="1"/>
  <c r="T19" i="13"/>
  <c r="D28" i="5"/>
  <c r="T24" i="13"/>
  <c r="U24" i="13" s="1"/>
  <c r="F24" i="5" s="1"/>
  <c r="F24" i="21" s="1"/>
  <c r="T22" i="13"/>
  <c r="U22" i="13" s="1"/>
  <c r="F22" i="5" s="1"/>
  <c r="F22" i="21" s="1"/>
  <c r="T27" i="13"/>
  <c r="U27" i="13" s="1"/>
  <c r="F27" i="5" s="1"/>
  <c r="F27" i="21" s="1"/>
  <c r="T23" i="13"/>
  <c r="U23" i="13" s="1"/>
  <c r="F23" i="5" s="1"/>
  <c r="F23" i="21" s="1"/>
  <c r="T25" i="13"/>
  <c r="U25" i="13" s="1"/>
  <c r="F25" i="5" s="1"/>
  <c r="F25" i="21" s="1"/>
  <c r="D21" i="21"/>
  <c r="AB21" i="21" s="1"/>
  <c r="Y21" i="5"/>
  <c r="D91" i="5"/>
  <c r="E88" i="16"/>
  <c r="R99" i="13"/>
  <c r="Y90" i="13"/>
  <c r="Y99" i="13" s="1"/>
  <c r="H44" i="11" s="1"/>
  <c r="X90" i="13"/>
  <c r="X99" i="13" s="1"/>
  <c r="F44" i="11" s="1"/>
  <c r="W90" i="13"/>
  <c r="W99" i="13" s="1"/>
  <c r="D44" i="11" s="1"/>
  <c r="E69" i="16"/>
  <c r="H69" i="16" s="1"/>
  <c r="T56" i="13"/>
  <c r="D57" i="5"/>
  <c r="T54" i="13"/>
  <c r="U54" i="13" s="1"/>
  <c r="F54" i="5" s="1"/>
  <c r="F54" i="21" s="1"/>
  <c r="T55" i="13"/>
  <c r="U55" i="13" s="1"/>
  <c r="F55" i="5" s="1"/>
  <c r="F55" i="21" s="1"/>
  <c r="C39" i="11"/>
  <c r="T53" i="13"/>
  <c r="D36" i="5"/>
  <c r="W36" i="13"/>
  <c r="R41" i="13"/>
  <c r="E34" i="16"/>
  <c r="Y36" i="13"/>
  <c r="X36" i="13"/>
  <c r="AY53" i="13"/>
  <c r="BH30" i="13"/>
  <c r="AE47" i="11" s="1"/>
  <c r="D75" i="21"/>
  <c r="AB75" i="21" s="1"/>
  <c r="Y75" i="5"/>
  <c r="BG27" i="13"/>
  <c r="AD44" i="11" s="1"/>
  <c r="AV32" i="13"/>
  <c r="D69" i="21"/>
  <c r="AB69" i="21" s="1"/>
  <c r="Y69" i="5"/>
  <c r="T83" i="13"/>
  <c r="U83" i="13" s="1"/>
  <c r="F84" i="5" s="1"/>
  <c r="F84" i="21" s="1"/>
  <c r="T82" i="13"/>
  <c r="T86" i="13"/>
  <c r="U86" i="13" s="1"/>
  <c r="F87" i="5" s="1"/>
  <c r="F87" i="21" s="1"/>
  <c r="T85" i="13"/>
  <c r="U85" i="13" s="1"/>
  <c r="F86" i="5" s="1"/>
  <c r="F86" i="21" s="1"/>
  <c r="C43" i="11"/>
  <c r="D88" i="5"/>
  <c r="T84" i="13"/>
  <c r="U84" i="13" s="1"/>
  <c r="F85" i="5" s="1"/>
  <c r="F85" i="21" s="1"/>
  <c r="AS53" i="13"/>
  <c r="G53" i="5" s="1"/>
  <c r="G53" i="21" s="1"/>
  <c r="BF30" i="13"/>
  <c r="AC47" i="11" s="1"/>
  <c r="AR107" i="13"/>
  <c r="AS107" i="13" s="1"/>
  <c r="D83" i="21"/>
  <c r="AB83" i="21" s="1"/>
  <c r="Y83" i="5"/>
  <c r="C42" i="11"/>
  <c r="T74" i="13"/>
  <c r="T78" i="13"/>
  <c r="U78" i="13" s="1"/>
  <c r="F79" i="5" s="1"/>
  <c r="F79" i="21" s="1"/>
  <c r="D80" i="5"/>
  <c r="T77" i="13"/>
  <c r="U77" i="13" s="1"/>
  <c r="F78" i="5" s="1"/>
  <c r="F78" i="21" s="1"/>
  <c r="T76" i="13"/>
  <c r="U76" i="13" s="1"/>
  <c r="F77" i="5" s="1"/>
  <c r="F77" i="21" s="1"/>
  <c r="T75" i="13"/>
  <c r="U75" i="13" s="1"/>
  <c r="F76" i="5" s="1"/>
  <c r="F76" i="21" s="1"/>
  <c r="BH33" i="13"/>
  <c r="AE50" i="11" s="1"/>
  <c r="AY67" i="13"/>
  <c r="AV67" i="13"/>
  <c r="BG33" i="13"/>
  <c r="AD50" i="11" s="1"/>
  <c r="E85" i="16"/>
  <c r="H85" i="16" s="1"/>
  <c r="H80" i="16"/>
  <c r="C41" i="11"/>
  <c r="D72" i="5"/>
  <c r="T68" i="13"/>
  <c r="U68" i="13" s="1"/>
  <c r="F69" i="5" s="1"/>
  <c r="F69" i="21" s="1"/>
  <c r="T70" i="13"/>
  <c r="U70" i="13" s="1"/>
  <c r="F71" i="5" s="1"/>
  <c r="F71" i="21" s="1"/>
  <c r="T67" i="13"/>
  <c r="T69" i="13"/>
  <c r="U69" i="13" s="1"/>
  <c r="F70" i="5" s="1"/>
  <c r="F70" i="21" s="1"/>
  <c r="AY32" i="13"/>
  <c r="BH27" i="13"/>
  <c r="AE44" i="11" s="1"/>
  <c r="AS67" i="13"/>
  <c r="G68" i="5" s="1"/>
  <c r="G68" i="21" s="1"/>
  <c r="BF33" i="13"/>
  <c r="AC50" i="11" s="1"/>
  <c r="H72" i="16"/>
  <c r="E77" i="16"/>
  <c r="H77" i="16" s="1"/>
  <c r="AU107" i="13" l="1"/>
  <c r="AV107" i="13" s="1"/>
  <c r="F12" i="11" s="1"/>
  <c r="L47" i="11" s="1"/>
  <c r="I40" i="11"/>
  <c r="M40" i="11" s="1"/>
  <c r="AF27" i="11" s="1"/>
  <c r="E40" i="11"/>
  <c r="K40" i="11" s="1"/>
  <c r="AD27" i="11" s="1"/>
  <c r="Y50" i="5"/>
  <c r="G88" i="5"/>
  <c r="Y41" i="13"/>
  <c r="H37" i="11" s="1"/>
  <c r="H45" i="11" s="1"/>
  <c r="AX109" i="13" s="1"/>
  <c r="X41" i="13"/>
  <c r="F37" i="11" s="1"/>
  <c r="F45" i="11" s="1"/>
  <c r="AU109" i="13" s="1"/>
  <c r="W41" i="13"/>
  <c r="D37" i="11" s="1"/>
  <c r="G35" i="11"/>
  <c r="L35" i="11" s="1"/>
  <c r="AE22" i="11" s="1"/>
  <c r="I38" i="11"/>
  <c r="M38" i="11" s="1"/>
  <c r="AF25" i="11" s="1"/>
  <c r="T50" i="13"/>
  <c r="D38" i="11"/>
  <c r="E38" i="11" s="1"/>
  <c r="K38" i="11" s="1"/>
  <c r="AD25" i="11" s="1"/>
  <c r="T64" i="13"/>
  <c r="G38" i="11"/>
  <c r="L38" i="11" s="1"/>
  <c r="AE25" i="11" s="1"/>
  <c r="G39" i="11"/>
  <c r="L39" i="11" s="1"/>
  <c r="AE26" i="11" s="1"/>
  <c r="D65" i="21"/>
  <c r="AB65" i="21" s="1"/>
  <c r="G65" i="5"/>
  <c r="AR108" i="13"/>
  <c r="AX108" i="13"/>
  <c r="D42" i="11"/>
  <c r="E42" i="11" s="1"/>
  <c r="K42" i="11" s="1"/>
  <c r="AD29" i="11" s="1"/>
  <c r="G57" i="5"/>
  <c r="AU108" i="13"/>
  <c r="H12" i="11"/>
  <c r="M47" i="11" s="1"/>
  <c r="G15" i="5"/>
  <c r="I42" i="11"/>
  <c r="M42" i="11" s="1"/>
  <c r="AF29" i="11" s="1"/>
  <c r="AZ107" i="13"/>
  <c r="G72" i="5"/>
  <c r="I36" i="11"/>
  <c r="M36" i="11" s="1"/>
  <c r="AF23" i="11" s="1"/>
  <c r="G36" i="11"/>
  <c r="L36" i="11" s="1"/>
  <c r="AE23" i="11" s="1"/>
  <c r="D36" i="11"/>
  <c r="E36" i="11" s="1"/>
  <c r="K36" i="11" s="1"/>
  <c r="AD23" i="11" s="1"/>
  <c r="E35" i="11"/>
  <c r="K35" i="11" s="1"/>
  <c r="AD22" i="11" s="1"/>
  <c r="I35" i="11"/>
  <c r="M35" i="11" s="1"/>
  <c r="AF22" i="11" s="1"/>
  <c r="E39" i="11"/>
  <c r="K39" i="11" s="1"/>
  <c r="AD26" i="11" s="1"/>
  <c r="R106" i="13"/>
  <c r="F32" i="3" s="1"/>
  <c r="G41" i="11"/>
  <c r="L41" i="11" s="1"/>
  <c r="AE28" i="11" s="1"/>
  <c r="U9" i="13"/>
  <c r="T16" i="13"/>
  <c r="Y15" i="5"/>
  <c r="D15" i="21"/>
  <c r="AB15" i="21" s="1"/>
  <c r="T57" i="13"/>
  <c r="U53" i="13"/>
  <c r="T28" i="13"/>
  <c r="U19" i="13"/>
  <c r="I39" i="11"/>
  <c r="M39" i="11" s="1"/>
  <c r="AF26" i="11" s="1"/>
  <c r="I41" i="11"/>
  <c r="M41" i="11" s="1"/>
  <c r="AF28" i="11" s="1"/>
  <c r="H34" i="16"/>
  <c r="E39" i="16"/>
  <c r="H39" i="16" s="1"/>
  <c r="Y57" i="5"/>
  <c r="D57" i="21"/>
  <c r="AB57" i="21" s="1"/>
  <c r="G100" i="5"/>
  <c r="T32" i="13"/>
  <c r="U32" i="13" s="1"/>
  <c r="F32" i="5" s="1"/>
  <c r="F32" i="21" s="1"/>
  <c r="D41" i="5"/>
  <c r="T39" i="13"/>
  <c r="U39" i="13" s="1"/>
  <c r="F39" i="5" s="1"/>
  <c r="F39" i="21" s="1"/>
  <c r="C37" i="11"/>
  <c r="T34" i="13"/>
  <c r="U34" i="13" s="1"/>
  <c r="F34" i="5" s="1"/>
  <c r="F34" i="21" s="1"/>
  <c r="T31" i="13"/>
  <c r="T33" i="13"/>
  <c r="U33" i="13" s="1"/>
  <c r="F33" i="5" s="1"/>
  <c r="F33" i="21" s="1"/>
  <c r="T37" i="13"/>
  <c r="T36" i="13"/>
  <c r="U36" i="13" s="1"/>
  <c r="F36" i="5" s="1"/>
  <c r="F36" i="21" s="1"/>
  <c r="T35" i="13"/>
  <c r="U35" i="13" s="1"/>
  <c r="F35" i="5" s="1"/>
  <c r="F35" i="21" s="1"/>
  <c r="T38" i="13"/>
  <c r="U38" i="13" s="1"/>
  <c r="F38" i="5" s="1"/>
  <c r="F38" i="21" s="1"/>
  <c r="T40" i="13"/>
  <c r="U40" i="13" s="1"/>
  <c r="F40" i="5" s="1"/>
  <c r="F40" i="21" s="1"/>
  <c r="T90" i="13"/>
  <c r="C44" i="11"/>
  <c r="G44" i="11" s="1"/>
  <c r="L44" i="11" s="1"/>
  <c r="AE31" i="11" s="1"/>
  <c r="T93" i="13"/>
  <c r="U93" i="13" s="1"/>
  <c r="F94" i="5" s="1"/>
  <c r="F94" i="21" s="1"/>
  <c r="T94" i="13"/>
  <c r="U94" i="13" s="1"/>
  <c r="F95" i="5" s="1"/>
  <c r="F95" i="21" s="1"/>
  <c r="T91" i="13"/>
  <c r="U91" i="13" s="1"/>
  <c r="F92" i="5" s="1"/>
  <c r="F92" i="21" s="1"/>
  <c r="T98" i="13"/>
  <c r="U98" i="13" s="1"/>
  <c r="F99" i="5" s="1"/>
  <c r="F99" i="21" s="1"/>
  <c r="T95" i="13"/>
  <c r="U95" i="13" s="1"/>
  <c r="F96" i="5" s="1"/>
  <c r="F96" i="21" s="1"/>
  <c r="T97" i="13"/>
  <c r="U97" i="13" s="1"/>
  <c r="F98" i="5" s="1"/>
  <c r="F98" i="21" s="1"/>
  <c r="T96" i="13"/>
  <c r="U96" i="13" s="1"/>
  <c r="F97" i="5" s="1"/>
  <c r="F97" i="21" s="1"/>
  <c r="D100" i="5"/>
  <c r="T92" i="13"/>
  <c r="U92" i="13" s="1"/>
  <c r="F93" i="5" s="1"/>
  <c r="F93" i="21" s="1"/>
  <c r="H88" i="16"/>
  <c r="E97" i="16"/>
  <c r="H97" i="16" s="1"/>
  <c r="Y36" i="5"/>
  <c r="D36" i="21"/>
  <c r="AB36" i="21" s="1"/>
  <c r="D91" i="21"/>
  <c r="AB91" i="21" s="1"/>
  <c r="Y91" i="5"/>
  <c r="D28" i="21"/>
  <c r="AB28" i="21" s="1"/>
  <c r="Y28" i="5"/>
  <c r="T79" i="13"/>
  <c r="U74" i="13"/>
  <c r="G42" i="11"/>
  <c r="L42" i="11" s="1"/>
  <c r="AE29" i="11" s="1"/>
  <c r="U50" i="13"/>
  <c r="F50" i="5" s="1"/>
  <c r="F50" i="21" s="1"/>
  <c r="F44" i="5"/>
  <c r="F44" i="21" s="1"/>
  <c r="T87" i="13"/>
  <c r="U82" i="13"/>
  <c r="F60" i="5"/>
  <c r="F60" i="21" s="1"/>
  <c r="U64" i="13"/>
  <c r="F65" i="5" s="1"/>
  <c r="F65" i="21" s="1"/>
  <c r="Y88" i="5"/>
  <c r="D88" i="21"/>
  <c r="AB88" i="21" s="1"/>
  <c r="E41" i="11"/>
  <c r="K41" i="11" s="1"/>
  <c r="H6" i="21"/>
  <c r="AT107" i="13"/>
  <c r="H6" i="5"/>
  <c r="D12" i="11"/>
  <c r="K47" i="11" s="1"/>
  <c r="I43" i="11"/>
  <c r="M43" i="11" s="1"/>
  <c r="AF30" i="11" s="1"/>
  <c r="G43" i="11"/>
  <c r="L43" i="11" s="1"/>
  <c r="AE30" i="11" s="1"/>
  <c r="E43" i="11"/>
  <c r="K43" i="11" s="1"/>
  <c r="AD30" i="11" s="1"/>
  <c r="Y72" i="5"/>
  <c r="D72" i="21"/>
  <c r="AB72" i="21" s="1"/>
  <c r="Y80" i="5"/>
  <c r="D80" i="21"/>
  <c r="AB80" i="21" s="1"/>
  <c r="U67" i="13"/>
  <c r="T71" i="13"/>
  <c r="AW107" i="13" l="1"/>
  <c r="P6" i="5"/>
  <c r="P6" i="21" s="1"/>
  <c r="G37" i="11"/>
  <c r="L37" i="11" s="1"/>
  <c r="G41" i="5"/>
  <c r="C45" i="11"/>
  <c r="I37" i="11"/>
  <c r="M37" i="11" s="1"/>
  <c r="AF24" i="11" s="1"/>
  <c r="F10" i="5"/>
  <c r="F10" i="21" s="1"/>
  <c r="U16" i="13"/>
  <c r="F15" i="5" s="1"/>
  <c r="F15" i="21" s="1"/>
  <c r="Y100" i="5"/>
  <c r="D100" i="21"/>
  <c r="AB100" i="21" s="1"/>
  <c r="U31" i="13"/>
  <c r="T41" i="13"/>
  <c r="T99" i="13"/>
  <c r="U90" i="13"/>
  <c r="F18" i="5"/>
  <c r="F18" i="21" s="1"/>
  <c r="U28" i="13"/>
  <c r="F28" i="5" s="1"/>
  <c r="F28" i="21" s="1"/>
  <c r="I44" i="11"/>
  <c r="M44" i="11" s="1"/>
  <c r="AF31" i="11" s="1"/>
  <c r="E37" i="11"/>
  <c r="K37" i="11" s="1"/>
  <c r="AD24" i="11" s="1"/>
  <c r="D45" i="11"/>
  <c r="AR109" i="13" s="1"/>
  <c r="Y41" i="5"/>
  <c r="D41" i="21"/>
  <c r="AB41" i="21" s="1"/>
  <c r="F53" i="5"/>
  <c r="F53" i="21" s="1"/>
  <c r="U57" i="13"/>
  <c r="F57" i="5" s="1"/>
  <c r="F57" i="21" s="1"/>
  <c r="E44" i="11"/>
  <c r="K44" i="11" s="1"/>
  <c r="AD31" i="11" s="1"/>
  <c r="AD28" i="11"/>
  <c r="F75" i="5"/>
  <c r="F75" i="21" s="1"/>
  <c r="U79" i="13"/>
  <c r="F80" i="5" s="1"/>
  <c r="F80" i="21" s="1"/>
  <c r="U71" i="13"/>
  <c r="F68" i="5"/>
  <c r="F68" i="21" s="1"/>
  <c r="U87" i="13"/>
  <c r="F88" i="5" s="1"/>
  <c r="F88" i="21" s="1"/>
  <c r="F83" i="5"/>
  <c r="F83" i="21" s="1"/>
  <c r="L45" i="11" l="1"/>
  <c r="AU110" i="13" s="1"/>
  <c r="F11" i="11" s="1"/>
  <c r="AE24" i="11"/>
  <c r="M45" i="11"/>
  <c r="AX110" i="13" s="1"/>
  <c r="AY110" i="13" s="1"/>
  <c r="AZ110" i="13" s="1"/>
  <c r="AZ112" i="13" s="1"/>
  <c r="AY112" i="13" s="1"/>
  <c r="K45" i="11"/>
  <c r="H5" i="5" s="1"/>
  <c r="H5" i="21" s="1"/>
  <c r="U99" i="13"/>
  <c r="F100" i="5" s="1"/>
  <c r="F100" i="21" s="1"/>
  <c r="F91" i="5"/>
  <c r="F91" i="21" s="1"/>
  <c r="F31" i="5"/>
  <c r="F31" i="21" s="1"/>
  <c r="U41" i="13"/>
  <c r="F41" i="5" s="1"/>
  <c r="F41" i="21" s="1"/>
  <c r="F72" i="5"/>
  <c r="F72" i="21" s="1"/>
  <c r="P5" i="5" l="1"/>
  <c r="P5" i="21" s="1"/>
  <c r="AV110" i="13"/>
  <c r="AW110" i="13" s="1"/>
  <c r="AW112" i="13" s="1"/>
  <c r="AV115" i="13" s="1"/>
  <c r="AR110" i="13"/>
  <c r="AS110" i="13" s="1"/>
  <c r="AT110" i="13" s="1"/>
  <c r="AT112" i="13" s="1"/>
  <c r="D11" i="11"/>
  <c r="H11" i="11"/>
  <c r="V5" i="5"/>
  <c r="V5" i="21" s="1"/>
  <c r="U108" i="13"/>
  <c r="AY115" i="13"/>
  <c r="V4" i="5"/>
  <c r="V4" i="21" s="1"/>
  <c r="H10" i="11"/>
  <c r="M46" i="11" s="1"/>
  <c r="C7" i="5" l="1"/>
  <c r="C7" i="21" s="1"/>
  <c r="AV112" i="13"/>
  <c r="F10" i="11" s="1"/>
  <c r="L46" i="11" s="1"/>
  <c r="AS115" i="13"/>
  <c r="I48" i="11"/>
  <c r="AS112" i="13"/>
  <c r="H4" i="5" s="1"/>
  <c r="H4" i="21" s="1"/>
  <c r="K10" i="11"/>
  <c r="P4" i="5" l="1"/>
  <c r="P4" i="21" s="1"/>
  <c r="D10" i="11"/>
  <c r="K4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author>
  </authors>
  <commentList>
    <comment ref="R25" authorId="0" shapeId="0" xr:uid="{00000000-0006-0000-0300-000001000000}">
      <text>
        <r>
          <rPr>
            <sz val="9"/>
            <color indexed="81"/>
            <rFont val="Tahoma"/>
            <family val="2"/>
          </rPr>
          <t>Må være slik for å få manuell filtrering ved Bespokt til å fungere</t>
        </r>
      </text>
    </comment>
  </commentList>
</comments>
</file>

<file path=xl/sharedStrings.xml><?xml version="1.0" encoding="utf-8"?>
<sst xmlns="http://schemas.openxmlformats.org/spreadsheetml/2006/main" count="1835" uniqueCount="584">
  <si>
    <t xml:space="preserve"> </t>
  </si>
  <si>
    <t>Construction</t>
  </si>
  <si>
    <t>Current Version</t>
  </si>
  <si>
    <t>Previous Versions</t>
  </si>
  <si>
    <t>Mat01</t>
  </si>
  <si>
    <t>Version</t>
  </si>
  <si>
    <t>Release Date</t>
  </si>
  <si>
    <t>Description of changes/additions made to the BREEAM Assessment Scoring and Reporting Tool</t>
  </si>
  <si>
    <t>Copyright</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</si>
  <si>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</si>
  <si>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</si>
  <si>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</si>
  <si>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</si>
  <si>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</si>
  <si>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</si>
  <si>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</si>
  <si>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</si>
  <si>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</si>
  <si>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</si>
  <si>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</si>
  <si>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</si>
  <si>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</si>
  <si>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</si>
  <si>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</si>
  <si>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</si>
  <si>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</si>
  <si>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</si>
  <si>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</si>
  <si>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</si>
  <si>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</si>
  <si>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</si>
  <si>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</si>
  <si>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</si>
  <si>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</si>
  <si>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</si>
  <si>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</si>
  <si>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 xml:space="preserve">New Construction (shell only) </t>
  </si>
  <si>
    <t>Major Refurbishment (shell only)</t>
  </si>
  <si>
    <t>New Construction (fully fitted)</t>
  </si>
  <si>
    <t>Major Refurbishment (fully fitted)</t>
  </si>
  <si>
    <t>No laboratory</t>
  </si>
  <si>
    <t>Cat Level 2</t>
  </si>
  <si>
    <t>Cat Level 3</t>
  </si>
  <si>
    <t>Cat Level 1 only</t>
  </si>
  <si>
    <t>Assessor organisation</t>
  </si>
  <si>
    <t>New Construction</t>
  </si>
  <si>
    <t>Credits</t>
  </si>
  <si>
    <t>Hea01</t>
  </si>
  <si>
    <t>ENERGY</t>
  </si>
  <si>
    <t>HEALTH &amp; WELLBEING</t>
  </si>
  <si>
    <t>Option not applicable to building type</t>
  </si>
  <si>
    <t>General information</t>
  </si>
  <si>
    <t>BREEAM assessor declaration of assessment accuracy and quality</t>
  </si>
  <si>
    <t>Minimum standards level achieved</t>
  </si>
  <si>
    <t>Please select:</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</si>
  <si>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</si>
  <si>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</si>
  <si>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</si>
  <si>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</si>
  <si>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</si>
  <si>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</si>
  <si>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</si>
  <si>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</si>
  <si>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</si>
  <si>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</si>
  <si>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</si>
  <si>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</si>
  <si>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</si>
  <si>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</si>
  <si>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</si>
  <si>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</si>
  <si>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</si>
  <si>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</si>
  <si>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</si>
  <si>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</si>
  <si>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</si>
  <si>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</si>
  <si>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</si>
  <si>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</si>
  <si>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</si>
  <si>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</si>
  <si>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</si>
  <si>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</si>
  <si>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</si>
  <si>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</si>
  <si>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</si>
  <si>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</si>
  <si>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</si>
  <si>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</si>
  <si>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</si>
  <si>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</si>
  <si>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</si>
  <si>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</si>
  <si>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</si>
  <si>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</si>
  <si>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</si>
  <si>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</si>
  <si>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</si>
  <si>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</si>
  <si>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</si>
  <si>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</si>
  <si>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</si>
  <si>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</si>
  <si>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</si>
  <si>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</si>
  <si>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</si>
  <si>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</si>
  <si>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</si>
  <si>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</si>
  <si>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</si>
  <si>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</si>
  <si>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</si>
  <si>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</si>
  <si>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</si>
  <si>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</si>
  <si>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</si>
  <si>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</si>
  <si>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</si>
  <si>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04 Microbial contamination</t>
  </si>
  <si>
    <t>Hea 06 Safe access</t>
  </si>
  <si>
    <t>Hea 07 Natural Hazards</t>
  </si>
  <si>
    <t>Hea 09 Moisture protection</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</si>
  <si>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</si>
  <si>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</si>
  <si>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</si>
  <si>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</si>
  <si>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</si>
  <si>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</si>
  <si>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</si>
  <si>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</si>
  <si>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</si>
  <si>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</si>
  <si>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</si>
  <si>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</si>
  <si>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</si>
  <si>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</si>
  <si>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</si>
  <si>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04 Low and zero carbon technologies</t>
  </si>
  <si>
    <t>Ene 05 Energy efficient cold storage</t>
  </si>
  <si>
    <t>Ene 06 Energy efficient transportation systems</t>
  </si>
  <si>
    <t>Ene 07 Energy Efficient Laboratory Systems</t>
  </si>
  <si>
    <t>Ene 08 Energy efficient equipment</t>
  </si>
  <si>
    <t>Ene 09 Drying space</t>
  </si>
  <si>
    <t>Ene 23 Energy performance of building structure and installations</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</si>
  <si>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</si>
  <si>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</si>
  <si>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</si>
  <si>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</si>
  <si>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</si>
  <si>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</si>
  <si>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</si>
  <si>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</si>
  <si>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</si>
  <si>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</si>
  <si>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</si>
  <si>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</si>
  <si>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</si>
  <si>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04 Maximum car parking capacity</t>
  </si>
  <si>
    <t>Tra 03 Alternative modes of transport</t>
  </si>
  <si>
    <t>Tra 05 Travel plan</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</si>
  <si>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</si>
  <si>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</si>
  <si>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</si>
  <si>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</si>
  <si>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</si>
  <si>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</si>
  <si>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</si>
  <si>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</si>
  <si>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</si>
  <si>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</si>
  <si>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</si>
  <si>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</si>
  <si>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</si>
  <si>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</si>
  <si>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</si>
  <si>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</si>
  <si>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</si>
  <si>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</si>
  <si>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02 Nox emissions</t>
  </si>
  <si>
    <t>POL 03 Surface water run-off</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</si>
  <si>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</si>
  <si>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</si>
  <si>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</si>
  <si>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</si>
  <si>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</si>
  <si>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</si>
  <si>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</si>
  <si>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</si>
  <si>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</si>
  <si>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</si>
  <si>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</si>
  <si>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</si>
  <si>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</si>
  <si>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</si>
  <si>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03</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</si>
  <si>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</si>
  <si>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</si>
  <si>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</si>
  <si>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</si>
  <si>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</si>
  <si>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</si>
  <si>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</si>
  <si>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</si>
  <si>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</si>
  <si>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</si>
  <si>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</si>
  <si>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</si>
  <si>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</si>
  <si>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</si>
  <si>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</si>
  <si>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</si>
  <si>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</si>
  <si>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</si>
  <si>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</si>
  <si>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</si>
  <si>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</si>
  <si>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</si>
  <si>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</si>
  <si>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</si>
  <si>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</si>
  <si>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</si>
  <si>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</si>
  <si>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</si>
  <si>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</si>
  <si>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</si>
  <si>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</si>
  <si>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</si>
  <si>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</si>
  <si>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</si>
  <si>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</si>
  <si>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</si>
  <si>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</si>
  <si>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BREEAM-NOR 2016 Issue</t>
  </si>
  <si>
    <t>Initial target setting</t>
  </si>
  <si>
    <t>Exemplary Level (Innovation)</t>
  </si>
  <si>
    <t>N</t>
  </si>
  <si>
    <t>I</t>
  </si>
  <si>
    <t>OK</t>
  </si>
  <si>
    <t>Design phase progression</t>
  </si>
  <si>
    <t>Construction phase progression</t>
  </si>
  <si>
    <t>General comments</t>
  </si>
  <si>
    <t>Total credits available BREEAM-NOR 2016</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</si>
  <si>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</si>
  <si>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</si>
  <si>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</si>
  <si>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</si>
  <si>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</si>
  <si>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</si>
  <si>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</si>
  <si>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</si>
  <si>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</si>
  <si>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</si>
  <si>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</si>
  <si>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</si>
  <si>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</si>
  <si>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</si>
  <si>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</si>
  <si>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</si>
  <si>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</si>
  <si>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</si>
  <si>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</si>
  <si>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</si>
  <si>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</si>
  <si>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</si>
  <si>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</si>
  <si>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</si>
  <si>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</si>
  <si>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</si>
  <si>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</si>
  <si>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</si>
  <si>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</si>
  <si>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</si>
  <si>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</si>
  <si>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</si>
  <si>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</si>
  <si>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</si>
  <si>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</si>
  <si>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</si>
  <si>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Subject</t>
  </si>
  <si>
    <t>Stat.</t>
  </si>
  <si>
    <t>Comments</t>
  </si>
  <si>
    <t>Hea 01 Visual comfort - Criteria 1</t>
  </si>
  <si>
    <t>Mat 01 Life cycle impacts  - Criteria 1</t>
  </si>
  <si>
    <t>hea 2. no lab - 2 p, cat 1 - 1 p, cat 2og 3 tot 7 poeng</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</si>
  <si>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</si>
  <si>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</si>
  <si>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</si>
  <si>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</si>
  <si>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</si>
  <si>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OK. Dette spørsmålet kan vel egentlig utgå, er lovkrav i Norge</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</si>
  <si>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</si>
  <si>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</si>
  <si>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</si>
  <si>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</si>
  <si>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</si>
  <si>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</si>
  <si>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</si>
  <si>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</si>
  <si>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</si>
  <si>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</si>
  <si>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</si>
  <si>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</si>
  <si>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</si>
  <si>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</si>
  <si>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</si>
  <si>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Design phase</t>
  </si>
  <si>
    <t>Construction phase</t>
  </si>
  <si>
    <t>Score</t>
  </si>
  <si>
    <t>No. credits available original</t>
  </si>
  <si>
    <t>No. Credits not available (filter)</t>
  </si>
  <si>
    <t>Commercial/industrial refrigeration and cold storage systems (Ene 05)</t>
  </si>
  <si>
    <t>Does the building contain  lifts, escalators or moving walks? (Ene 06)</t>
  </si>
  <si>
    <t>Laboratory function/area and size category (Ene 07, Hea 02)</t>
  </si>
  <si>
    <t>Laboratory containment level (Ene 07, Hea 02)</t>
  </si>
  <si>
    <t>Fume cupboard(s) and/or other containment devices (Ene 07, Hea 02,? )</t>
  </si>
  <si>
    <t>Does the assessed development contain external site access areas (e.g. vehicle access and parking areas)? (Hea 06)</t>
  </si>
  <si>
    <t>Are there any risks associated with natural hazards (other than flooding) for the assessed development? (Hea 07)</t>
  </si>
  <si>
    <t>What is the building type category (for the purpose of the Transport  section)? (Tra 1)</t>
  </si>
  <si>
    <t>Internal or external planting and/or soft landscaping (Wat 04)</t>
  </si>
  <si>
    <t>Vehicle Wash System (Wat 04)</t>
  </si>
  <si>
    <t>Laboratory present: &lt;10% of building's BRA</t>
  </si>
  <si>
    <t>Laboratory present: ≥10% - &lt;25% of building's BRA</t>
  </si>
  <si>
    <t>Laboratory present: ≥25% of building's BRA</t>
  </si>
  <si>
    <t>BREEAM-NOR 2016 New Construction Pre-Assessment Estimator: Version Control</t>
  </si>
  <si>
    <t>BREEAM-NOR 2016 New Construction Pre-Assessment Estimator: Summary of Building Performance</t>
  </si>
  <si>
    <t>BREEAM-NOR 2016 New Construction Pre-Assessment Estimator: Building Performance</t>
  </si>
  <si>
    <t>BREEAM-NOR 2016 New Construction Pre-Assessment Estimator: Assessment Details</t>
  </si>
  <si>
    <t>BREEAM-NOR 2016 New Construction Pre-Assessment Estimator</t>
  </si>
  <si>
    <t>(G)</t>
  </si>
  <si>
    <t>(Y)</t>
  </si>
  <si>
    <t>(R)</t>
  </si>
  <si>
    <t>(G) - Green - OK</t>
  </si>
  <si>
    <t>(Y) - Yellow - Unsure</t>
  </si>
  <si>
    <t>(R) - Red - Not OK</t>
  </si>
  <si>
    <t>Respon-sible</t>
  </si>
  <si>
    <t>Show results</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</si>
  <si>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</si>
  <si>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</si>
  <si>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</si>
  <si>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</si>
  <si>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Wst 02 Recycled aggregates</t>
  </si>
  <si>
    <t>Man 01 Project brief and design</t>
  </si>
  <si>
    <t>Man 02 Life cycle cost and service life planning</t>
  </si>
  <si>
    <t>Man 03 Responsible construction practices</t>
  </si>
  <si>
    <t>Man 04 Comissioning and handover</t>
  </si>
  <si>
    <t>Man 05 Aftercare</t>
  </si>
  <si>
    <t>Ene 02: Non residential</t>
  </si>
  <si>
    <t>Hea 08: Bare residential</t>
  </si>
  <si>
    <t>To activate select YES in cell P7</t>
  </si>
  <si>
    <t>To activate select YES in cell V7</t>
  </si>
  <si>
    <t>Mat03</t>
  </si>
  <si>
    <t>Mat 03 Responsible sourcing of mat.  - Crit 1.</t>
  </si>
  <si>
    <t>Wst 01 Construction site waste man.</t>
  </si>
  <si>
    <t xml:space="preserve">Copyright exists on the BREEAM logo and this may not be used or reproduced for any purpose without the prior written consent of the NGBC/BRE Global Ltd.
</t>
  </si>
  <si>
    <t>Note: If you are starting a new pre-assessment please ensure you are using the latest template version of the BREEAM-NOR 2016 Pre-Assessment Estimator and not a version used for an existing/previous pre-assessment.</t>
  </si>
  <si>
    <t>BREEAM-NOR Assessor Signature</t>
  </si>
  <si>
    <t>Indicative BREEAM-NOR rating</t>
  </si>
  <si>
    <t>Tra 06</t>
  </si>
  <si>
    <t>Tra 06 Home office</t>
  </si>
  <si>
    <t xml:space="preserve">Approved innovation credits </t>
  </si>
  <si>
    <t>Consulting engineer Engineering (RIB)</t>
  </si>
  <si>
    <t>Consulting engineer Environment (RIM)</t>
  </si>
  <si>
    <t>Consulting engineer Electrical (RIE)</t>
  </si>
  <si>
    <t>Consulting engineer HVAC (RIV)</t>
  </si>
  <si>
    <t>BREEAM-NOR Accredited Professional</t>
  </si>
  <si>
    <t>BREEAM-NOR scheme</t>
  </si>
  <si>
    <t>BREEAM-NOR version</t>
  </si>
  <si>
    <t>BREEAM-NOR 2016</t>
  </si>
  <si>
    <t>Process / manufacturing unit</t>
  </si>
  <si>
    <t>Vehicle servicing unit</t>
  </si>
  <si>
    <t>Warehouse storage / distribution</t>
  </si>
  <si>
    <t>General office building</t>
  </si>
  <si>
    <t>Office with research and development areas</t>
  </si>
  <si>
    <t>Café</t>
  </si>
  <si>
    <t>Drinking establishment</t>
  </si>
  <si>
    <t>Restaurant</t>
  </si>
  <si>
    <t>Retail park/warehouse</t>
  </si>
  <si>
    <t>Shop</t>
  </si>
  <si>
    <t>Shopping centre</t>
  </si>
  <si>
    <t>Showroom</t>
  </si>
  <si>
    <t>Apartment Blocks</t>
  </si>
  <si>
    <t>Individual dwelling</t>
  </si>
  <si>
    <t>Collection of individual dwellings/dwelling types</t>
  </si>
  <si>
    <t>Hot food takeaway</t>
  </si>
  <si>
    <t>Over the counter’ service provider</t>
  </si>
  <si>
    <t>1.01</t>
  </si>
  <si>
    <t xml:space="preserve">Assessment Details: Commercial/industrial refrigeration and cold storage systems (Ene 05) not visible when building type is residential. This change does not affect the calculations. </t>
  </si>
  <si>
    <t>Initial Release Version of BREEAM-NOR 2016 New Construction Pre-Assessment Tool.</t>
  </si>
  <si>
    <t>1.00</t>
  </si>
  <si>
    <t>1.02</t>
  </si>
  <si>
    <t>1.03</t>
  </si>
  <si>
    <t>No, confirmed by appropriate person</t>
  </si>
  <si>
    <t>Unknown</t>
  </si>
  <si>
    <t>Does the building require the use of refrigerants within its installed plant/systems? (Pol 01)</t>
  </si>
  <si>
    <t>Others, project team</t>
  </si>
  <si>
    <t>1.04</t>
  </si>
  <si>
    <r>
      <rPr>
        <b/>
        <sz val="11"/>
        <color indexed="8"/>
        <rFont val="Calibri"/>
        <family val="2"/>
      </rPr>
      <t xml:space="preserve">POL 01: </t>
    </r>
    <r>
      <rPr>
        <sz val="11"/>
        <color indexed="8"/>
        <rFont val="Calibri"/>
        <family val="2"/>
      </rPr>
      <t xml:space="preserve">Assessment details: Changed question ODP legislation to does the building contain refrigerants.
</t>
    </r>
    <r>
      <rPr>
        <b/>
        <sz val="11"/>
        <color indexed="8"/>
        <rFont val="Calibri"/>
        <family val="2"/>
      </rPr>
      <t>TRA 04:</t>
    </r>
    <r>
      <rPr>
        <sz val="11"/>
        <color indexed="8"/>
        <rFont val="Calibri"/>
        <family val="2"/>
      </rPr>
      <t xml:space="preserve"> Adjusted to 0 credits available when retail.</t>
    </r>
  </si>
  <si>
    <r>
      <rPr>
        <b/>
        <sz val="11"/>
        <color theme="1"/>
        <rFont val="Calibri"/>
        <family val="2"/>
        <scheme val="minor"/>
      </rPr>
      <t>Ene 05:</t>
    </r>
    <r>
      <rPr>
        <sz val="11"/>
        <color theme="1"/>
        <rFont val="Calibri"/>
        <family val="2"/>
        <scheme val="minor"/>
      </rPr>
      <t xml:space="preserve"> If the building does not contain commercial/industrial sized refrigeration system(s), 0 credits available in Pre-Assessment Estimator.</t>
    </r>
  </si>
  <si>
    <t>Does this industrial building have a heated or cooled operational area? (Pol 01, Pol 02)</t>
  </si>
  <si>
    <t>Does this industrial building have an office area? (Pol 01, Pol 02, Hea 03)</t>
  </si>
  <si>
    <t>Higher Education - University</t>
  </si>
  <si>
    <t>Preschool - Secondary Education</t>
  </si>
  <si>
    <t>Use this sheet if you need to copy the Pre-Assessment Estimator to new Excel Workbook</t>
  </si>
  <si>
    <t>For assessment details, HEA 07</t>
  </si>
  <si>
    <t>Please select</t>
  </si>
  <si>
    <t>Bespoke</t>
  </si>
  <si>
    <t>Inn 01 - Man 05 Aftercare</t>
  </si>
  <si>
    <t>Inn 02 - Hea 02 Indoor air quality</t>
  </si>
  <si>
    <t>Inn 03 - Tra 03 Alternative modes of transport</t>
  </si>
  <si>
    <t>Inn 04 - Wat 01 Water consumption</t>
  </si>
  <si>
    <t>Inn 07 - Wst 01 Construction site waste man.</t>
  </si>
  <si>
    <t>Inn 08 - Wst 02 Recycled aggregatess</t>
  </si>
  <si>
    <t xml:space="preserve">Inn 09 - Approved innovation credits </t>
  </si>
  <si>
    <t>BREEAM REFERANSE</t>
  </si>
  <si>
    <t>BREEAM-Topic EMNE</t>
  </si>
  <si>
    <t>Available credits TILGJENGELIGE POENG</t>
  </si>
  <si>
    <t>Is credits relevant for the project? Yes/No POENG AKTUELLE FOR PROSJEKTET? JA/NEI</t>
  </si>
  <si>
    <t>Ledelse:</t>
  </si>
  <si>
    <t>Project brief &amp; design</t>
  </si>
  <si>
    <t>YES</t>
  </si>
  <si>
    <t>Life cycle cost and service life planning</t>
  </si>
  <si>
    <t>Responsible construction practices</t>
  </si>
  <si>
    <t>Commissioning and handover</t>
  </si>
  <si>
    <t>Aftercare</t>
  </si>
  <si>
    <t>Helse og innemiljø:</t>
  </si>
  <si>
    <r>
      <rPr>
        <b/>
        <sz val="9"/>
        <color theme="1"/>
        <rFont val="Calibri"/>
        <family val="2"/>
        <scheme val="minor"/>
      </rPr>
      <t>Visual comfort:</t>
    </r>
    <r>
      <rPr>
        <sz val="9"/>
        <color theme="1"/>
        <rFont val="Calibri"/>
        <family val="2"/>
        <scheme val="minor"/>
      </rPr>
      <t xml:space="preserve">
Daylighting</t>
    </r>
  </si>
  <si>
    <t>Glare control and view out</t>
  </si>
  <si>
    <t>Internal and External lighting</t>
  </si>
  <si>
    <r>
      <rPr>
        <b/>
        <sz val="9"/>
        <color theme="1"/>
        <rFont val="Calibri"/>
        <family val="2"/>
        <scheme val="minor"/>
      </rPr>
      <t>Indoor air quality:</t>
    </r>
    <r>
      <rPr>
        <sz val="9"/>
        <color theme="1"/>
        <rFont val="Calibri"/>
        <family val="2"/>
        <scheme val="minor"/>
      </rPr>
      <t xml:space="preserve">
Minimising sources of air pollution</t>
    </r>
  </si>
  <si>
    <t>Potential for natural ventilation</t>
  </si>
  <si>
    <t>Laboratory fume cupboard and containment areas</t>
  </si>
  <si>
    <t>NO</t>
  </si>
  <si>
    <t>Thermal comfort</t>
  </si>
  <si>
    <t>Microbial contamination</t>
  </si>
  <si>
    <t>Acoustic performance</t>
  </si>
  <si>
    <t>Safe access</t>
  </si>
  <si>
    <t>Natural hazards</t>
  </si>
  <si>
    <t>Private space</t>
  </si>
  <si>
    <t>Moisture protection</t>
  </si>
  <si>
    <t>Energi:</t>
  </si>
  <si>
    <t>Energy efficiency</t>
  </si>
  <si>
    <t>Energy monitoring</t>
  </si>
  <si>
    <t>Ene 02b</t>
  </si>
  <si>
    <t>External Lighting</t>
  </si>
  <si>
    <t>Low and zero carbon technologies</t>
  </si>
  <si>
    <t>Energy efficient cold storage</t>
  </si>
  <si>
    <t>Energy efficient transportation systems</t>
  </si>
  <si>
    <t>Energy efficient laboratory systems</t>
  </si>
  <si>
    <t>Energy efficient equipment</t>
  </si>
  <si>
    <t>Drying space</t>
  </si>
  <si>
    <t>Energy performance of building structure</t>
  </si>
  <si>
    <t>Transport:</t>
  </si>
  <si>
    <t>Public transport accessibility</t>
  </si>
  <si>
    <t>Proximity to amenities</t>
  </si>
  <si>
    <t>Tra 03a</t>
  </si>
  <si>
    <t>Alternative modes of transport</t>
  </si>
  <si>
    <t>Tra 03b</t>
  </si>
  <si>
    <t>Maximum car parking capacity</t>
  </si>
  <si>
    <t>Travel plan</t>
  </si>
  <si>
    <t>Home office</t>
  </si>
  <si>
    <t>Vann:</t>
  </si>
  <si>
    <t>Water consumption</t>
  </si>
  <si>
    <t>Water monitoring</t>
  </si>
  <si>
    <t>Water leak detection and prevention</t>
  </si>
  <si>
    <t>Water efficient equipment</t>
  </si>
  <si>
    <t>Materialer:</t>
  </si>
  <si>
    <t>Life cycle impacts</t>
  </si>
  <si>
    <t xml:space="preserve">Responsible sourcing of materials </t>
  </si>
  <si>
    <t>Designing for robustness</t>
  </si>
  <si>
    <t>Avfall:</t>
  </si>
  <si>
    <t>Construction waste management</t>
  </si>
  <si>
    <t>Recycled aggregates</t>
  </si>
  <si>
    <t>Wst 03a</t>
  </si>
  <si>
    <t>Operational waste</t>
  </si>
  <si>
    <t>Wst 03b</t>
  </si>
  <si>
    <t>Speculative floor &amp; ceiling finishes</t>
  </si>
  <si>
    <t>Arealbruk og økologi:</t>
  </si>
  <si>
    <t>Site selection</t>
  </si>
  <si>
    <t>Ecological value of site and protection of ecological features</t>
  </si>
  <si>
    <t>Enhancing site ecology</t>
  </si>
  <si>
    <t>Long term impact on biodiversity</t>
  </si>
  <si>
    <t>Building footprint</t>
  </si>
  <si>
    <t>Forurensning:</t>
  </si>
  <si>
    <t>Pol 01</t>
  </si>
  <si>
    <t>Impact of refrigerants</t>
  </si>
  <si>
    <t>Pol 02</t>
  </si>
  <si>
    <t>NOx emissions</t>
  </si>
  <si>
    <t>Pol 03</t>
  </si>
  <si>
    <t>Flood risk management and reducing surface water run-off</t>
  </si>
  <si>
    <t>Pol 04</t>
  </si>
  <si>
    <t xml:space="preserve">Reduction of Night Time Light Pollution </t>
  </si>
  <si>
    <t>Pol 05</t>
  </si>
  <si>
    <t>Reduction of noise pollution</t>
  </si>
  <si>
    <t>Innovasjon:</t>
  </si>
  <si>
    <t>Indoor air quality</t>
  </si>
  <si>
    <t>Responsible sourcing of materials</t>
  </si>
  <si>
    <t>Construction site waste management</t>
  </si>
  <si>
    <t>BESPOKE</t>
  </si>
  <si>
    <t>TEST</t>
  </si>
  <si>
    <t>Lim inn her</t>
  </si>
  <si>
    <t>1.05</t>
  </si>
  <si>
    <t>Building name:</t>
  </si>
  <si>
    <t>Land use &amp; Ecology</t>
  </si>
  <si>
    <t>Exemplary level and innovation (max 10 credits)</t>
  </si>
  <si>
    <r>
      <t xml:space="preserve">Pol 01: </t>
    </r>
    <r>
      <rPr>
        <sz val="11"/>
        <color theme="1"/>
        <rFont val="Calibri"/>
        <family val="2"/>
        <scheme val="minor"/>
      </rPr>
      <t>Available credits for  builings with and without refrigerants within its installed plant/systems: 3 credits.</t>
    </r>
    <r>
      <rPr>
        <b/>
        <sz val="11"/>
        <color theme="1"/>
        <rFont val="Calibri"/>
        <family val="2"/>
        <scheme val="minor"/>
      </rPr>
      <t xml:space="preserve">
Pol 02</t>
    </r>
    <r>
      <rPr>
        <sz val="11"/>
        <color theme="1"/>
        <rFont val="Calibri"/>
        <family val="2"/>
        <scheme val="minor"/>
      </rPr>
      <t xml:space="preserve">: Industrial building, If the building does not contain an office area, and the operational area is designed to be unheated without significant hot water, 0 credits available in Pre-Assessment Estimator.
</t>
    </r>
    <r>
      <rPr>
        <b/>
        <sz val="11"/>
        <color theme="1"/>
        <rFont val="Calibri"/>
        <family val="2"/>
        <scheme val="minor"/>
      </rPr>
      <t>Tra 01</t>
    </r>
    <r>
      <rPr>
        <sz val="11"/>
        <color theme="1"/>
        <rFont val="Calibri"/>
        <family val="2"/>
        <scheme val="minor"/>
      </rPr>
      <t xml:space="preserve">: Education, If Preschool - Secondary Education, 3 credits available in Pre-Assessment Estimator (adjusted from 5 credits).
</t>
    </r>
    <r>
      <rPr>
        <b/>
        <sz val="11"/>
        <color theme="1"/>
        <rFont val="Calibri"/>
        <family val="2"/>
        <scheme val="minor"/>
      </rPr>
      <t>Hea 02:</t>
    </r>
    <r>
      <rPr>
        <sz val="11"/>
        <color theme="1"/>
        <rFont val="Calibri"/>
        <family val="2"/>
        <scheme val="minor"/>
      </rPr>
      <t xml:space="preserve"> Corrected minimum standard in tool according to manual: min 2 credits for VG, min 3 credits for E and O (criteria 6 and 8 includes criteria 1).</t>
    </r>
  </si>
  <si>
    <t>Man 04 Commissioning and handover</t>
  </si>
  <si>
    <t>POL 02 NOx emissions</t>
  </si>
  <si>
    <t>Building description</t>
  </si>
  <si>
    <t>Comment</t>
  </si>
  <si>
    <t>Pre-Assessment Estimator, version:</t>
  </si>
  <si>
    <r>
      <rPr>
        <b/>
        <sz val="11"/>
        <color indexed="8"/>
        <rFont val="Calibri"/>
        <family val="2"/>
      </rPr>
      <t>Sheet Pre-Assessment Estimator:</t>
    </r>
    <r>
      <rPr>
        <sz val="11"/>
        <color indexed="8"/>
        <rFont val="Calibri"/>
        <family val="2"/>
      </rPr>
      <t xml:space="preserve"> Fixed yes/no error for Design phase progression and Construction phase progression
</t>
    </r>
    <r>
      <rPr>
        <b/>
        <sz val="11"/>
        <color indexed="8"/>
        <rFont val="Calibri"/>
        <family val="2"/>
      </rPr>
      <t>Added "PAE available for copy"</t>
    </r>
    <r>
      <rPr>
        <sz val="11"/>
        <color indexed="8"/>
        <rFont val="Calibri"/>
        <family val="2"/>
      </rPr>
      <t>: Use this sheet if you need to copy the Pre-Assessment Estimator to new Excel Workbook</t>
    </r>
    <r>
      <rPr>
        <b/>
        <sz val="11"/>
        <color indexed="8"/>
        <rFont val="Calibri"/>
        <family val="2"/>
      </rPr>
      <t/>
    </r>
  </si>
  <si>
    <t>1.06</t>
  </si>
  <si>
    <r>
      <rPr>
        <b/>
        <sz val="11"/>
        <color indexed="8"/>
        <rFont val="Calibri"/>
        <family val="2"/>
      </rPr>
      <t>Sheet Assessment Details:</t>
    </r>
    <r>
      <rPr>
        <sz val="11"/>
        <color indexed="8"/>
        <rFont val="Calibri"/>
        <family val="2"/>
      </rPr>
      <t xml:space="preserve"> Corrected error: when editing text, the existing text disappeared.</t>
    </r>
  </si>
  <si>
    <r>
      <rPr>
        <b/>
        <sz val="11"/>
        <color theme="1"/>
        <rFont val="Calibri"/>
        <family val="2"/>
        <scheme val="minor"/>
      </rPr>
      <t xml:space="preserve">Disclaimer </t>
    </r>
    <r>
      <rPr>
        <sz val="11"/>
        <color theme="1"/>
        <rFont val="Calibri"/>
        <family val="2"/>
        <scheme val="minor"/>
      </rPr>
      <t xml:space="preserve">
Thank you for downloading and using the BREEAM-NOR New Construction 2016 Pre-Assessment Estimator. 
If you are using the Pre-Assessment Estimator for the first time please take a few moments to read the following: 
The Pre-Assessment Estimator is the property of GBA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GBA/BRE Global Ltd accepts no responsibility for any actions taken as a result of information presented or interpreted by the BREEAM-NOR Pre-Assessment Estimator. </t>
    </r>
  </si>
  <si>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2016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</si>
  <si>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2016 Pre-Assessment Estimator_v1.0 - Office HQ 1/11/16.</t>
    </r>
  </si>
  <si>
    <t>Utviklet for Grønn Byggallianse av Asplan Viak i samarbeid med Vedal og OSU</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</si>
  <si>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(SD5075NOR). Furthermore, I confirm that this assessment and the information on which it is based has been checked and verified in accordance with GBA/BRE Global Ltd's UKAS accredited BREEAM-NOR operating procedures for BREEAM-NOR assessments and assessors, as described in the  technical scheme document (SD5075NOR) and associated BREEAM-NOR operational documents.</t>
  </si>
  <si>
    <t>This Pre-Assessment Estimator is the property of GBA and BRE Global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GBA/BRE Global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</si>
  <si>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t>The BREEAM and BREEAM-NOR name and logo are registered trademarks of the Building Research Establishment Limited.</t>
  </si>
  <si>
    <r>
      <rPr>
        <b/>
        <sz val="11"/>
        <color indexed="8"/>
        <rFont val="Calibri"/>
        <family val="2"/>
      </rPr>
      <t>All sheets</t>
    </r>
    <r>
      <rPr>
        <b/>
        <sz val="11"/>
        <color rgb="FF000000"/>
        <rFont val="Calibri"/>
        <family val="2"/>
      </rPr>
      <t>:</t>
    </r>
    <r>
      <rPr>
        <sz val="11"/>
        <color rgb="FF000000"/>
        <rFont val="Calibri"/>
        <family val="2"/>
      </rPr>
      <t xml:space="preserve"> Updated names and logos to reflect the new Grønn Byggallianse organisation</t>
    </r>
  </si>
  <si>
    <t>1.07</t>
  </si>
  <si>
    <t>Inn 08 - Wst 02 Recycled aggregates</t>
  </si>
  <si>
    <t>Shell and core</t>
  </si>
  <si>
    <t>Ja</t>
  </si>
  <si>
    <t>Nei</t>
  </si>
  <si>
    <t>Option 1</t>
  </si>
  <si>
    <t>Option 2</t>
  </si>
  <si>
    <t>Option 3</t>
  </si>
  <si>
    <t>Næringsbygg</t>
  </si>
  <si>
    <t>Option 2:  -50% credit</t>
  </si>
  <si>
    <t xml:space="preserve">Naturally ventilated </t>
  </si>
  <si>
    <t>Shell core</t>
  </si>
  <si>
    <t>HEA 01</t>
  </si>
  <si>
    <t>HEA 02</t>
  </si>
  <si>
    <t>ENE 02a</t>
  </si>
  <si>
    <t>WAT 03</t>
  </si>
  <si>
    <t>ledig</t>
  </si>
  <si>
    <t>Faktor</t>
  </si>
  <si>
    <t>minus</t>
  </si>
  <si>
    <t>Hva</t>
  </si>
  <si>
    <t>Maks</t>
  </si>
  <si>
    <t>gange</t>
  </si>
  <si>
    <t>S/C</t>
  </si>
  <si>
    <t>Shell/core</t>
  </si>
  <si>
    <t>Endring</t>
  </si>
  <si>
    <t>Shell Core</t>
  </si>
  <si>
    <t>Påvirker poeng</t>
  </si>
  <si>
    <t>Juster endring</t>
  </si>
  <si>
    <t>Minus</t>
  </si>
  <si>
    <t>INN</t>
  </si>
  <si>
    <t>Gange</t>
  </si>
  <si>
    <t>Ny maksverdi ved nei</t>
  </si>
  <si>
    <t>Hvis ikke S/C</t>
  </si>
  <si>
    <t>Innovasjon</t>
  </si>
  <si>
    <t>Minus elelr gange</t>
  </si>
  <si>
    <t>S/C bare næring. Ja = bare næring. Nei = kun bolig</t>
  </si>
  <si>
    <t>Alle</t>
  </si>
  <si>
    <t>VOC N/A</t>
  </si>
  <si>
    <t>Sub-metering N/A</t>
  </si>
  <si>
    <t>Flow control N/A</t>
  </si>
  <si>
    <t>O2: Glare control (-0,5 c)</t>
  </si>
  <si>
    <t>O2: Artificial lighting (-0,5 c)</t>
  </si>
  <si>
    <t>O1: Glare ctrl/artificial light</t>
  </si>
  <si>
    <t/>
  </si>
  <si>
    <t>O1: VOC</t>
  </si>
  <si>
    <t>O2: VOC (AC 6-7: -0,5 c)</t>
  </si>
  <si>
    <t>O2: VOC (AC 8-9: -1,0 c)</t>
  </si>
  <si>
    <t>O3: VOC</t>
  </si>
  <si>
    <t>O2: Flow control (-0,5 c)</t>
  </si>
  <si>
    <t>O1: Flow control</t>
  </si>
  <si>
    <t xml:space="preserve">O3: Flow control </t>
  </si>
  <si>
    <t>O1: Sub-metering</t>
  </si>
  <si>
    <t>O2: Sub-met. (AC 1-3: -0,5 c)</t>
  </si>
  <si>
    <t>O2: Sub-met. (AC 4-7: -1,0 c)</t>
  </si>
  <si>
    <t>O3: Sub-metering</t>
  </si>
  <si>
    <t>O3: Glare ctrl/artif lighting</t>
  </si>
  <si>
    <t>O2: Glare ctrl &amp; artif light (-1,0 c)</t>
  </si>
  <si>
    <t>Glare ctrl/artif lighting N/A</t>
  </si>
  <si>
    <t>Påvirker minimumspoeng</t>
  </si>
  <si>
    <t>shell core</t>
  </si>
  <si>
    <t>Option 2: Where relevant, 50% of achieved credit is subtracted from score.</t>
  </si>
  <si>
    <t>1.08</t>
  </si>
  <si>
    <r>
      <rPr>
        <b/>
        <sz val="11"/>
        <color rgb="FF000000"/>
        <rFont val="Calibri"/>
        <family val="2"/>
      </rPr>
      <t>Assessment Details:</t>
    </r>
    <r>
      <rPr>
        <sz val="11"/>
        <color indexed="8"/>
        <rFont val="Calibri"/>
        <family val="2"/>
      </rPr>
      <t xml:space="preserve"> Added function for New Construction (</t>
    </r>
    <r>
      <rPr>
        <b/>
        <sz val="11"/>
        <color rgb="FF000000"/>
        <rFont val="Calibri"/>
        <family val="2"/>
      </rPr>
      <t>shell only</t>
    </r>
    <r>
      <rPr>
        <sz val="11"/>
        <color indexed="8"/>
        <rFont val="Calibri"/>
        <family val="2"/>
      </rPr>
      <t>) and Major Refurbishment (</t>
    </r>
    <r>
      <rPr>
        <b/>
        <sz val="11"/>
        <color rgb="FF000000"/>
        <rFont val="Calibri"/>
        <family val="2"/>
      </rPr>
      <t>shell only)</t>
    </r>
    <r>
      <rPr>
        <sz val="11"/>
        <color indexed="8"/>
        <rFont val="Calibri"/>
        <family val="2"/>
      </rPr>
      <t xml:space="preserve">.
</t>
    </r>
    <r>
      <rPr>
        <b/>
        <sz val="11"/>
        <color rgb="FF000000"/>
        <rFont val="Calibri"/>
        <family val="2"/>
      </rPr>
      <t>Pre-Assessment Estimator:</t>
    </r>
    <r>
      <rPr>
        <sz val="11"/>
        <color indexed="8"/>
        <rFont val="Calibri"/>
        <family val="2"/>
      </rPr>
      <t xml:space="preserve"> See column X for option for shell &amp; core.
No changes for fully fitted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</si>
</sst>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F800]dddd\,\ mmmm\ dd\,\ yyyy"/>
  </numFmts>
  <fonts count="98"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sz val="14"/>
      <color rgb="FF406564"/>
      <name val="Calibri"/>
      <family val="2"/>
      <scheme val="minor"/>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b/>
      <sz val="11"/>
      <color indexed="8"/>
      <name val="Calibri"/>
      <family val="2"/>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4"/>
      <color indexed="9"/>
      <name val="Calibri"/>
      <family val="2"/>
    </font>
    <font>
      <sz val="11"/>
      <color indexed="9"/>
      <name val="Calibri"/>
      <family val="2"/>
    </font>
    <font>
      <b/>
      <sz val="11"/>
      <color indexed="10"/>
      <name val="Calibri"/>
      <family val="2"/>
    </font>
    <font>
      <b/>
      <sz val="11"/>
      <color rgb="FFFF0000"/>
      <name val="Calibri"/>
      <family val="2"/>
      <scheme val="minor"/>
    </font>
    <font>
      <b/>
      <sz val="14"/>
      <color rgb="FF3D6864"/>
      <name val="Calibri"/>
      <family val="2"/>
      <scheme val="minor"/>
    </font>
    <font>
      <b/>
      <sz val="12"/>
      <color indexed="8"/>
      <name val="Calibri"/>
      <family val="2"/>
    </font>
    <font>
      <sz val="12"/>
      <color indexed="8"/>
      <name val="Calibri"/>
      <family val="2"/>
    </font>
    <font>
      <b/>
      <sz val="12"/>
      <color indexed="9"/>
      <name val="Calibri"/>
      <family val="2"/>
    </font>
    <font>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sz val="12"/>
      <name val="Calibri"/>
      <family val="2"/>
    </font>
    <font>
      <b/>
      <sz val="12"/>
      <color rgb="FF3D6864"/>
      <name val="Calibri"/>
      <family val="2"/>
    </font>
    <font>
      <sz val="12"/>
      <color rgb="FF406564"/>
      <name val="Calibri"/>
      <family val="2"/>
    </font>
    <font>
      <sz val="11"/>
      <name val="Calibri"/>
      <family val="2"/>
      <scheme val="minor"/>
    </font>
    <font>
      <sz val="11"/>
      <color indexed="57"/>
      <name val="Calibri"/>
      <family val="2"/>
    </font>
    <font>
      <sz val="11"/>
      <color theme="1"/>
      <name val="Calibri"/>
      <family val="2"/>
    </font>
    <font>
      <sz val="12"/>
      <color theme="1"/>
      <name val="Calibri"/>
      <family val="2"/>
    </font>
    <font>
      <sz val="9"/>
      <color indexed="8"/>
      <name val="Calibri"/>
      <family val="2"/>
    </font>
    <font>
      <sz val="9"/>
      <color theme="1"/>
      <name val="Calibri"/>
      <family val="2"/>
    </font>
    <font>
      <sz val="8"/>
      <color indexed="8"/>
      <name val="Calibri"/>
      <family val="2"/>
    </font>
    <font>
      <sz val="11"/>
      <color rgb="FF406564"/>
      <name val="Calibri"/>
      <family val="2"/>
      <scheme val="minor"/>
    </font>
    <font>
      <sz val="11"/>
      <color rgb="FFFF0000"/>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s>
  <fills count="22">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s>
  <borders count="1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right style="medium">
        <color rgb="FF3D6864"/>
      </right>
      <top style="thin">
        <color indexed="64"/>
      </top>
      <bottom style="thin">
        <color indexed="64"/>
      </bottom>
      <diagonal/>
    </border>
    <border>
      <left/>
      <right style="medium">
        <color rgb="FF3D6864"/>
      </right>
      <top style="thin">
        <color theme="0"/>
      </top>
      <bottom style="thin">
        <color theme="0"/>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style="thin">
        <color indexed="64"/>
      </left>
      <right style="medium">
        <color rgb="FF3D6864"/>
      </right>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
      <left style="medium">
        <color indexed="64"/>
      </left>
      <right style="thin">
        <color theme="0" tint="-0.249977111117893"/>
      </right>
      <top/>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s>
  <cellStyleXfs count="4">
    <xf numFmtId="0" fontId="0" fillId="0" borderId="0"/>
    <xf numFmtId="0" fontId="2" fillId="0" borderId="0"/>
    <xf numFmtId="9" fontId="6" fillId="0" borderId="0" applyFont="0" applyFill="0" applyBorder="0" applyAlignment="0" applyProtection="0"/>
    <xf numFmtId="0" fontId="55" fillId="17" borderId="0" applyNumberFormat="0" applyBorder="0" applyAlignment="0" applyProtection="0"/>
  </cellStyleXfs>
  <cellXfs count="963">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9" fillId="2" borderId="0" xfId="0" applyFont="1" applyFill="1" applyProtection="1">
      <protection hidden="1"/>
    </xf>
    <xf numFmtId="0" fontId="11" fillId="2" borderId="0" xfId="0" applyFont="1" applyFill="1" applyProtection="1">
      <protection hidden="1"/>
    </xf>
    <xf numFmtId="0" fontId="12"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2" borderId="0" xfId="0" applyFont="1" applyFill="1" applyProtection="1">
      <protection hidden="1"/>
    </xf>
    <xf numFmtId="0" fontId="18" fillId="2" borderId="0" xfId="0" applyFont="1" applyFill="1" applyAlignment="1" applyProtection="1">
      <alignment vertical="top" wrapText="1"/>
      <protection hidden="1"/>
    </xf>
    <xf numFmtId="0" fontId="18" fillId="2" borderId="0" xfId="0" applyFont="1" applyFill="1" applyAlignment="1" applyProtection="1">
      <alignment horizontal="left" vertical="top" wrapText="1"/>
      <protection hidden="1"/>
    </xf>
    <xf numFmtId="0" fontId="17"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0" fillId="4" borderId="0" xfId="0" applyFill="1" applyProtection="1">
      <protection hidden="1"/>
    </xf>
    <xf numFmtId="0" fontId="26" fillId="5" borderId="0" xfId="0" applyFont="1" applyFill="1" applyBorder="1" applyAlignment="1" applyProtection="1">
      <alignment horizontal="center" vertical="center"/>
      <protection hidden="1"/>
    </xf>
    <xf numFmtId="0" fontId="24" fillId="2" borderId="0" xfId="0" applyFont="1" applyFill="1" applyProtection="1">
      <protection hidden="1"/>
    </xf>
    <xf numFmtId="0" fontId="1" fillId="4" borderId="0" xfId="0" applyFont="1" applyFill="1" applyProtection="1">
      <protection hidden="1"/>
    </xf>
    <xf numFmtId="0" fontId="11"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17" fillId="2" borderId="0" xfId="0" applyFont="1" applyFill="1" applyAlignment="1" applyProtection="1">
      <alignment horizontal="left" vertical="top" wrapText="1"/>
      <protection hidden="1"/>
    </xf>
    <xf numFmtId="0" fontId="23"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7" fillId="0" borderId="0" xfId="0" applyFont="1" applyFill="1" applyAlignment="1" applyProtection="1">
      <alignment vertical="top" wrapText="1"/>
      <protection hidden="1"/>
    </xf>
    <xf numFmtId="0" fontId="0" fillId="0" borderId="0" xfId="0"/>
    <xf numFmtId="0" fontId="23"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16" fillId="4" borderId="0" xfId="0" applyFont="1" applyFill="1" applyBorder="1" applyAlignment="1" applyProtection="1">
      <alignment horizontal="right" vertical="center"/>
      <protection hidden="1"/>
    </xf>
    <xf numFmtId="0" fontId="11"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9" fillId="4" borderId="0" xfId="0" applyFont="1" applyFill="1" applyBorder="1" applyAlignment="1" applyProtection="1">
      <alignment horizontal="left" vertical="center" wrapText="1"/>
      <protection hidden="1"/>
    </xf>
    <xf numFmtId="0" fontId="33" fillId="2" borderId="0" xfId="0" applyFont="1" applyFill="1" applyProtection="1">
      <protection hidden="1"/>
    </xf>
    <xf numFmtId="0" fontId="0" fillId="2" borderId="0" xfId="0" applyFont="1" applyFill="1" applyAlignment="1" applyProtection="1">
      <alignment vertical="top"/>
      <protection hidden="1"/>
    </xf>
    <xf numFmtId="0" fontId="33" fillId="2" borderId="0" xfId="0" applyFont="1" applyFill="1" applyAlignment="1" applyProtection="1">
      <alignment vertical="top" wrapText="1"/>
      <protection hidden="1"/>
    </xf>
    <xf numFmtId="0" fontId="23" fillId="4" borderId="0" xfId="0" applyFont="1" applyFill="1" applyBorder="1" applyAlignment="1" applyProtection="1">
      <alignment horizontal="left" wrapText="1"/>
      <protection hidden="1"/>
    </xf>
    <xf numFmtId="0" fontId="23" fillId="6" borderId="34" xfId="0" applyFont="1" applyFill="1" applyBorder="1" applyProtection="1">
      <protection hidden="1"/>
    </xf>
    <xf numFmtId="0" fontId="26" fillId="4" borderId="7" xfId="0" applyFont="1" applyFill="1" applyBorder="1" applyAlignment="1" applyProtection="1">
      <alignment horizontal="center" vertical="center"/>
      <protection locked="0"/>
    </xf>
    <xf numFmtId="0" fontId="23" fillId="4" borderId="0" xfId="0" applyFont="1" applyFill="1" applyProtection="1">
      <protection hidden="1"/>
    </xf>
    <xf numFmtId="0" fontId="0" fillId="5" borderId="0" xfId="0" applyFill="1" applyBorder="1" applyAlignment="1" applyProtection="1">
      <alignment horizontal="center" vertical="center"/>
      <protection hidden="1"/>
    </xf>
    <xf numFmtId="0" fontId="26" fillId="4" borderId="45" xfId="0" applyFont="1" applyFill="1" applyBorder="1" applyAlignment="1" applyProtection="1">
      <alignment horizontal="center" vertical="center"/>
      <protection locked="0"/>
    </xf>
    <xf numFmtId="0" fontId="0" fillId="2" borderId="0" xfId="0" applyFill="1" applyBorder="1" applyAlignment="1" applyProtection="1">
      <alignment horizontal="left"/>
      <protection hidden="1"/>
    </xf>
    <xf numFmtId="0" fontId="0" fillId="8" borderId="0" xfId="0" applyFont="1"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3" fillId="10" borderId="66" xfId="0" applyFont="1" applyFill="1" applyBorder="1"/>
    <xf numFmtId="0" fontId="0" fillId="0" borderId="3" xfId="0" applyBorder="1"/>
    <xf numFmtId="0" fontId="0" fillId="12" borderId="3" xfId="0" applyFill="1" applyBorder="1"/>
    <xf numFmtId="0" fontId="32" fillId="13" borderId="66" xfId="0" applyFont="1" applyFill="1" applyBorder="1"/>
    <xf numFmtId="0" fontId="23" fillId="10" borderId="54" xfId="0" applyFont="1" applyFill="1" applyBorder="1" applyAlignment="1" applyProtection="1">
      <alignment wrapText="1"/>
      <protection hidden="1"/>
    </xf>
    <xf numFmtId="0" fontId="0" fillId="8" borderId="65" xfId="0" applyFont="1" applyFill="1" applyBorder="1"/>
    <xf numFmtId="0" fontId="23" fillId="10" borderId="10" xfId="0" applyFont="1" applyFill="1" applyBorder="1" applyAlignment="1" applyProtection="1">
      <alignment wrapText="1"/>
      <protection hidden="1"/>
    </xf>
    <xf numFmtId="0" fontId="23" fillId="6" borderId="0" xfId="0" applyFont="1" applyFill="1" applyBorder="1" applyProtection="1">
      <protection hidden="1"/>
    </xf>
    <xf numFmtId="0" fontId="0" fillId="8" borderId="66" xfId="0" applyFill="1" applyBorder="1"/>
    <xf numFmtId="0" fontId="1" fillId="5" borderId="54" xfId="0" applyFont="1" applyFill="1" applyBorder="1" applyAlignment="1" applyProtection="1">
      <alignment vertical="center"/>
      <protection hidden="1"/>
    </xf>
    <xf numFmtId="0" fontId="1" fillId="5" borderId="67" xfId="0" applyFont="1" applyFill="1" applyBorder="1" applyAlignment="1" applyProtection="1">
      <alignment horizontal="left" vertical="center"/>
      <protection hidden="1"/>
    </xf>
    <xf numFmtId="0" fontId="23" fillId="2" borderId="0" xfId="0" applyFont="1" applyFill="1" applyProtection="1">
      <protection hidden="1"/>
    </xf>
    <xf numFmtId="0" fontId="23" fillId="10" borderId="89" xfId="0" applyFont="1" applyFill="1" applyBorder="1"/>
    <xf numFmtId="0" fontId="0" fillId="8" borderId="67" xfId="0" applyFill="1" applyBorder="1"/>
    <xf numFmtId="0" fontId="0" fillId="8" borderId="5" xfId="0" applyFill="1" applyBorder="1"/>
    <xf numFmtId="0" fontId="0" fillId="8" borderId="2" xfId="0" applyFill="1" applyBorder="1"/>
    <xf numFmtId="0" fontId="0" fillId="8" borderId="0" xfId="0" applyFill="1"/>
    <xf numFmtId="0" fontId="0" fillId="0" borderId="15" xfId="0" applyBorder="1"/>
    <xf numFmtId="0" fontId="0" fillId="12" borderId="15" xfId="0" applyFill="1" applyBorder="1"/>
    <xf numFmtId="0" fontId="26" fillId="3" borderId="42" xfId="0" applyFont="1" applyFill="1" applyBorder="1" applyAlignment="1" applyProtection="1">
      <alignment horizontal="center" vertical="center"/>
      <protection locked="0"/>
    </xf>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7" xfId="0" applyFill="1" applyBorder="1" applyProtection="1">
      <protection hidden="1"/>
    </xf>
    <xf numFmtId="0" fontId="0" fillId="2" borderId="59" xfId="0" applyFill="1" applyBorder="1" applyProtection="1">
      <protection hidden="1"/>
    </xf>
    <xf numFmtId="0" fontId="0" fillId="2" borderId="60" xfId="0" applyFill="1" applyBorder="1" applyProtection="1">
      <protection hidden="1"/>
    </xf>
    <xf numFmtId="0" fontId="0" fillId="2" borderId="62" xfId="0" applyFill="1" applyBorder="1" applyProtection="1">
      <protection hidden="1"/>
    </xf>
    <xf numFmtId="0" fontId="26" fillId="3" borderId="6" xfId="0" applyFont="1" applyFill="1" applyBorder="1" applyAlignment="1" applyProtection="1">
      <alignment horizontal="center" vertical="center"/>
      <protection locked="0"/>
    </xf>
    <xf numFmtId="0" fontId="23" fillId="6" borderId="103" xfId="0" applyFont="1" applyFill="1" applyBorder="1" applyProtection="1">
      <protection hidden="1"/>
    </xf>
    <xf numFmtId="0" fontId="26"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6" fillId="4" borderId="2"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6" fillId="4" borderId="45" xfId="0" applyFont="1" applyFill="1" applyBorder="1" applyAlignment="1" applyProtection="1">
      <alignment horizontal="center" vertical="center" wrapText="1"/>
      <protection locked="0"/>
    </xf>
    <xf numFmtId="0" fontId="1" fillId="5" borderId="56" xfId="0" applyFont="1" applyFill="1" applyBorder="1" applyAlignment="1" applyProtection="1">
      <alignment vertical="center"/>
      <protection hidden="1"/>
    </xf>
    <xf numFmtId="0" fontId="1" fillId="5" borderId="57" xfId="0" applyFont="1" applyFill="1" applyBorder="1" applyAlignment="1" applyProtection="1">
      <alignment vertical="center"/>
      <protection hidden="1"/>
    </xf>
    <xf numFmtId="0" fontId="1" fillId="5" borderId="61" xfId="0" applyFont="1" applyFill="1" applyBorder="1" applyAlignment="1" applyProtection="1">
      <alignment horizontal="left" vertical="center"/>
      <protection hidden="1"/>
    </xf>
    <xf numFmtId="0" fontId="1" fillId="5" borderId="62" xfId="0" applyFont="1" applyFill="1" applyBorder="1" applyAlignment="1" applyProtection="1">
      <alignment vertical="center"/>
      <protection hidden="1"/>
    </xf>
    <xf numFmtId="10" fontId="9" fillId="5" borderId="104" xfId="2" applyNumberFormat="1" applyFont="1" applyFill="1" applyBorder="1" applyAlignment="1" applyProtection="1">
      <alignment horizontal="left" vertical="center"/>
      <protection hidden="1"/>
    </xf>
    <xf numFmtId="0" fontId="32" fillId="0" borderId="0" xfId="0" applyFont="1" applyFill="1" applyProtection="1">
      <protection hidden="1"/>
    </xf>
    <xf numFmtId="0" fontId="41" fillId="3" borderId="106" xfId="0" applyFont="1" applyFill="1" applyBorder="1" applyAlignment="1" applyProtection="1">
      <alignment horizontal="left" vertical="center"/>
      <protection hidden="1"/>
    </xf>
    <xf numFmtId="0" fontId="0" fillId="8" borderId="2" xfId="0" applyFill="1" applyBorder="1" applyProtection="1">
      <protection hidden="1"/>
    </xf>
    <xf numFmtId="0" fontId="13"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2" borderId="0" xfId="0" applyFill="1" applyBorder="1" applyAlignment="1" applyProtection="1">
      <protection hidden="1"/>
    </xf>
    <xf numFmtId="0" fontId="19" fillId="4" borderId="0" xfId="0" applyFont="1" applyFill="1" applyBorder="1" applyAlignment="1" applyProtection="1">
      <alignment vertical="top" wrapText="1"/>
      <protection hidden="1"/>
    </xf>
    <xf numFmtId="0" fontId="0" fillId="8" borderId="0" xfId="0" applyFont="1" applyFill="1" applyAlignment="1" applyProtection="1">
      <alignment vertical="top"/>
      <protection hidden="1"/>
    </xf>
    <xf numFmtId="0" fontId="0" fillId="0" borderId="0" xfId="0" applyProtection="1"/>
    <xf numFmtId="0" fontId="0" fillId="0" borderId="0" xfId="0" applyFill="1" applyProtection="1"/>
    <xf numFmtId="0" fontId="0" fillId="2" borderId="0" xfId="0" applyFont="1" applyFill="1" applyProtection="1"/>
    <xf numFmtId="0" fontId="0" fillId="0" borderId="0" xfId="0" applyBorder="1" applyProtection="1"/>
    <xf numFmtId="0" fontId="30" fillId="2" borderId="0" xfId="0" applyFont="1" applyFill="1" applyBorder="1" applyAlignment="1" applyProtection="1">
      <alignment horizontal="left" vertical="center"/>
    </xf>
    <xf numFmtId="0" fontId="40" fillId="2" borderId="0" xfId="0" applyFont="1" applyFill="1" applyBorder="1" applyAlignment="1" applyProtection="1">
      <alignment horizontal="left" vertical="center"/>
    </xf>
    <xf numFmtId="0" fontId="11" fillId="2" borderId="1" xfId="0" applyFont="1" applyFill="1" applyBorder="1" applyProtection="1"/>
    <xf numFmtId="0" fontId="7" fillId="3" borderId="34"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1" fillId="5" borderId="31" xfId="0" applyFont="1" applyFill="1" applyBorder="1" applyAlignment="1" applyProtection="1">
      <alignment horizontal="left" vertical="center"/>
    </xf>
    <xf numFmtId="0" fontId="1" fillId="5" borderId="39" xfId="0" applyFont="1" applyFill="1" applyBorder="1" applyAlignment="1" applyProtection="1">
      <alignment horizontal="left" vertical="center"/>
    </xf>
    <xf numFmtId="0" fontId="0" fillId="4" borderId="40" xfId="0" applyFill="1" applyBorder="1" applyProtection="1"/>
    <xf numFmtId="0" fontId="7" fillId="3" borderId="48" xfId="0" applyFont="1" applyFill="1" applyBorder="1" applyAlignment="1" applyProtection="1">
      <alignment horizontal="left" vertical="center"/>
    </xf>
    <xf numFmtId="0" fontId="7" fillId="3" borderId="47" xfId="0" applyFont="1" applyFill="1" applyBorder="1" applyAlignment="1" applyProtection="1">
      <alignment horizontal="left" vertical="center"/>
    </xf>
    <xf numFmtId="0" fontId="1" fillId="5" borderId="38" xfId="0" applyFont="1" applyFill="1" applyBorder="1" applyAlignment="1" applyProtection="1">
      <alignment horizontal="left" vertical="center"/>
    </xf>
    <xf numFmtId="0" fontId="0" fillId="4" borderId="0" xfId="0" applyFill="1" applyProtection="1"/>
    <xf numFmtId="0" fontId="1" fillId="5" borderId="27"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10" fontId="9" fillId="5" borderId="43" xfId="2" applyNumberFormat="1"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0" fontId="7" fillId="3" borderId="27" xfId="0" applyFont="1" applyFill="1" applyBorder="1" applyAlignment="1" applyProtection="1">
      <alignment horizontal="left" vertical="center"/>
    </xf>
    <xf numFmtId="165" fontId="7" fillId="3" borderId="28" xfId="0" applyNumberFormat="1" applyFont="1" applyFill="1" applyBorder="1" applyAlignment="1" applyProtection="1">
      <alignment horizontal="left" vertical="center"/>
    </xf>
    <xf numFmtId="0" fontId="1" fillId="5" borderId="26" xfId="0" applyFont="1" applyFill="1" applyBorder="1" applyAlignment="1" applyProtection="1">
      <alignment vertical="center"/>
    </xf>
    <xf numFmtId="0" fontId="1" fillId="5" borderId="43" xfId="0" applyFont="1" applyFill="1" applyBorder="1" applyAlignment="1" applyProtection="1">
      <alignment vertical="center"/>
    </xf>
    <xf numFmtId="0" fontId="1" fillId="5" borderId="37" xfId="0" applyFont="1" applyFill="1" applyBorder="1" applyAlignment="1" applyProtection="1">
      <alignment vertical="center"/>
    </xf>
    <xf numFmtId="0" fontId="39" fillId="2" borderId="40" xfId="0" applyFont="1" applyFill="1" applyBorder="1" applyProtection="1"/>
    <xf numFmtId="0" fontId="0" fillId="2" borderId="0" xfId="0" applyFont="1" applyFill="1" applyBorder="1" applyProtection="1"/>
    <xf numFmtId="0" fontId="0" fillId="4" borderId="0" xfId="0" applyFont="1" applyFill="1" applyBorder="1" applyProtection="1"/>
    <xf numFmtId="0" fontId="37" fillId="2" borderId="0" xfId="0" applyFont="1" applyFill="1" applyBorder="1" applyAlignment="1" applyProtection="1">
      <alignment horizontal="left" wrapText="1"/>
    </xf>
    <xf numFmtId="0" fontId="42" fillId="2" borderId="101" xfId="0" applyFont="1" applyFill="1" applyBorder="1" applyAlignment="1" applyProtection="1">
      <alignment horizontal="left" vertical="top" wrapText="1"/>
    </xf>
    <xf numFmtId="0" fontId="29" fillId="2" borderId="0" xfId="0" applyFont="1" applyFill="1" applyBorder="1" applyAlignment="1" applyProtection="1">
      <alignment horizontal="left" wrapText="1"/>
    </xf>
    <xf numFmtId="0" fontId="29" fillId="2" borderId="102" xfId="0" applyFont="1" applyFill="1" applyBorder="1" applyAlignment="1" applyProtection="1">
      <alignment horizontal="left" wrapText="1"/>
    </xf>
    <xf numFmtId="0" fontId="0" fillId="4" borderId="40" xfId="0" applyFill="1" applyBorder="1" applyAlignment="1" applyProtection="1">
      <alignment wrapText="1"/>
    </xf>
    <xf numFmtId="0" fontId="42" fillId="2" borderId="40" xfId="0" applyFont="1" applyFill="1" applyBorder="1" applyAlignment="1" applyProtection="1">
      <alignment horizontal="left" vertical="top" wrapText="1"/>
    </xf>
    <xf numFmtId="0" fontId="29" fillId="2" borderId="102" xfId="0" applyFont="1" applyFill="1" applyBorder="1" applyAlignment="1" applyProtection="1">
      <alignment vertical="top" wrapText="1"/>
    </xf>
    <xf numFmtId="0" fontId="29" fillId="2" borderId="102" xfId="0" applyFont="1" applyFill="1" applyBorder="1" applyAlignment="1" applyProtection="1">
      <alignment horizontal="left" vertical="top" wrapText="1"/>
    </xf>
    <xf numFmtId="0" fontId="29" fillId="2" borderId="35" xfId="0" applyFont="1" applyFill="1" applyBorder="1" applyAlignment="1" applyProtection="1">
      <alignment horizontal="center" vertical="top" wrapText="1"/>
    </xf>
    <xf numFmtId="0" fontId="0" fillId="4" borderId="0" xfId="0" applyFill="1" applyAlignment="1" applyProtection="1">
      <alignment vertical="top" wrapText="1"/>
    </xf>
    <xf numFmtId="0" fontId="26" fillId="5" borderId="37" xfId="0" applyFont="1" applyFill="1" applyBorder="1" applyAlignment="1" applyProtection="1">
      <alignment horizontal="center" vertical="center"/>
    </xf>
    <xf numFmtId="164" fontId="26"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26" fillId="5" borderId="24" xfId="0" applyFont="1" applyFill="1" applyBorder="1" applyAlignment="1" applyProtection="1">
      <alignment vertical="center"/>
    </xf>
    <xf numFmtId="0" fontId="38" fillId="5" borderId="94" xfId="0" applyFont="1" applyFill="1" applyBorder="1" applyAlignment="1" applyProtection="1">
      <alignment horizontal="center" vertical="center"/>
    </xf>
    <xf numFmtId="164" fontId="38" fillId="5" borderId="93" xfId="0" applyNumberFormat="1" applyFont="1" applyFill="1" applyBorder="1" applyAlignment="1" applyProtection="1">
      <alignment horizontal="center" vertical="center"/>
    </xf>
    <xf numFmtId="0" fontId="26" fillId="5" borderId="96" xfId="0" applyFont="1" applyFill="1" applyBorder="1" applyAlignment="1" applyProtection="1">
      <alignment horizontal="left" vertical="center"/>
    </xf>
    <xf numFmtId="0" fontId="0" fillId="5" borderId="26" xfId="0" applyFill="1" applyBorder="1" applyAlignment="1" applyProtection="1">
      <alignment horizontal="left" vertical="center"/>
    </xf>
    <xf numFmtId="0" fontId="26" fillId="5" borderId="26" xfId="0" applyFont="1" applyFill="1" applyBorder="1" applyAlignment="1" applyProtection="1">
      <alignment vertical="center"/>
    </xf>
    <xf numFmtId="0" fontId="0" fillId="5" borderId="26" xfId="0" applyFill="1" applyBorder="1" applyAlignment="1" applyProtection="1">
      <alignment vertical="center"/>
    </xf>
    <xf numFmtId="164" fontId="26" fillId="5" borderId="0" xfId="0" applyNumberFormat="1" applyFont="1" applyFill="1" applyBorder="1" applyAlignment="1" applyProtection="1">
      <alignment horizontal="center" vertical="center"/>
    </xf>
    <xf numFmtId="0" fontId="26" fillId="5" borderId="26" xfId="0" applyFont="1" applyFill="1" applyBorder="1" applyAlignment="1" applyProtection="1">
      <alignment horizontal="left" vertical="center"/>
    </xf>
    <xf numFmtId="0" fontId="0" fillId="0" borderId="0" xfId="0" applyFont="1" applyProtection="1"/>
    <xf numFmtId="0" fontId="38" fillId="5" borderId="95"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6" fillId="5" borderId="98" xfId="0" applyFont="1" applyFill="1" applyBorder="1" applyAlignment="1" applyProtection="1">
      <alignment horizontal="left" vertical="center" wrapText="1"/>
      <protection locked="0"/>
    </xf>
    <xf numFmtId="0" fontId="26" fillId="5" borderId="99" xfId="0" applyFont="1" applyFill="1" applyBorder="1" applyAlignment="1" applyProtection="1">
      <alignment horizontal="center" vertical="center" wrapText="1"/>
      <protection locked="0"/>
    </xf>
    <xf numFmtId="0" fontId="26" fillId="5" borderId="98" xfId="0" applyFont="1" applyFill="1" applyBorder="1" applyAlignment="1" applyProtection="1">
      <alignment horizontal="center" vertical="center" wrapText="1"/>
      <protection locked="0"/>
    </xf>
    <xf numFmtId="0" fontId="26" fillId="5" borderId="97" xfId="0" applyFont="1" applyFill="1" applyBorder="1" applyAlignment="1" applyProtection="1">
      <alignment horizontal="center" vertical="center" wrapText="1"/>
      <protection locked="0"/>
    </xf>
    <xf numFmtId="0" fontId="32" fillId="0" borderId="0" xfId="0" applyFont="1" applyProtection="1"/>
    <xf numFmtId="0" fontId="23" fillId="10" borderId="54" xfId="0" applyFont="1" applyFill="1" applyBorder="1" applyProtection="1"/>
    <xf numFmtId="1" fontId="0" fillId="0" borderId="0" xfId="0" applyNumberFormat="1" applyProtection="1"/>
    <xf numFmtId="14" fontId="0" fillId="0" borderId="0" xfId="0" applyNumberFormat="1" applyProtection="1"/>
    <xf numFmtId="0" fontId="32" fillId="9" borderId="54" xfId="0" applyFont="1" applyFill="1" applyBorder="1" applyAlignment="1" applyProtection="1">
      <alignment horizontal="center"/>
    </xf>
    <xf numFmtId="0" fontId="0" fillId="0" borderId="0" xfId="0" applyAlignment="1" applyProtection="1">
      <alignment horizontal="right"/>
    </xf>
    <xf numFmtId="0" fontId="0" fillId="8" borderId="65" xfId="0" applyFont="1" applyFill="1" applyBorder="1" applyProtection="1"/>
    <xf numFmtId="0" fontId="0" fillId="8" borderId="66" xfId="0" applyFont="1" applyFill="1" applyBorder="1" applyProtection="1"/>
    <xf numFmtId="0" fontId="0" fillId="8" borderId="54" xfId="0" applyFill="1" applyBorder="1" applyAlignment="1" applyProtection="1">
      <alignment horizontal="center" vertical="center"/>
    </xf>
    <xf numFmtId="0" fontId="23" fillId="10" borderId="65" xfId="0" applyFont="1" applyFill="1" applyBorder="1" applyProtection="1"/>
    <xf numFmtId="0" fontId="23" fillId="10" borderId="66" xfId="0" applyFont="1" applyFill="1" applyBorder="1" applyProtection="1"/>
    <xf numFmtId="0" fontId="23" fillId="10" borderId="66" xfId="0" applyFont="1" applyFill="1" applyBorder="1" applyAlignment="1" applyProtection="1">
      <alignment horizontal="center"/>
    </xf>
    <xf numFmtId="0" fontId="23" fillId="10" borderId="67" xfId="0" applyFont="1" applyFill="1" applyBorder="1" applyAlignment="1" applyProtection="1">
      <alignment horizontal="center"/>
    </xf>
    <xf numFmtId="0" fontId="23" fillId="10" borderId="75" xfId="0" applyFont="1" applyFill="1" applyBorder="1" applyProtection="1"/>
    <xf numFmtId="0" fontId="0" fillId="10" borderId="55" xfId="0" applyFill="1" applyBorder="1" applyProtection="1"/>
    <xf numFmtId="0" fontId="0" fillId="10" borderId="56" xfId="0" applyFill="1" applyBorder="1" applyProtection="1"/>
    <xf numFmtId="0" fontId="0" fillId="8" borderId="70" xfId="0" applyFill="1" applyBorder="1" applyProtection="1"/>
    <xf numFmtId="0" fontId="23" fillId="10" borderId="77" xfId="0" applyFont="1" applyFill="1" applyBorder="1" applyProtection="1"/>
    <xf numFmtId="0" fontId="23" fillId="10" borderId="85" xfId="0" applyFont="1" applyFill="1" applyBorder="1" applyProtection="1"/>
    <xf numFmtId="0" fontId="23" fillId="10" borderId="86" xfId="0" applyFont="1" applyFill="1" applyBorder="1" applyProtection="1"/>
    <xf numFmtId="0" fontId="23" fillId="10" borderId="87" xfId="0" applyFont="1" applyFill="1" applyBorder="1" applyProtection="1"/>
    <xf numFmtId="0" fontId="23" fillId="10" borderId="67" xfId="0" applyFont="1" applyFill="1" applyBorder="1" applyProtection="1"/>
    <xf numFmtId="0" fontId="23" fillId="10" borderId="88" xfId="0" applyFont="1" applyFill="1" applyBorder="1" applyProtection="1"/>
    <xf numFmtId="0" fontId="23" fillId="10" borderId="68" xfId="0" applyFont="1" applyFill="1" applyBorder="1" applyProtection="1"/>
    <xf numFmtId="0" fontId="23" fillId="10" borderId="9" xfId="0" applyFont="1" applyFill="1" applyBorder="1" applyProtection="1"/>
    <xf numFmtId="0" fontId="23" fillId="10" borderId="60" xfId="0" applyFont="1" applyFill="1" applyBorder="1" applyProtection="1"/>
    <xf numFmtId="0" fontId="23" fillId="10" borderId="61" xfId="0" applyFont="1" applyFill="1" applyBorder="1" applyProtection="1"/>
    <xf numFmtId="0" fontId="0" fillId="10" borderId="62" xfId="0" applyFill="1" applyBorder="1" applyProtection="1"/>
    <xf numFmtId="0" fontId="23" fillId="10" borderId="104" xfId="0" applyFont="1" applyFill="1" applyBorder="1" applyProtection="1"/>
    <xf numFmtId="0" fontId="23" fillId="10" borderId="62" xfId="0" applyFont="1" applyFill="1" applyBorder="1" applyProtection="1"/>
    <xf numFmtId="0" fontId="0" fillId="0" borderId="63" xfId="0" applyBorder="1" applyProtection="1"/>
    <xf numFmtId="0" fontId="0" fillId="0" borderId="5" xfId="0" applyBorder="1" applyProtection="1"/>
    <xf numFmtId="0" fontId="0" fillId="12" borderId="5" xfId="0" applyFill="1" applyBorder="1" applyProtection="1"/>
    <xf numFmtId="0" fontId="0" fillId="12" borderId="64" xfId="0" applyFill="1" applyBorder="1" applyProtection="1"/>
    <xf numFmtId="0" fontId="0" fillId="0" borderId="78" xfId="0" applyFill="1" applyBorder="1" applyProtection="1"/>
    <xf numFmtId="0" fontId="0" fillId="0" borderId="58" xfId="0" applyBorder="1" applyProtection="1"/>
    <xf numFmtId="0" fontId="0" fillId="0" borderId="2" xfId="0" applyBorder="1" applyProtection="1"/>
    <xf numFmtId="0" fontId="0" fillId="0" borderId="4" xfId="0" applyBorder="1" applyProtection="1"/>
    <xf numFmtId="0" fontId="0" fillId="0" borderId="71" xfId="0" applyBorder="1" applyProtection="1"/>
    <xf numFmtId="0" fontId="0" fillId="0" borderId="81" xfId="0" applyBorder="1" applyProtection="1"/>
    <xf numFmtId="10" fontId="0" fillId="12" borderId="0" xfId="0" applyNumberFormat="1" applyFill="1" applyProtection="1"/>
    <xf numFmtId="0" fontId="26" fillId="12" borderId="2" xfId="0" applyFont="1" applyFill="1" applyBorder="1" applyAlignment="1" applyProtection="1">
      <alignment horizontal="center" vertical="center"/>
    </xf>
    <xf numFmtId="1" fontId="0" fillId="12" borderId="55" xfId="0" applyNumberFormat="1" applyFill="1" applyBorder="1" applyAlignment="1" applyProtection="1">
      <alignment horizontal="right"/>
    </xf>
    <xf numFmtId="1" fontId="0" fillId="12" borderId="57" xfId="0" applyNumberFormat="1" applyFill="1" applyBorder="1" applyAlignment="1" applyProtection="1">
      <alignment horizontal="right"/>
    </xf>
    <xf numFmtId="0" fontId="0" fillId="0" borderId="55" xfId="0" applyFill="1" applyBorder="1" applyAlignment="1" applyProtection="1">
      <alignment horizontal="right"/>
    </xf>
    <xf numFmtId="0" fontId="0" fillId="0" borderId="56"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6" xfId="0" applyBorder="1" applyProtection="1"/>
    <xf numFmtId="0" fontId="0" fillId="0" borderId="57" xfId="0" applyBorder="1" applyProtection="1"/>
    <xf numFmtId="0" fontId="0" fillId="12" borderId="2" xfId="0" applyFill="1" applyBorder="1" applyProtection="1"/>
    <xf numFmtId="0" fontId="0" fillId="12" borderId="59" xfId="0" applyFill="1" applyBorder="1" applyProtection="1"/>
    <xf numFmtId="0" fontId="0" fillId="0" borderId="79" xfId="0" applyFill="1" applyBorder="1" applyProtection="1"/>
    <xf numFmtId="1" fontId="0" fillId="12" borderId="2" xfId="0" applyNumberFormat="1" applyFill="1" applyBorder="1" applyAlignment="1" applyProtection="1">
      <alignment horizontal="right"/>
    </xf>
    <xf numFmtId="0" fontId="0" fillId="0" borderId="58"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9" xfId="0" applyBorder="1" applyProtection="1"/>
    <xf numFmtId="1" fontId="0" fillId="12" borderId="59"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8"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8" xfId="0" applyBorder="1" applyProtection="1"/>
    <xf numFmtId="0" fontId="0" fillId="0" borderId="3" xfId="0" applyBorder="1" applyProtection="1"/>
    <xf numFmtId="0" fontId="0" fillId="12" borderId="3" xfId="0" applyFill="1" applyBorder="1" applyProtection="1"/>
    <xf numFmtId="0" fontId="0" fillId="12" borderId="69" xfId="0" applyFill="1" applyBorder="1" applyProtection="1"/>
    <xf numFmtId="0" fontId="0" fillId="0" borderId="80" xfId="0" applyFill="1" applyBorder="1" applyProtection="1"/>
    <xf numFmtId="0" fontId="0" fillId="12" borderId="61" xfId="0" applyFill="1" applyBorder="1" applyProtection="1"/>
    <xf numFmtId="0" fontId="0" fillId="12" borderId="62" xfId="0" applyFill="1" applyBorder="1" applyProtection="1"/>
    <xf numFmtId="0" fontId="0" fillId="0" borderId="60" xfId="0" applyFill="1" applyBorder="1" applyProtection="1"/>
    <xf numFmtId="10" fontId="0" fillId="0" borderId="61" xfId="0" applyNumberFormat="1" applyFill="1" applyBorder="1" applyProtection="1"/>
    <xf numFmtId="0" fontId="0" fillId="0" borderId="61" xfId="0" applyFill="1" applyBorder="1" applyProtection="1"/>
    <xf numFmtId="0" fontId="0" fillId="0" borderId="83" xfId="0" applyFill="1" applyBorder="1" applyProtection="1"/>
    <xf numFmtId="0" fontId="0" fillId="0" borderId="60" xfId="0" applyFill="1" applyBorder="1" applyAlignment="1" applyProtection="1">
      <alignment horizontal="right"/>
    </xf>
    <xf numFmtId="0" fontId="0" fillId="0" borderId="61" xfId="0" applyBorder="1" applyProtection="1"/>
    <xf numFmtId="0" fontId="0" fillId="0" borderId="62" xfId="0" applyBorder="1" applyProtection="1"/>
    <xf numFmtId="0" fontId="32" fillId="13" borderId="65" xfId="0" applyFont="1" applyFill="1" applyBorder="1" applyProtection="1"/>
    <xf numFmtId="0" fontId="32" fillId="13" borderId="66" xfId="0" applyFont="1" applyFill="1" applyBorder="1" applyProtection="1"/>
    <xf numFmtId="0" fontId="32" fillId="13" borderId="67" xfId="0" applyFont="1" applyFill="1" applyBorder="1" applyProtection="1"/>
    <xf numFmtId="0" fontId="32" fillId="13" borderId="75" xfId="0" applyFont="1" applyFill="1" applyBorder="1" applyProtection="1"/>
    <xf numFmtId="0" fontId="0" fillId="13" borderId="60" xfId="0" applyFill="1" applyBorder="1" applyProtection="1"/>
    <xf numFmtId="0" fontId="0" fillId="13" borderId="61" xfId="0" applyFill="1" applyBorder="1" applyProtection="1"/>
    <xf numFmtId="0" fontId="0" fillId="13" borderId="83" xfId="0" applyFill="1" applyBorder="1" applyProtection="1"/>
    <xf numFmtId="0" fontId="0" fillId="13" borderId="72" xfId="0" applyFill="1" applyBorder="1" applyProtection="1"/>
    <xf numFmtId="0" fontId="0" fillId="8" borderId="77" xfId="0" applyFill="1" applyBorder="1" applyProtection="1"/>
    <xf numFmtId="10" fontId="0" fillId="13" borderId="0" xfId="0" applyNumberFormat="1" applyFill="1" applyProtection="1"/>
    <xf numFmtId="10" fontId="0" fillId="0" borderId="0" xfId="0" applyNumberFormat="1" applyFill="1" applyProtection="1"/>
    <xf numFmtId="0" fontId="0" fillId="9" borderId="55" xfId="0" applyFill="1" applyBorder="1" applyProtection="1"/>
    <xf numFmtId="0" fontId="0" fillId="9" borderId="56" xfId="0" applyFill="1" applyBorder="1" applyProtection="1"/>
    <xf numFmtId="0" fontId="0" fillId="0" borderId="73" xfId="0" applyFill="1" applyBorder="1" applyProtection="1"/>
    <xf numFmtId="0" fontId="0" fillId="0" borderId="73" xfId="0" applyBorder="1" applyProtection="1"/>
    <xf numFmtId="0" fontId="26" fillId="12" borderId="7" xfId="0" applyFont="1" applyFill="1" applyBorder="1" applyAlignment="1" applyProtection="1">
      <alignment horizontal="center" vertical="center"/>
    </xf>
    <xf numFmtId="0" fontId="0" fillId="12" borderId="55" xfId="0" applyFill="1" applyBorder="1" applyProtection="1"/>
    <xf numFmtId="0" fontId="0" fillId="12" borderId="56" xfId="0" applyFill="1" applyBorder="1" applyProtection="1"/>
    <xf numFmtId="0" fontId="0" fillId="12" borderId="57" xfId="0" applyFill="1" applyBorder="1" applyProtection="1"/>
    <xf numFmtId="0" fontId="0" fillId="0" borderId="55" xfId="0" applyFill="1" applyBorder="1" applyProtection="1"/>
    <xf numFmtId="0" fontId="0" fillId="0" borderId="56" xfId="0" applyFill="1" applyBorder="1" applyProtection="1"/>
    <xf numFmtId="0" fontId="0" fillId="0" borderId="82" xfId="0" applyFill="1" applyBorder="1" applyProtection="1"/>
    <xf numFmtId="0" fontId="0" fillId="0" borderId="71" xfId="0" applyFill="1" applyBorder="1" applyProtection="1"/>
    <xf numFmtId="0" fontId="0" fillId="8" borderId="58" xfId="0" applyFill="1" applyBorder="1" applyProtection="1"/>
    <xf numFmtId="0" fontId="43" fillId="0" borderId="0" xfId="0" applyFont="1" applyProtection="1"/>
    <xf numFmtId="0" fontId="0" fillId="0" borderId="74" xfId="0" applyFill="1" applyBorder="1" applyProtection="1"/>
    <xf numFmtId="0" fontId="0" fillId="0" borderId="61" xfId="0" applyFill="1" applyBorder="1" applyAlignment="1" applyProtection="1">
      <alignment horizontal="right"/>
    </xf>
    <xf numFmtId="0" fontId="0" fillId="0" borderId="83" xfId="0" applyFill="1" applyBorder="1" applyAlignment="1" applyProtection="1">
      <alignment horizontal="right"/>
    </xf>
    <xf numFmtId="0" fontId="32" fillId="13" borderId="54" xfId="0" applyFont="1" applyFill="1" applyBorder="1" applyProtection="1"/>
    <xf numFmtId="0" fontId="0" fillId="8" borderId="54" xfId="0" applyFill="1" applyBorder="1" applyProtection="1"/>
    <xf numFmtId="0" fontId="0" fillId="0" borderId="70" xfId="0" applyFill="1" applyBorder="1" applyProtection="1"/>
    <xf numFmtId="0" fontId="0" fillId="0" borderId="82" xfId="0" applyFill="1" applyBorder="1" applyAlignment="1" applyProtection="1">
      <alignment horizontal="right"/>
    </xf>
    <xf numFmtId="0" fontId="0" fillId="0" borderId="60" xfId="0" applyBorder="1" applyProtection="1"/>
    <xf numFmtId="0" fontId="0" fillId="0" borderId="72" xfId="0" applyFill="1" applyBorder="1" applyProtection="1"/>
    <xf numFmtId="0" fontId="0" fillId="8" borderId="2" xfId="0" applyFill="1" applyBorder="1" applyProtection="1"/>
    <xf numFmtId="0" fontId="0" fillId="0" borderId="90" xfId="0" applyBorder="1" applyProtection="1"/>
    <xf numFmtId="0" fontId="0" fillId="12" borderId="15" xfId="0" applyFill="1" applyBorder="1" applyProtection="1"/>
    <xf numFmtId="0" fontId="0" fillId="12" borderId="91" xfId="0" applyFill="1" applyBorder="1" applyProtection="1"/>
    <xf numFmtId="0" fontId="0" fillId="0" borderId="92" xfId="0" applyFill="1" applyBorder="1" applyProtection="1"/>
    <xf numFmtId="0" fontId="0" fillId="0" borderId="92" xfId="0"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70" xfId="0" applyFill="1" applyBorder="1" applyProtection="1"/>
    <xf numFmtId="0" fontId="0" fillId="9" borderId="84"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72" xfId="0" applyBorder="1" applyProtection="1"/>
    <xf numFmtId="0" fontId="0" fillId="0" borderId="0" xfId="0" applyFill="1" applyBorder="1" applyProtection="1"/>
    <xf numFmtId="0" fontId="0" fillId="8" borderId="84"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3" fillId="10" borderId="0" xfId="0" applyFont="1" applyFill="1" applyProtection="1"/>
    <xf numFmtId="0" fontId="0" fillId="0" borderId="75" xfId="0" applyFont="1" applyBorder="1" applyProtection="1"/>
    <xf numFmtId="0" fontId="0" fillId="0" borderId="76" xfId="0" applyFont="1" applyBorder="1" applyProtection="1"/>
    <xf numFmtId="0" fontId="0" fillId="0" borderId="77" xfId="0" applyFont="1" applyBorder="1" applyProtection="1"/>
    <xf numFmtId="0" fontId="0" fillId="0" borderId="54"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2"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9" fillId="3" borderId="1" xfId="0" applyFont="1" applyFill="1" applyBorder="1" applyAlignment="1" applyProtection="1">
      <alignment vertical="top"/>
    </xf>
    <xf numFmtId="0" fontId="19" fillId="3" borderId="1" xfId="0" applyFont="1" applyFill="1" applyBorder="1" applyAlignment="1" applyProtection="1">
      <alignment vertical="top" wrapText="1"/>
    </xf>
    <xf numFmtId="0" fontId="29" fillId="2" borderId="116" xfId="0" applyFont="1" applyFill="1" applyBorder="1" applyAlignment="1" applyProtection="1">
      <alignment vertical="top" wrapText="1"/>
    </xf>
    <xf numFmtId="0" fontId="0" fillId="4" borderId="52" xfId="0" applyFill="1" applyBorder="1" applyAlignment="1" applyProtection="1"/>
    <xf numFmtId="0" fontId="29" fillId="2" borderId="117" xfId="0" applyFont="1" applyFill="1" applyBorder="1" applyAlignment="1" applyProtection="1">
      <alignment horizontal="left" wrapText="1"/>
    </xf>
    <xf numFmtId="0" fontId="23" fillId="4" borderId="0" xfId="0" applyFont="1" applyFill="1" applyAlignment="1" applyProtection="1">
      <alignment vertical="center"/>
    </xf>
    <xf numFmtId="0" fontId="0" fillId="4" borderId="0" xfId="0" applyFill="1" applyAlignment="1" applyProtection="1">
      <alignment wrapText="1"/>
    </xf>
    <xf numFmtId="0" fontId="23" fillId="4" borderId="0" xfId="0" applyFont="1" applyFill="1" applyAlignment="1" applyProtection="1">
      <alignment horizontal="right" wrapText="1"/>
      <protection hidden="1"/>
    </xf>
    <xf numFmtId="0" fontId="0" fillId="4" borderId="0" xfId="0" applyFill="1" applyAlignment="1" applyProtection="1">
      <alignment wrapText="1"/>
      <protection hidden="1"/>
    </xf>
    <xf numFmtId="0" fontId="45" fillId="2" borderId="53" xfId="0" applyFont="1" applyFill="1" applyBorder="1" applyAlignment="1" applyProtection="1">
      <alignment horizontal="center" wrapText="1"/>
    </xf>
    <xf numFmtId="164" fontId="9" fillId="5" borderId="26" xfId="2" applyNumberFormat="1" applyFont="1" applyFill="1" applyBorder="1" applyAlignment="1" applyProtection="1">
      <alignment horizontal="left" vertical="center"/>
    </xf>
    <xf numFmtId="164" fontId="9" fillId="5" borderId="37" xfId="2" applyNumberFormat="1" applyFont="1" applyFill="1" applyBorder="1" applyAlignment="1" applyProtection="1">
      <alignment horizontal="left" vertical="center"/>
    </xf>
    <xf numFmtId="0" fontId="40" fillId="2" borderId="0" xfId="0" applyFont="1" applyFill="1" applyBorder="1" applyAlignment="1" applyProtection="1">
      <alignment horizontal="left" vertical="center"/>
      <protection hidden="1"/>
    </xf>
    <xf numFmtId="0" fontId="9" fillId="4" borderId="0" xfId="0" applyFont="1" applyFill="1" applyAlignment="1" applyProtection="1">
      <alignment horizontal="left" vertical="top" wrapText="1"/>
    </xf>
    <xf numFmtId="0" fontId="23" fillId="6" borderId="0" xfId="0" applyFont="1" applyFill="1" applyBorder="1" applyAlignment="1" applyProtection="1">
      <alignment horizontal="right"/>
      <protection hidden="1"/>
    </xf>
    <xf numFmtId="0" fontId="23" fillId="4" borderId="0" xfId="0" applyFont="1" applyFill="1" applyBorder="1" applyProtection="1"/>
    <xf numFmtId="0" fontId="26" fillId="5" borderId="98"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36" fillId="2" borderId="0" xfId="0" applyFont="1" applyFill="1" applyBorder="1" applyAlignment="1" applyProtection="1">
      <alignment horizontal="left" wrapText="1"/>
      <protection locked="0" hidden="1"/>
    </xf>
    <xf numFmtId="0" fontId="26" fillId="4" borderId="6" xfId="0" applyFont="1" applyFill="1" applyBorder="1" applyAlignment="1" applyProtection="1">
      <alignment horizontal="left" vertical="center"/>
      <protection locked="0"/>
    </xf>
    <xf numFmtId="0" fontId="26" fillId="5" borderId="98" xfId="0" applyFont="1" applyFill="1" applyBorder="1" applyAlignment="1" applyProtection="1">
      <alignment horizontal="center" vertical="center"/>
      <protection locked="0"/>
    </xf>
    <xf numFmtId="0" fontId="26" fillId="4" borderId="36" xfId="0" applyFont="1" applyFill="1" applyBorder="1" applyAlignment="1" applyProtection="1">
      <alignment horizontal="left" vertical="center" wrapText="1"/>
      <protection locked="0"/>
    </xf>
    <xf numFmtId="0" fontId="26" fillId="5" borderId="100" xfId="0" applyFont="1" applyFill="1" applyBorder="1" applyAlignment="1" applyProtection="1">
      <alignment horizontal="left" vertical="center" wrapText="1"/>
      <protection locked="0"/>
    </xf>
    <xf numFmtId="0" fontId="26" fillId="4" borderId="120" xfId="0" applyFont="1" applyFill="1" applyBorder="1" applyAlignment="1" applyProtection="1">
      <alignment horizontal="left" vertical="center" wrapText="1"/>
      <protection locked="0"/>
    </xf>
    <xf numFmtId="0" fontId="9" fillId="4" borderId="121" xfId="0" applyFont="1" applyFill="1" applyBorder="1" applyAlignment="1" applyProtection="1">
      <alignment horizontal="left" vertical="top" wrapText="1"/>
    </xf>
    <xf numFmtId="0" fontId="29" fillId="2" borderId="1" xfId="0" applyFont="1" applyFill="1" applyBorder="1" applyAlignment="1" applyProtection="1">
      <alignment vertical="top" wrapText="1"/>
    </xf>
    <xf numFmtId="0" fontId="29" fillId="2" borderId="117" xfId="0" applyFont="1" applyFill="1" applyBorder="1" applyAlignment="1" applyProtection="1">
      <alignment horizontal="center" vertical="top" wrapText="1"/>
    </xf>
    <xf numFmtId="0" fontId="49" fillId="4" borderId="1" xfId="0" applyFont="1" applyFill="1" applyBorder="1" applyAlignment="1" applyProtection="1">
      <alignment horizontal="left"/>
    </xf>
    <xf numFmtId="0" fontId="47" fillId="4" borderId="0" xfId="0" applyFont="1" applyFill="1" applyAlignment="1" applyProtection="1">
      <alignment horizontal="left"/>
      <protection hidden="1"/>
    </xf>
    <xf numFmtId="0" fontId="50" fillId="2" borderId="41" xfId="0" applyFont="1" applyFill="1" applyBorder="1" applyAlignment="1" applyProtection="1">
      <alignment horizontal="center" wrapText="1"/>
    </xf>
    <xf numFmtId="0" fontId="24" fillId="12" borderId="2" xfId="0" applyFont="1" applyFill="1" applyBorder="1" applyProtection="1"/>
    <xf numFmtId="0" fontId="24" fillId="12" borderId="5" xfId="0" applyFont="1" applyFill="1" applyBorder="1" applyProtection="1"/>
    <xf numFmtId="0" fontId="24" fillId="12" borderId="64" xfId="0" applyFont="1" applyFill="1" applyBorder="1" applyProtection="1"/>
    <xf numFmtId="0" fontId="24" fillId="0" borderId="58" xfId="0" applyFont="1" applyBorder="1" applyProtection="1"/>
    <xf numFmtId="0" fontId="24" fillId="0" borderId="2" xfId="0" applyFont="1" applyBorder="1" applyProtection="1"/>
    <xf numFmtId="0" fontId="24" fillId="12" borderId="59" xfId="0" applyFont="1" applyFill="1" applyBorder="1" applyProtection="1"/>
    <xf numFmtId="0" fontId="24" fillId="0" borderId="5" xfId="0" applyFont="1" applyBorder="1" applyProtection="1"/>
    <xf numFmtId="0" fontId="24" fillId="0" borderId="2" xfId="0" applyFont="1" applyFill="1" applyBorder="1" applyProtection="1"/>
    <xf numFmtId="1" fontId="0" fillId="12" borderId="56" xfId="0" applyNumberFormat="1" applyFill="1" applyBorder="1" applyAlignment="1" applyProtection="1">
      <alignment horizontal="right"/>
    </xf>
    <xf numFmtId="1" fontId="0" fillId="0" borderId="0" xfId="0" applyNumberFormat="1" applyAlignment="1" applyProtection="1">
      <alignment horizontal="right"/>
    </xf>
    <xf numFmtId="1" fontId="0" fillId="12" borderId="58" xfId="0" applyNumberFormat="1" applyFill="1" applyBorder="1" applyAlignment="1" applyProtection="1">
      <alignment horizontal="right"/>
    </xf>
    <xf numFmtId="1" fontId="0" fillId="12" borderId="58" xfId="0" applyNumberFormat="1" applyFill="1" applyBorder="1" applyProtection="1"/>
    <xf numFmtId="1" fontId="0" fillId="12" borderId="2" xfId="0" applyNumberFormat="1" applyFill="1" applyBorder="1" applyProtection="1"/>
    <xf numFmtId="1" fontId="0" fillId="12" borderId="59" xfId="0" applyNumberFormat="1" applyFill="1" applyBorder="1" applyProtection="1"/>
    <xf numFmtId="1" fontId="0" fillId="12" borderId="60" xfId="0" applyNumberFormat="1" applyFill="1" applyBorder="1" applyProtection="1"/>
    <xf numFmtId="1" fontId="0" fillId="12" borderId="61" xfId="0" applyNumberFormat="1" applyFill="1" applyBorder="1" applyProtection="1"/>
    <xf numFmtId="1" fontId="0" fillId="12" borderId="62" xfId="0" applyNumberFormat="1" applyFill="1" applyBorder="1" applyProtection="1"/>
    <xf numFmtId="1" fontId="0" fillId="12" borderId="55" xfId="0" applyNumberFormat="1" applyFill="1" applyBorder="1" applyProtection="1"/>
    <xf numFmtId="1" fontId="0" fillId="12" borderId="56" xfId="0" applyNumberFormat="1" applyFill="1" applyBorder="1" applyProtection="1"/>
    <xf numFmtId="1" fontId="0" fillId="12" borderId="57" xfId="0" applyNumberFormat="1" applyFill="1" applyBorder="1" applyProtection="1"/>
    <xf numFmtId="1" fontId="0" fillId="12" borderId="60" xfId="0" applyNumberFormat="1" applyFill="1" applyBorder="1" applyAlignment="1" applyProtection="1">
      <alignment horizontal="right"/>
    </xf>
    <xf numFmtId="1" fontId="0" fillId="12" borderId="61" xfId="0" applyNumberFormat="1" applyFill="1" applyBorder="1" applyAlignment="1" applyProtection="1">
      <alignment horizontal="right"/>
    </xf>
    <xf numFmtId="1" fontId="0" fillId="12" borderId="62" xfId="0" applyNumberFormat="1" applyFill="1" applyBorder="1" applyAlignment="1" applyProtection="1">
      <alignment horizontal="right"/>
    </xf>
    <xf numFmtId="1" fontId="24" fillId="12" borderId="58" xfId="0" applyNumberFormat="1" applyFont="1" applyFill="1" applyBorder="1" applyAlignment="1" applyProtection="1">
      <alignment horizontal="right"/>
    </xf>
    <xf numFmtId="1" fontId="24" fillId="12" borderId="2" xfId="0" applyNumberFormat="1" applyFont="1" applyFill="1" applyBorder="1" applyAlignment="1" applyProtection="1">
      <alignment horizontal="right"/>
    </xf>
    <xf numFmtId="1" fontId="24" fillId="12" borderId="59" xfId="0" applyNumberFormat="1" applyFont="1" applyFill="1" applyBorder="1" applyAlignment="1" applyProtection="1">
      <alignment horizontal="right"/>
    </xf>
    <xf numFmtId="1" fontId="24" fillId="12" borderId="58" xfId="0" applyNumberFormat="1" applyFont="1" applyFill="1" applyBorder="1" applyProtection="1"/>
    <xf numFmtId="1" fontId="24" fillId="12" borderId="2" xfId="0" applyNumberFormat="1" applyFont="1" applyFill="1" applyBorder="1" applyProtection="1"/>
    <xf numFmtId="1" fontId="24" fillId="12" borderId="59" xfId="0" applyNumberFormat="1" applyFont="1" applyFill="1" applyBorder="1" applyProtection="1"/>
    <xf numFmtId="1" fontId="24" fillId="12" borderId="56" xfId="0" applyNumberFormat="1" applyFont="1" applyFill="1" applyBorder="1" applyAlignment="1" applyProtection="1">
      <alignment horizontal="right"/>
    </xf>
    <xf numFmtId="1" fontId="24" fillId="12" borderId="57" xfId="0" applyNumberFormat="1" applyFont="1" applyFill="1" applyBorder="1" applyAlignment="1" applyProtection="1">
      <alignment horizontal="right"/>
    </xf>
    <xf numFmtId="1" fontId="24" fillId="12" borderId="56" xfId="0" applyNumberFormat="1" applyFont="1" applyFill="1" applyBorder="1" applyProtection="1"/>
    <xf numFmtId="1" fontId="24" fillId="12" borderId="57" xfId="0" applyNumberFormat="1" applyFont="1" applyFill="1" applyBorder="1" applyProtection="1"/>
    <xf numFmtId="0" fontId="23" fillId="10" borderId="86" xfId="0" applyFont="1" applyFill="1" applyBorder="1" applyAlignment="1" applyProtection="1">
      <alignment horizontal="center"/>
    </xf>
    <xf numFmtId="0" fontId="23" fillId="10" borderId="87" xfId="0" applyFont="1" applyFill="1" applyBorder="1" applyAlignment="1" applyProtection="1">
      <alignment horizontal="center"/>
    </xf>
    <xf numFmtId="0" fontId="0" fillId="12" borderId="122" xfId="0" applyFill="1" applyBorder="1" applyProtection="1"/>
    <xf numFmtId="0" fontId="0" fillId="12" borderId="89" xfId="0" applyFill="1" applyBorder="1" applyProtection="1"/>
    <xf numFmtId="0" fontId="0" fillId="12" borderId="123" xfId="0" applyFill="1" applyBorder="1" applyProtection="1"/>
    <xf numFmtId="0" fontId="0" fillId="12" borderId="58" xfId="0" applyFill="1" applyBorder="1" applyProtection="1"/>
    <xf numFmtId="0" fontId="0" fillId="0" borderId="122" xfId="0" applyFill="1" applyBorder="1" applyAlignment="1" applyProtection="1">
      <alignment horizontal="right"/>
    </xf>
    <xf numFmtId="0" fontId="0" fillId="0" borderId="89" xfId="0" applyFill="1" applyBorder="1" applyAlignment="1" applyProtection="1">
      <alignment horizontal="right"/>
    </xf>
    <xf numFmtId="0" fontId="0" fillId="0" borderId="124" xfId="0" applyFill="1" applyBorder="1" applyAlignment="1" applyProtection="1">
      <alignment horizontal="right"/>
    </xf>
    <xf numFmtId="0" fontId="0" fillId="0" borderId="89" xfId="0" applyBorder="1" applyProtection="1"/>
    <xf numFmtId="0" fontId="0" fillId="0" borderId="123" xfId="0" applyBorder="1" applyProtection="1"/>
    <xf numFmtId="0" fontId="0" fillId="0" borderId="55" xfId="0" applyBorder="1" applyProtection="1"/>
    <xf numFmtId="0" fontId="0" fillId="0" borderId="15" xfId="0" applyBorder="1" applyProtection="1"/>
    <xf numFmtId="0" fontId="0" fillId="0" borderId="114" xfId="0" applyFill="1" applyBorder="1" applyProtection="1"/>
    <xf numFmtId="0" fontId="0" fillId="8" borderId="15" xfId="0" applyFill="1" applyBorder="1"/>
    <xf numFmtId="0" fontId="23" fillId="4" borderId="0" xfId="0" applyFont="1" applyFill="1" applyBorder="1" applyAlignment="1" applyProtection="1">
      <alignment horizontal="left" vertical="center" wrapText="1"/>
      <protection hidden="1"/>
    </xf>
    <xf numFmtId="0" fontId="23" fillId="4" borderId="0" xfId="0" applyFont="1" applyFill="1" applyBorder="1" applyAlignment="1" applyProtection="1">
      <alignment horizontal="left" vertical="center"/>
      <protection hidden="1"/>
    </xf>
    <xf numFmtId="0" fontId="28" fillId="6" borderId="26" xfId="0" applyFont="1" applyFill="1" applyBorder="1" applyAlignment="1" applyProtection="1">
      <alignment vertical="center"/>
    </xf>
    <xf numFmtId="0" fontId="23" fillId="6" borderId="47" xfId="0" applyFont="1" applyFill="1" applyBorder="1" applyAlignment="1" applyProtection="1">
      <alignment vertical="center"/>
    </xf>
    <xf numFmtId="0" fontId="23" fillId="6" borderId="47" xfId="0" applyFont="1" applyFill="1" applyBorder="1" applyAlignment="1" applyProtection="1">
      <alignment vertical="center"/>
      <protection locked="0"/>
    </xf>
    <xf numFmtId="0" fontId="23" fillId="6" borderId="50" xfId="0" applyFont="1" applyFill="1" applyBorder="1" applyAlignment="1" applyProtection="1">
      <alignment horizontal="left" vertical="center"/>
      <protection locked="0"/>
    </xf>
    <xf numFmtId="0" fontId="23" fillId="4" borderId="40" xfId="0" applyFont="1" applyFill="1" applyBorder="1" applyAlignment="1" applyProtection="1">
      <alignment vertical="center"/>
      <protection locked="0"/>
    </xf>
    <xf numFmtId="0" fontId="23" fillId="6" borderId="53" xfId="0" applyFont="1" applyFill="1" applyBorder="1" applyAlignment="1" applyProtection="1">
      <alignment vertical="center"/>
      <protection locked="0"/>
    </xf>
    <xf numFmtId="0" fontId="23" fillId="6" borderId="1" xfId="0" applyFont="1" applyFill="1" applyBorder="1" applyAlignment="1" applyProtection="1">
      <alignment vertical="center"/>
      <protection locked="0"/>
    </xf>
    <xf numFmtId="0" fontId="23" fillId="6" borderId="41"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5" borderId="24" xfId="0" applyFont="1" applyFill="1" applyBorder="1" applyAlignment="1" applyProtection="1">
      <alignment horizontal="left" vertical="center"/>
    </xf>
    <xf numFmtId="0" fontId="23" fillId="4" borderId="0" xfId="0" applyFont="1" applyFill="1" applyBorder="1" applyAlignment="1" applyProtection="1">
      <alignment vertical="center"/>
      <protection locked="0"/>
    </xf>
    <xf numFmtId="0" fontId="0" fillId="4" borderId="0" xfId="0" applyFill="1" applyAlignment="1" applyProtection="1">
      <alignment vertical="center" wrapText="1"/>
      <protection locked="0"/>
    </xf>
    <xf numFmtId="0" fontId="23" fillId="4" borderId="0" xfId="0" applyFont="1" applyFill="1" applyAlignment="1" applyProtection="1">
      <alignment vertical="center"/>
      <protection locked="0"/>
    </xf>
    <xf numFmtId="0" fontId="32" fillId="5" borderId="93"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28" fillId="6" borderId="0" xfId="0" applyFont="1" applyFill="1" applyBorder="1" applyAlignment="1" applyProtection="1">
      <alignment horizontal="left" vertical="center"/>
    </xf>
    <xf numFmtId="0" fontId="23" fillId="6" borderId="47" xfId="0" applyFont="1" applyFill="1" applyBorder="1" applyAlignment="1" applyProtection="1">
      <alignment horizontal="left" vertical="center" wrapText="1"/>
      <protection locked="0"/>
    </xf>
    <xf numFmtId="0" fontId="23" fillId="6" borderId="39" xfId="0" applyFont="1" applyFill="1" applyBorder="1" applyAlignment="1" applyProtection="1">
      <alignment vertical="center"/>
      <protection locked="0"/>
    </xf>
    <xf numFmtId="0" fontId="23" fillId="6" borderId="50"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vertical="center" wrapText="1"/>
      <protection locked="0"/>
    </xf>
    <xf numFmtId="0" fontId="23" fillId="6" borderId="53" xfId="0" applyFont="1" applyFill="1" applyBorder="1" applyAlignment="1" applyProtection="1">
      <alignment vertical="center" wrapText="1"/>
      <protection locked="0"/>
    </xf>
    <xf numFmtId="0" fontId="0" fillId="2" borderId="0" xfId="0"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164" fontId="23" fillId="6" borderId="47" xfId="0" applyNumberFormat="1" applyFont="1" applyFill="1" applyBorder="1" applyAlignment="1" applyProtection="1">
      <alignment vertical="center"/>
    </xf>
    <xf numFmtId="0" fontId="23" fillId="6" borderId="51" xfId="0" applyFont="1" applyFill="1" applyBorder="1" applyAlignment="1" applyProtection="1">
      <alignment horizontal="left" vertical="center" wrapText="1"/>
      <protection locked="0"/>
    </xf>
    <xf numFmtId="0" fontId="23" fillId="6" borderId="48" xfId="0" applyFont="1" applyFill="1" applyBorder="1" applyAlignment="1" applyProtection="1">
      <alignment vertical="center"/>
      <protection locked="0"/>
    </xf>
    <xf numFmtId="0" fontId="23" fillId="6" borderId="47" xfId="0" applyFont="1" applyFill="1" applyBorder="1" applyAlignment="1" applyProtection="1">
      <alignment vertical="center" wrapText="1"/>
      <protection locked="0"/>
    </xf>
    <xf numFmtId="0" fontId="23" fillId="6" borderId="48"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xf>
    <xf numFmtId="0" fontId="32" fillId="5" borderId="93" xfId="0" applyFont="1" applyFill="1" applyBorder="1" applyAlignment="1" applyProtection="1">
      <alignment horizontal="left" vertical="center" wrapText="1"/>
    </xf>
    <xf numFmtId="0" fontId="0" fillId="0" borderId="2" xfId="0" applyFill="1" applyBorder="1" applyProtection="1">
      <protection hidden="1"/>
    </xf>
    <xf numFmtId="0" fontId="30" fillId="2" borderId="0" xfId="0" applyFont="1" applyFill="1" applyBorder="1" applyAlignment="1" applyProtection="1">
      <alignment horizontal="left" vertical="center"/>
      <protection hidden="1"/>
    </xf>
    <xf numFmtId="0" fontId="49" fillId="4" borderId="1" xfId="0" applyFont="1" applyFill="1" applyBorder="1" applyAlignment="1" applyProtection="1">
      <alignment horizontal="left"/>
      <protection hidden="1"/>
    </xf>
    <xf numFmtId="0" fontId="23" fillId="4"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26" fillId="4" borderId="77" xfId="0" applyFont="1" applyFill="1" applyBorder="1" applyAlignment="1" applyProtection="1">
      <alignment horizontal="center" vertical="center"/>
      <protection locked="0"/>
    </xf>
    <xf numFmtId="0" fontId="0" fillId="18" borderId="75" xfId="0" applyFill="1" applyBorder="1" applyProtection="1"/>
    <xf numFmtId="0" fontId="0" fillId="18" borderId="77" xfId="0" applyFill="1" applyBorder="1" applyProtection="1"/>
    <xf numFmtId="0" fontId="23" fillId="10" borderId="82" xfId="0" applyFont="1" applyFill="1" applyBorder="1" applyProtection="1"/>
    <xf numFmtId="0" fontId="0" fillId="0" borderId="0" xfId="0"/>
    <xf numFmtId="0" fontId="53" fillId="4" borderId="0" xfId="0" applyFont="1" applyFill="1" applyBorder="1" applyAlignment="1">
      <alignment horizontal="left" vertical="top" wrapText="1"/>
    </xf>
    <xf numFmtId="0" fontId="52" fillId="0" borderId="0" xfId="0" applyFont="1" applyBorder="1"/>
    <xf numFmtId="0" fontId="53" fillId="0" borderId="0" xfId="0" applyFont="1" applyBorder="1"/>
    <xf numFmtId="0" fontId="53" fillId="0" borderId="0" xfId="0" applyFont="1" applyFill="1" applyBorder="1"/>
    <xf numFmtId="0" fontId="56" fillId="0" borderId="125" xfId="0" applyFont="1" applyBorder="1" applyProtection="1">
      <protection locked="0"/>
    </xf>
    <xf numFmtId="0" fontId="56" fillId="0" borderId="129" xfId="0" applyFont="1" applyBorder="1" applyProtection="1">
      <protection locked="0"/>
    </xf>
    <xf numFmtId="49" fontId="56" fillId="0" borderId="129" xfId="0" applyNumberFormat="1" applyFont="1" applyBorder="1" applyProtection="1">
      <protection locked="0"/>
    </xf>
    <xf numFmtId="0" fontId="56" fillId="0" borderId="126" xfId="0" applyFont="1" applyBorder="1" applyAlignment="1" applyProtection="1">
      <alignment horizontal="left" vertical="center"/>
      <protection locked="0"/>
    </xf>
    <xf numFmtId="0" fontId="56" fillId="0" borderId="127" xfId="0" applyFont="1" applyBorder="1" applyAlignment="1" applyProtection="1">
      <alignment horizontal="left" vertical="center"/>
      <protection locked="0"/>
    </xf>
    <xf numFmtId="0" fontId="56" fillId="0" borderId="128" xfId="0" applyFont="1" applyBorder="1" applyAlignment="1" applyProtection="1">
      <alignment horizontal="left" vertical="center"/>
      <protection locked="0"/>
    </xf>
    <xf numFmtId="0" fontId="53" fillId="19" borderId="65" xfId="0" applyFont="1" applyFill="1" applyBorder="1" applyAlignment="1">
      <alignment horizontal="center" vertical="top" wrapText="1"/>
    </xf>
    <xf numFmtId="0" fontId="53" fillId="19" borderId="66" xfId="0" applyFont="1" applyFill="1" applyBorder="1" applyAlignment="1">
      <alignment horizontal="left" vertical="top" wrapText="1"/>
    </xf>
    <xf numFmtId="0" fontId="53" fillId="19" borderId="67" xfId="0" applyFont="1" applyFill="1" applyBorder="1" applyAlignment="1">
      <alignment horizontal="center" vertical="top" wrapText="1"/>
    </xf>
    <xf numFmtId="0" fontId="0" fillId="8" borderId="113" xfId="0" applyFill="1" applyBorder="1"/>
    <xf numFmtId="0" fontId="0" fillId="0" borderId="92" xfId="0" applyBorder="1"/>
    <xf numFmtId="0" fontId="56" fillId="0" borderId="130" xfId="0" applyFont="1" applyBorder="1" applyProtection="1">
      <protection locked="0"/>
    </xf>
    <xf numFmtId="0" fontId="52" fillId="0" borderId="59" xfId="0" applyFont="1" applyBorder="1" applyAlignment="1">
      <alignment horizontal="center"/>
    </xf>
    <xf numFmtId="0" fontId="52" fillId="0" borderId="59" xfId="0" applyFont="1" applyBorder="1" applyAlignment="1">
      <alignment horizontal="center" vertical="top"/>
    </xf>
    <xf numFmtId="0" fontId="52" fillId="0" borderId="16" xfId="0" applyFont="1" applyBorder="1"/>
    <xf numFmtId="0" fontId="52" fillId="0" borderId="17" xfId="0" applyFont="1" applyBorder="1" applyAlignment="1">
      <alignment horizontal="center"/>
    </xf>
    <xf numFmtId="0" fontId="53" fillId="0" borderId="16" xfId="0" applyFont="1" applyBorder="1"/>
    <xf numFmtId="0" fontId="54" fillId="0" borderId="59" xfId="0" applyFont="1" applyBorder="1" applyAlignment="1">
      <alignment horizontal="center"/>
    </xf>
    <xf numFmtId="0" fontId="54" fillId="0" borderId="59" xfId="0" applyFont="1" applyBorder="1" applyAlignment="1">
      <alignment horizontal="center" vertical="top"/>
    </xf>
    <xf numFmtId="49" fontId="56" fillId="0" borderId="130" xfId="0" applyNumberFormat="1" applyFont="1" applyBorder="1" applyProtection="1">
      <protection locked="0"/>
    </xf>
    <xf numFmtId="0" fontId="53" fillId="0" borderId="16" xfId="0" applyFont="1" applyFill="1" applyBorder="1"/>
    <xf numFmtId="0" fontId="56" fillId="0" borderId="134" xfId="0" applyFont="1" applyBorder="1" applyProtection="1">
      <protection locked="0"/>
    </xf>
    <xf numFmtId="0" fontId="56" fillId="0" borderId="135" xfId="0" applyFont="1" applyBorder="1" applyProtection="1">
      <protection locked="0"/>
    </xf>
    <xf numFmtId="0" fontId="55" fillId="17" borderId="61" xfId="3" applyBorder="1"/>
    <xf numFmtId="0" fontId="52" fillId="0" borderId="62" xfId="0" applyFont="1" applyBorder="1" applyAlignment="1">
      <alignment horizontal="center"/>
    </xf>
    <xf numFmtId="0" fontId="0" fillId="8" borderId="75" xfId="0" applyFill="1" applyBorder="1"/>
    <xf numFmtId="0" fontId="0" fillId="0" borderId="113" xfId="0" applyBorder="1"/>
    <xf numFmtId="0" fontId="19" fillId="3" borderId="41" xfId="0" applyFont="1" applyFill="1" applyBorder="1" applyAlignment="1" applyProtection="1">
      <alignment vertical="top"/>
    </xf>
    <xf numFmtId="0" fontId="19" fillId="3" borderId="0" xfId="0" applyFont="1" applyFill="1" applyBorder="1" applyAlignment="1" applyProtection="1">
      <alignment vertical="top"/>
      <protection hidden="1"/>
    </xf>
    <xf numFmtId="0" fontId="0" fillId="0" borderId="0" xfId="0" applyAlignment="1">
      <alignment horizontal="center" vertical="center"/>
    </xf>
    <xf numFmtId="0" fontId="0" fillId="18" borderId="5" xfId="0" applyFill="1" applyBorder="1"/>
    <xf numFmtId="0" fontId="53" fillId="4" borderId="21" xfId="0" applyFont="1" applyFill="1" applyBorder="1" applyAlignment="1">
      <alignment horizontal="left" vertical="top" wrapText="1"/>
    </xf>
    <xf numFmtId="0" fontId="53" fillId="4" borderId="22" xfId="0" applyFont="1" applyFill="1" applyBorder="1" applyAlignment="1">
      <alignment horizontal="left" vertical="top" wrapText="1"/>
    </xf>
    <xf numFmtId="0" fontId="53" fillId="4" borderId="23" xfId="0" applyFont="1" applyFill="1" applyBorder="1" applyAlignment="1">
      <alignment horizontal="center" vertical="top" wrapText="1"/>
    </xf>
    <xf numFmtId="0" fontId="0" fillId="0" borderId="0" xfId="0"/>
    <xf numFmtId="0" fontId="52" fillId="0" borderId="0" xfId="0" applyFont="1" applyBorder="1"/>
    <xf numFmtId="0" fontId="55" fillId="17" borderId="2" xfId="3" applyBorder="1"/>
    <xf numFmtId="0" fontId="55" fillId="17" borderId="2" xfId="3" applyBorder="1" applyAlignment="1">
      <alignment vertical="top"/>
    </xf>
    <xf numFmtId="0" fontId="56" fillId="0" borderId="125" xfId="0" applyFont="1" applyBorder="1" applyProtection="1">
      <protection locked="0"/>
    </xf>
    <xf numFmtId="0" fontId="56" fillId="0" borderId="129" xfId="0" applyFont="1" applyBorder="1" applyProtection="1">
      <protection locked="0"/>
    </xf>
    <xf numFmtId="0" fontId="56" fillId="0" borderId="129" xfId="0" applyFont="1" applyBorder="1" applyAlignment="1" applyProtection="1">
      <alignment wrapText="1"/>
      <protection locked="0"/>
    </xf>
    <xf numFmtId="0" fontId="26" fillId="4" borderId="2" xfId="0" applyFont="1" applyFill="1" applyBorder="1" applyAlignment="1" applyProtection="1">
      <alignment horizontal="left" vertical="center"/>
      <protection hidden="1"/>
    </xf>
    <xf numFmtId="0" fontId="58" fillId="2" borderId="1" xfId="0" applyFont="1" applyFill="1" applyBorder="1" applyAlignment="1" applyProtection="1">
      <alignment horizontal="left"/>
      <protection hidden="1"/>
    </xf>
    <xf numFmtId="0" fontId="35" fillId="4" borderId="34" xfId="0" applyFont="1" applyFill="1" applyBorder="1" applyAlignment="1" applyProtection="1">
      <alignment horizontal="left" vertical="center"/>
      <protection hidden="1"/>
    </xf>
    <xf numFmtId="165" fontId="35" fillId="4" borderId="28" xfId="0" applyNumberFormat="1" applyFont="1" applyFill="1" applyBorder="1" applyAlignment="1" applyProtection="1">
      <alignment horizontal="left" vertical="center"/>
      <protection hidden="1"/>
    </xf>
    <xf numFmtId="0" fontId="1" fillId="4" borderId="27" xfId="0" applyFont="1" applyFill="1" applyBorder="1" applyAlignment="1" applyProtection="1">
      <alignment horizontal="left" vertical="center"/>
      <protection hidden="1"/>
    </xf>
    <xf numFmtId="0" fontId="1" fillId="5" borderId="2" xfId="0" applyFont="1" applyFill="1" applyBorder="1" applyAlignment="1" applyProtection="1">
      <alignment horizontal="left" vertical="center"/>
      <protection hidden="1"/>
    </xf>
    <xf numFmtId="164" fontId="9" fillId="5" borderId="2" xfId="2" applyNumberFormat="1" applyFont="1" applyFill="1" applyBorder="1" applyAlignment="1" applyProtection="1">
      <alignment horizontal="left" vertical="center"/>
      <protection hidden="1"/>
    </xf>
    <xf numFmtId="0" fontId="1" fillId="5" borderId="2" xfId="0" applyFont="1" applyFill="1" applyBorder="1" applyAlignment="1" applyProtection="1">
      <alignment vertical="center"/>
      <protection hidden="1"/>
    </xf>
    <xf numFmtId="0" fontId="35" fillId="4" borderId="4" xfId="0" applyFont="1" applyFill="1" applyBorder="1" applyAlignment="1" applyProtection="1">
      <alignment horizontal="left" vertical="center"/>
      <protection hidden="1"/>
    </xf>
    <xf numFmtId="0" fontId="35" fillId="4" borderId="6" xfId="0" applyFont="1" applyFill="1" applyBorder="1" applyAlignment="1" applyProtection="1">
      <alignment horizontal="left" vertical="center"/>
      <protection hidden="1"/>
    </xf>
    <xf numFmtId="0" fontId="35"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4"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164" fontId="9" fillId="5" borderId="7" xfId="2" applyNumberFormat="1" applyFont="1" applyFill="1" applyBorder="1" applyAlignment="1" applyProtection="1">
      <alignment horizontal="left" vertical="center"/>
      <protection hidden="1"/>
    </xf>
    <xf numFmtId="0" fontId="26" fillId="5" borderId="99" xfId="0" applyFont="1" applyFill="1" applyBorder="1" applyAlignment="1" applyProtection="1">
      <alignment horizontal="left" vertical="center" wrapText="1"/>
      <protection locked="0"/>
    </xf>
    <xf numFmtId="0" fontId="23" fillId="6" borderId="41" xfId="0" applyFont="1" applyFill="1" applyBorder="1" applyAlignment="1" applyProtection="1">
      <alignment horizontal="left" vertical="center" wrapText="1"/>
      <protection locked="0"/>
    </xf>
    <xf numFmtId="0" fontId="26" fillId="4" borderId="7" xfId="0" applyFont="1" applyFill="1" applyBorder="1" applyAlignment="1" applyProtection="1">
      <alignment horizontal="left" vertical="center" wrapText="1"/>
      <protection locked="0"/>
    </xf>
    <xf numFmtId="0" fontId="26" fillId="5" borderId="97" xfId="0" applyFont="1" applyFill="1" applyBorder="1" applyAlignment="1" applyProtection="1">
      <alignment horizontal="left" vertical="center" wrapText="1"/>
      <protection locked="0"/>
    </xf>
    <xf numFmtId="0" fontId="23" fillId="6" borderId="39" xfId="0" applyFont="1" applyFill="1" applyBorder="1" applyAlignment="1" applyProtection="1">
      <alignment horizontal="left" vertical="center" wrapText="1"/>
      <protection locked="0"/>
    </xf>
    <xf numFmtId="0" fontId="38" fillId="5" borderId="141" xfId="0" applyFont="1" applyFill="1" applyBorder="1" applyAlignment="1" applyProtection="1">
      <alignment horizontal="center" vertical="center"/>
      <protection locked="0"/>
    </xf>
    <xf numFmtId="0" fontId="38" fillId="5" borderId="141"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top"/>
      <protection hidden="1"/>
    </xf>
    <xf numFmtId="0" fontId="19" fillId="3" borderId="1" xfId="0" applyFont="1" applyFill="1" applyBorder="1" applyAlignment="1" applyProtection="1">
      <alignment vertical="top"/>
      <protection hidden="1"/>
    </xf>
    <xf numFmtId="0" fontId="0" fillId="4" borderId="0" xfId="0" applyFill="1" applyAlignment="1" applyProtection="1">
      <protection hidden="1"/>
    </xf>
    <xf numFmtId="0" fontId="0" fillId="2" borderId="0" xfId="0" applyFill="1" applyAlignment="1" applyProtection="1">
      <protection hidden="1"/>
    </xf>
    <xf numFmtId="0" fontId="23" fillId="2" borderId="0" xfId="0" applyFont="1" applyFill="1" applyAlignment="1" applyProtection="1">
      <protection hidden="1"/>
    </xf>
    <xf numFmtId="0" fontId="0" fillId="4" borderId="0" xfId="0" applyFill="1" applyBorder="1" applyAlignment="1" applyProtection="1">
      <protection hidden="1"/>
    </xf>
    <xf numFmtId="0" fontId="23" fillId="2" borderId="0" xfId="0" applyFont="1" applyFill="1" applyBorder="1" applyAlignment="1" applyProtection="1">
      <protection hidden="1"/>
    </xf>
    <xf numFmtId="0" fontId="11" fillId="2" borderId="14" xfId="0" applyFont="1" applyFill="1" applyBorder="1" applyAlignment="1" applyProtection="1">
      <protection hidden="1"/>
    </xf>
    <xf numFmtId="0" fontId="58" fillId="2" borderId="1" xfId="0" applyFont="1" applyFill="1" applyBorder="1" applyAlignment="1" applyProtection="1">
      <alignment horizontal="center"/>
      <protection hidden="1"/>
    </xf>
    <xf numFmtId="0" fontId="45" fillId="2" borderId="1" xfId="0" applyFont="1" applyFill="1" applyBorder="1" applyAlignment="1" applyProtection="1">
      <alignment horizontal="center"/>
      <protection hidden="1"/>
    </xf>
    <xf numFmtId="0" fontId="50" fillId="2" borderId="1" xfId="0" applyFont="1" applyFill="1" applyBorder="1" applyAlignment="1" applyProtection="1">
      <alignment horizontal="center"/>
      <protection hidden="1"/>
    </xf>
    <xf numFmtId="0" fontId="45" fillId="2" borderId="5" xfId="0" applyFont="1" applyFill="1" applyBorder="1" applyAlignment="1" applyProtection="1">
      <alignment horizontal="center"/>
      <protection hidden="1"/>
    </xf>
    <xf numFmtId="0" fontId="58" fillId="2" borderId="14" xfId="0" applyFont="1" applyFill="1" applyBorder="1" applyAlignment="1" applyProtection="1">
      <alignment horizontal="center"/>
      <protection hidden="1"/>
    </xf>
    <xf numFmtId="0" fontId="45" fillId="2" borderId="0" xfId="0" applyFont="1" applyFill="1" applyBorder="1" applyAlignment="1" applyProtection="1">
      <alignment horizontal="center"/>
      <protection hidden="1"/>
    </xf>
    <xf numFmtId="0" fontId="0" fillId="2" borderId="1" xfId="0" applyFill="1" applyBorder="1" applyAlignment="1" applyProtection="1">
      <protection hidden="1"/>
    </xf>
    <xf numFmtId="0" fontId="0" fillId="2" borderId="12" xfId="0" applyFont="1" applyFill="1" applyBorder="1" applyAlignment="1" applyProtection="1">
      <protection hidden="1"/>
    </xf>
    <xf numFmtId="0" fontId="0" fillId="4" borderId="15" xfId="0" applyFill="1" applyBorder="1" applyAlignment="1" applyProtection="1">
      <protection hidden="1"/>
    </xf>
    <xf numFmtId="0" fontId="0" fillId="2" borderId="0" xfId="0" applyFont="1" applyFill="1" applyAlignment="1" applyProtection="1">
      <protection hidden="1"/>
    </xf>
    <xf numFmtId="0" fontId="0" fillId="4" borderId="0" xfId="0" applyFont="1" applyFill="1" applyAlignment="1" applyProtection="1">
      <protection hidden="1"/>
    </xf>
    <xf numFmtId="0" fontId="1" fillId="4" borderId="0" xfId="0" applyFont="1" applyFill="1" applyAlignment="1" applyProtection="1">
      <protection hidden="1"/>
    </xf>
    <xf numFmtId="0" fontId="9" fillId="4" borderId="0" xfId="0" applyFont="1" applyFill="1" applyAlignment="1" applyProtection="1">
      <alignment horizontal="left" vertical="top"/>
      <protection hidden="1"/>
    </xf>
    <xf numFmtId="0" fontId="0" fillId="0" borderId="0" xfId="0" applyAlignment="1" applyProtection="1">
      <protection hidden="1"/>
    </xf>
    <xf numFmtId="0" fontId="0" fillId="2" borderId="0" xfId="0" applyFont="1" applyFill="1" applyBorder="1" applyAlignment="1" applyProtection="1">
      <protection hidden="1"/>
    </xf>
    <xf numFmtId="0" fontId="39" fillId="2" borderId="0" xfId="0" applyFont="1" applyFill="1" applyBorder="1" applyAlignment="1" applyProtection="1">
      <protection hidden="1"/>
    </xf>
    <xf numFmtId="0" fontId="0" fillId="4" borderId="0" xfId="0" applyFont="1" applyFill="1" applyBorder="1" applyAlignment="1" applyProtection="1">
      <protection hidden="1"/>
    </xf>
    <xf numFmtId="0" fontId="59" fillId="2" borderId="0" xfId="0" applyFont="1" applyFill="1" applyBorder="1" applyAlignment="1" applyProtection="1">
      <alignment horizontal="left"/>
      <protection hidden="1"/>
    </xf>
    <xf numFmtId="0" fontId="3" fillId="4" borderId="0" xfId="0" applyFont="1" applyFill="1" applyAlignment="1" applyProtection="1">
      <protection hidden="1"/>
    </xf>
    <xf numFmtId="0" fontId="23" fillId="5" borderId="14" xfId="0" applyFont="1" applyFill="1" applyBorder="1" applyAlignment="1" applyProtection="1">
      <alignment horizontal="left" vertical="center"/>
      <protection hidden="1"/>
    </xf>
    <xf numFmtId="0" fontId="15" fillId="4" borderId="0" xfId="0" applyFont="1" applyFill="1" applyAlignment="1" applyProtection="1">
      <protection hidden="1"/>
    </xf>
    <xf numFmtId="0" fontId="24" fillId="2" borderId="0" xfId="0" applyFont="1" applyFill="1" applyAlignment="1" applyProtection="1">
      <protection hidden="1"/>
    </xf>
    <xf numFmtId="0" fontId="0" fillId="2" borderId="0" xfId="0" applyFill="1" applyBorder="1" applyAlignment="1" applyProtection="1">
      <alignment horizontal="left" vertical="top"/>
      <protection hidden="1"/>
    </xf>
    <xf numFmtId="0" fontId="23" fillId="4" borderId="0" xfId="0" applyFont="1" applyFill="1" applyBorder="1" applyAlignment="1" applyProtection="1">
      <alignment horizontal="left"/>
      <protection hidden="1"/>
    </xf>
    <xf numFmtId="0" fontId="23" fillId="4" borderId="0" xfId="0" applyFont="1" applyFill="1" applyAlignment="1" applyProtection="1">
      <protection hidden="1"/>
    </xf>
    <xf numFmtId="0" fontId="12" fillId="2" borderId="0" xfId="0" applyFont="1" applyFill="1" applyAlignment="1" applyProtection="1">
      <alignment horizontal="center"/>
      <protection hidden="1"/>
    </xf>
    <xf numFmtId="0" fontId="17" fillId="2" borderId="0" xfId="0" applyFont="1" applyFill="1" applyAlignment="1" applyProtection="1">
      <alignment horizontal="left" vertical="top"/>
      <protection hidden="1"/>
    </xf>
    <xf numFmtId="0" fontId="14" fillId="2" borderId="0" xfId="0" applyFont="1" applyFill="1" applyAlignment="1" applyProtection="1">
      <alignment vertical="center" wrapText="1"/>
      <protection hidden="1"/>
    </xf>
    <xf numFmtId="0" fontId="60" fillId="2" borderId="0" xfId="0" applyFont="1" applyFill="1" applyProtection="1">
      <protection hidden="1"/>
    </xf>
    <xf numFmtId="0" fontId="60" fillId="4" borderId="0" xfId="0" applyFont="1" applyFill="1"/>
    <xf numFmtId="0" fontId="61" fillId="3" borderId="0" xfId="0" applyFont="1" applyFill="1" applyBorder="1" applyAlignment="1" applyProtection="1">
      <alignment horizontal="left" vertical="top"/>
      <protection hidden="1"/>
    </xf>
    <xf numFmtId="0" fontId="62" fillId="3" borderId="0" xfId="0" applyFont="1" applyFill="1" applyBorder="1" applyProtection="1">
      <protection hidden="1"/>
    </xf>
    <xf numFmtId="0" fontId="61" fillId="3" borderId="0" xfId="0" applyFont="1" applyFill="1" applyBorder="1" applyAlignment="1" applyProtection="1">
      <alignment vertical="top"/>
      <protection hidden="1"/>
    </xf>
    <xf numFmtId="0" fontId="63" fillId="2" borderId="0" xfId="0" applyFont="1" applyFill="1" applyAlignment="1" applyProtection="1">
      <alignment horizontal="left" vertical="center"/>
      <protection hidden="1"/>
    </xf>
    <xf numFmtId="0" fontId="64" fillId="2" borderId="0" xfId="0" applyFont="1" applyFill="1" applyAlignment="1" applyProtection="1">
      <alignment horizontal="right"/>
      <protection hidden="1"/>
    </xf>
    <xf numFmtId="0" fontId="65" fillId="4" borderId="1" xfId="0" applyFont="1" applyFill="1" applyBorder="1" applyAlignment="1" applyProtection="1">
      <alignment horizontal="left"/>
      <protection hidden="1"/>
    </xf>
    <xf numFmtId="0" fontId="66" fillId="2" borderId="1" xfId="0" applyFont="1" applyFill="1" applyBorder="1" applyProtection="1">
      <protection hidden="1"/>
    </xf>
    <xf numFmtId="0" fontId="67" fillId="2" borderId="1" xfId="0" applyFont="1" applyFill="1" applyBorder="1" applyProtection="1">
      <protection hidden="1"/>
    </xf>
    <xf numFmtId="0" fontId="68" fillId="3" borderId="6" xfId="0" applyFont="1" applyFill="1" applyBorder="1" applyProtection="1">
      <protection hidden="1"/>
    </xf>
    <xf numFmtId="0" fontId="69" fillId="3" borderId="6" xfId="0" applyFont="1" applyFill="1" applyBorder="1" applyAlignment="1" applyProtection="1">
      <alignment horizontal="right" vertical="center"/>
      <protection hidden="1"/>
    </xf>
    <xf numFmtId="0" fontId="67" fillId="5" borderId="6" xfId="0" applyFont="1" applyFill="1" applyBorder="1" applyAlignment="1" applyProtection="1">
      <alignment horizontal="left" vertical="center"/>
      <protection hidden="1"/>
    </xf>
    <xf numFmtId="0" fontId="60" fillId="5" borderId="6" xfId="0" applyFont="1" applyFill="1" applyBorder="1" applyProtection="1">
      <protection hidden="1"/>
    </xf>
    <xf numFmtId="0" fontId="60" fillId="5" borderId="7" xfId="0" applyFont="1" applyFill="1" applyBorder="1" applyProtection="1">
      <protection hidden="1"/>
    </xf>
    <xf numFmtId="0" fontId="60" fillId="4" borderId="0" xfId="0" applyFont="1" applyFill="1" applyProtection="1"/>
    <xf numFmtId="0" fontId="60" fillId="5" borderId="4" xfId="0" applyFont="1" applyFill="1" applyBorder="1" applyAlignment="1" applyProtection="1">
      <alignment horizontal="right"/>
      <protection hidden="1"/>
    </xf>
    <xf numFmtId="0" fontId="60" fillId="5" borderId="6" xfId="0" applyFont="1" applyFill="1" applyBorder="1" applyAlignment="1" applyProtection="1">
      <alignment horizontal="right"/>
      <protection hidden="1"/>
    </xf>
    <xf numFmtId="14" fontId="60" fillId="5" borderId="7" xfId="0" applyNumberFormat="1" applyFont="1" applyFill="1" applyBorder="1" applyAlignment="1" applyProtection="1">
      <alignment horizontal="left"/>
      <protection hidden="1"/>
    </xf>
    <xf numFmtId="0" fontId="68" fillId="4" borderId="0" xfId="0" applyFont="1" applyFill="1" applyBorder="1" applyProtection="1">
      <protection hidden="1"/>
    </xf>
    <xf numFmtId="0" fontId="69" fillId="4" borderId="0" xfId="0" applyFont="1" applyFill="1" applyBorder="1" applyAlignment="1" applyProtection="1">
      <alignment horizontal="right" vertical="center"/>
      <protection hidden="1"/>
    </xf>
    <xf numFmtId="0" fontId="60" fillId="4" borderId="0" xfId="0" applyFont="1" applyFill="1" applyProtection="1">
      <protection hidden="1"/>
    </xf>
    <xf numFmtId="0" fontId="69" fillId="3" borderId="107" xfId="0" applyFont="1" applyFill="1" applyBorder="1" applyProtection="1">
      <protection hidden="1"/>
    </xf>
    <xf numFmtId="0" fontId="69" fillId="3" borderId="112" xfId="0" applyFont="1" applyFill="1" applyBorder="1" applyAlignment="1" applyProtection="1">
      <alignment horizontal="right" vertical="center"/>
      <protection hidden="1"/>
    </xf>
    <xf numFmtId="0" fontId="73" fillId="4" borderId="0" xfId="0" applyFont="1" applyFill="1" applyAlignment="1" applyProtection="1">
      <alignment horizontal="left" vertical="top" wrapText="1"/>
      <protection hidden="1"/>
    </xf>
    <xf numFmtId="0" fontId="69" fillId="3" borderId="47" xfId="0" applyFont="1" applyFill="1" applyBorder="1" applyProtection="1">
      <protection hidden="1"/>
    </xf>
    <xf numFmtId="0" fontId="69" fillId="3" borderId="115" xfId="0" applyFont="1" applyFill="1" applyBorder="1" applyAlignment="1" applyProtection="1">
      <alignment horizontal="right" vertical="center"/>
      <protection hidden="1"/>
    </xf>
    <xf numFmtId="0" fontId="69" fillId="3" borderId="27" xfId="0" applyFont="1" applyFill="1" applyBorder="1" applyProtection="1">
      <protection hidden="1"/>
    </xf>
    <xf numFmtId="0" fontId="69" fillId="3" borderId="109" xfId="0" applyFont="1" applyFill="1" applyBorder="1" applyAlignment="1" applyProtection="1">
      <alignment horizontal="right" vertical="center"/>
      <protection hidden="1"/>
    </xf>
    <xf numFmtId="0" fontId="69" fillId="3" borderId="108" xfId="0" applyFont="1" applyFill="1" applyBorder="1" applyProtection="1">
      <protection hidden="1"/>
    </xf>
    <xf numFmtId="0" fontId="69" fillId="3" borderId="110" xfId="0" applyFont="1" applyFill="1" applyBorder="1" applyAlignment="1" applyProtection="1">
      <alignment horizontal="right" vertical="center"/>
      <protection hidden="1"/>
    </xf>
    <xf numFmtId="0" fontId="60" fillId="2" borderId="11" xfId="0" applyFont="1" applyFill="1" applyBorder="1" applyAlignment="1" applyProtection="1">
      <protection hidden="1"/>
    </xf>
    <xf numFmtId="0" fontId="60" fillId="2" borderId="0" xfId="0" applyFont="1" applyFill="1" applyBorder="1" applyAlignment="1" applyProtection="1">
      <protection hidden="1"/>
    </xf>
    <xf numFmtId="0" fontId="60" fillId="2" borderId="55" xfId="0" applyFont="1" applyFill="1" applyBorder="1" applyProtection="1">
      <protection hidden="1"/>
    </xf>
    <xf numFmtId="0" fontId="60" fillId="4" borderId="56" xfId="0" applyFont="1" applyFill="1" applyBorder="1"/>
    <xf numFmtId="0" fontId="60" fillId="4" borderId="57" xfId="0" applyFont="1" applyFill="1" applyBorder="1"/>
    <xf numFmtId="0" fontId="60" fillId="2" borderId="58" xfId="0" applyFont="1" applyFill="1" applyBorder="1" applyProtection="1">
      <protection hidden="1"/>
    </xf>
    <xf numFmtId="9" fontId="60" fillId="4" borderId="2" xfId="0" applyNumberFormat="1" applyFont="1" applyFill="1" applyBorder="1"/>
    <xf numFmtId="9" fontId="60" fillId="4" borderId="59" xfId="0" applyNumberFormat="1" applyFont="1" applyFill="1" applyBorder="1"/>
    <xf numFmtId="0" fontId="60" fillId="2" borderId="60" xfId="0" applyFont="1" applyFill="1" applyBorder="1" applyProtection="1">
      <protection hidden="1"/>
    </xf>
    <xf numFmtId="9" fontId="60" fillId="4" borderId="61" xfId="0" applyNumberFormat="1" applyFont="1" applyFill="1" applyBorder="1"/>
    <xf numFmtId="9" fontId="60" fillId="4" borderId="62" xfId="0" applyNumberFormat="1" applyFont="1" applyFill="1" applyBorder="1"/>
    <xf numFmtId="0" fontId="60" fillId="4" borderId="12" xfId="0" applyFont="1" applyFill="1" applyBorder="1" applyProtection="1"/>
    <xf numFmtId="0" fontId="74" fillId="2" borderId="15" xfId="0" applyFont="1" applyFill="1" applyBorder="1" applyAlignment="1" applyProtection="1">
      <alignment horizontal="center" wrapText="1"/>
      <protection hidden="1"/>
    </xf>
    <xf numFmtId="0" fontId="75" fillId="2" borderId="14" xfId="0" applyFont="1" applyFill="1" applyBorder="1" applyAlignment="1" applyProtection="1">
      <alignment horizontal="left"/>
      <protection hidden="1"/>
    </xf>
    <xf numFmtId="0" fontId="70" fillId="2" borderId="1" xfId="0" applyFont="1" applyFill="1" applyBorder="1" applyAlignment="1" applyProtection="1">
      <alignment horizontal="center" wrapText="1"/>
      <protection hidden="1"/>
    </xf>
    <xf numFmtId="0" fontId="70" fillId="2" borderId="13" xfId="0" applyFont="1" applyFill="1" applyBorder="1" applyAlignment="1" applyProtection="1">
      <alignment horizontal="center" wrapText="1"/>
      <protection hidden="1"/>
    </xf>
    <xf numFmtId="0" fontId="70" fillId="2" borderId="14" xfId="0" applyFont="1" applyFill="1" applyBorder="1" applyAlignment="1" applyProtection="1">
      <alignment horizontal="center" wrapText="1"/>
      <protection hidden="1"/>
    </xf>
    <xf numFmtId="0" fontId="74" fillId="2" borderId="5" xfId="0" applyFont="1" applyFill="1" applyBorder="1" applyAlignment="1" applyProtection="1">
      <alignment horizontal="center" wrapText="1"/>
      <protection hidden="1"/>
    </xf>
    <xf numFmtId="0" fontId="70" fillId="2" borderId="5" xfId="0" applyFont="1" applyFill="1" applyBorder="1" applyAlignment="1" applyProtection="1">
      <alignment horizontal="center" vertical="top" wrapText="1"/>
      <protection hidden="1"/>
    </xf>
    <xf numFmtId="0" fontId="69" fillId="3" borderId="25" xfId="0" applyFont="1" applyFill="1" applyBorder="1" applyAlignment="1" applyProtection="1">
      <alignment horizontal="left" vertical="center"/>
      <protection hidden="1"/>
    </xf>
    <xf numFmtId="0" fontId="67" fillId="5" borderId="31" xfId="0" applyFont="1" applyFill="1" applyBorder="1" applyAlignment="1" applyProtection="1">
      <alignment horizontal="center" vertical="center"/>
      <protection hidden="1"/>
    </xf>
    <xf numFmtId="0" fontId="67" fillId="5" borderId="32" xfId="0" applyFont="1" applyFill="1" applyBorder="1" applyAlignment="1" applyProtection="1">
      <alignment horizontal="center" vertical="center"/>
      <protection hidden="1"/>
    </xf>
    <xf numFmtId="9" fontId="67" fillId="5" borderId="30" xfId="2" applyNumberFormat="1" applyFont="1" applyFill="1" applyBorder="1" applyAlignment="1" applyProtection="1">
      <alignment horizontal="center" vertical="center"/>
      <protection hidden="1"/>
    </xf>
    <xf numFmtId="9" fontId="67" fillId="5" borderId="31" xfId="2" applyNumberFormat="1" applyFont="1" applyFill="1" applyBorder="1" applyAlignment="1" applyProtection="1">
      <alignment horizontal="center" vertical="center"/>
      <protection hidden="1"/>
    </xf>
    <xf numFmtId="9" fontId="67" fillId="5" borderId="34" xfId="2" applyNumberFormat="1" applyFont="1" applyFill="1" applyBorder="1" applyAlignment="1" applyProtection="1">
      <alignment horizontal="center" vertical="center"/>
      <protection hidden="1"/>
    </xf>
    <xf numFmtId="9" fontId="67" fillId="5" borderId="25" xfId="2" applyNumberFormat="1" applyFont="1" applyFill="1" applyBorder="1" applyAlignment="1" applyProtection="1">
      <alignment horizontal="center" vertical="center"/>
      <protection hidden="1"/>
    </xf>
    <xf numFmtId="9" fontId="67" fillId="5" borderId="118" xfId="2" applyNumberFormat="1" applyFont="1" applyFill="1" applyBorder="1" applyAlignment="1" applyProtection="1">
      <alignment horizontal="center" vertical="center"/>
      <protection hidden="1"/>
    </xf>
    <xf numFmtId="0" fontId="60" fillId="4" borderId="113" xfId="0" applyFont="1" applyFill="1" applyBorder="1"/>
    <xf numFmtId="0" fontId="60" fillId="4" borderId="82" xfId="0" applyFont="1" applyFill="1" applyBorder="1"/>
    <xf numFmtId="0" fontId="69" fillId="3" borderId="24" xfId="0" applyFont="1" applyFill="1" applyBorder="1" applyAlignment="1" applyProtection="1">
      <alignment horizontal="left" vertical="center"/>
      <protection hidden="1"/>
    </xf>
    <xf numFmtId="0" fontId="67" fillId="5" borderId="26" xfId="0" applyFont="1" applyFill="1" applyBorder="1" applyAlignment="1" applyProtection="1">
      <alignment horizontal="center" vertical="center"/>
      <protection hidden="1"/>
    </xf>
    <xf numFmtId="0" fontId="67" fillId="5" borderId="33" xfId="0" applyFont="1" applyFill="1" applyBorder="1" applyAlignment="1" applyProtection="1">
      <alignment horizontal="center" vertical="center"/>
      <protection hidden="1"/>
    </xf>
    <xf numFmtId="9" fontId="67" fillId="5" borderId="29" xfId="2" applyNumberFormat="1" applyFont="1" applyFill="1" applyBorder="1" applyAlignment="1" applyProtection="1">
      <alignment horizontal="center" vertical="center"/>
      <protection hidden="1"/>
    </xf>
    <xf numFmtId="9" fontId="67" fillId="5" borderId="28" xfId="2" applyNumberFormat="1" applyFont="1" applyFill="1" applyBorder="1" applyAlignment="1" applyProtection="1">
      <alignment horizontal="center" vertical="center"/>
      <protection hidden="1"/>
    </xf>
    <xf numFmtId="9" fontId="67" fillId="5" borderId="24" xfId="2" applyNumberFormat="1" applyFont="1" applyFill="1" applyBorder="1" applyAlignment="1" applyProtection="1">
      <alignment horizontal="center" vertical="center"/>
      <protection hidden="1"/>
    </xf>
    <xf numFmtId="0" fontId="60" fillId="4" borderId="114" xfId="0" applyFont="1" applyFill="1" applyBorder="1"/>
    <xf numFmtId="0" fontId="60" fillId="4" borderId="58" xfId="0" applyFont="1" applyFill="1" applyBorder="1"/>
    <xf numFmtId="0" fontId="60" fillId="4" borderId="2" xfId="0" applyFont="1" applyFill="1" applyBorder="1"/>
    <xf numFmtId="0" fontId="60" fillId="4" borderId="59" xfId="0" applyFont="1" applyFill="1" applyBorder="1"/>
    <xf numFmtId="0" fontId="76" fillId="4" borderId="0" xfId="0" applyFont="1" applyFill="1" applyProtection="1"/>
    <xf numFmtId="0" fontId="76" fillId="4" borderId="0" xfId="0" applyFont="1" applyFill="1"/>
    <xf numFmtId="164" fontId="67" fillId="5" borderId="28" xfId="2" applyNumberFormat="1" applyFont="1" applyFill="1" applyBorder="1" applyAlignment="1" applyProtection="1">
      <alignment horizontal="center" vertical="center"/>
      <protection hidden="1"/>
    </xf>
    <xf numFmtId="0" fontId="68" fillId="3" borderId="24" xfId="0" applyFont="1" applyFill="1" applyBorder="1" applyAlignment="1" applyProtection="1">
      <alignment horizontal="left" vertical="center"/>
      <protection hidden="1"/>
    </xf>
    <xf numFmtId="0" fontId="66" fillId="5" borderId="26" xfId="0" applyFont="1" applyFill="1" applyBorder="1" applyAlignment="1" applyProtection="1">
      <alignment horizontal="center" vertical="center"/>
      <protection hidden="1"/>
    </xf>
    <xf numFmtId="0" fontId="66" fillId="5" borderId="33" xfId="0" applyFont="1" applyFill="1" applyBorder="1" applyAlignment="1" applyProtection="1">
      <alignment horizontal="center" vertical="center"/>
      <protection hidden="1"/>
    </xf>
    <xf numFmtId="164" fontId="67" fillId="5" borderId="29" xfId="2" applyNumberFormat="1" applyFont="1" applyFill="1" applyBorder="1" applyAlignment="1" applyProtection="1">
      <alignment horizontal="center" vertical="center"/>
      <protection hidden="1"/>
    </xf>
    <xf numFmtId="0" fontId="66" fillId="5" borderId="28" xfId="0" applyFont="1" applyFill="1" applyBorder="1" applyAlignment="1" applyProtection="1">
      <alignment horizontal="center" vertical="center"/>
      <protection hidden="1"/>
    </xf>
    <xf numFmtId="164" fontId="67" fillId="5" borderId="26" xfId="2" applyNumberFormat="1" applyFont="1" applyFill="1" applyBorder="1" applyAlignment="1" applyProtection="1">
      <alignment horizontal="center" vertical="center"/>
      <protection hidden="1"/>
    </xf>
    <xf numFmtId="164" fontId="66" fillId="5" borderId="24" xfId="2" applyNumberFormat="1" applyFont="1" applyFill="1" applyBorder="1" applyAlignment="1" applyProtection="1">
      <alignment horizontal="center" vertical="center"/>
      <protection hidden="1"/>
    </xf>
    <xf numFmtId="164" fontId="66" fillId="5" borderId="29" xfId="2" applyNumberFormat="1" applyFont="1" applyFill="1" applyBorder="1" applyAlignment="1" applyProtection="1">
      <alignment horizontal="center" vertical="center"/>
      <protection hidden="1"/>
    </xf>
    <xf numFmtId="0" fontId="69" fillId="3" borderId="27" xfId="0" applyFont="1" applyFill="1" applyBorder="1" applyAlignment="1" applyProtection="1">
      <alignment horizontal="left" vertical="center"/>
      <protection hidden="1"/>
    </xf>
    <xf numFmtId="0" fontId="69" fillId="3" borderId="27" xfId="0" applyFont="1" applyFill="1" applyBorder="1" applyAlignment="1" applyProtection="1">
      <alignment horizontal="right" vertical="center"/>
      <protection hidden="1"/>
    </xf>
    <xf numFmtId="9" fontId="69" fillId="3" borderId="28" xfId="0" applyNumberFormat="1" applyFont="1" applyFill="1" applyBorder="1" applyAlignment="1" applyProtection="1">
      <alignment horizontal="right" vertical="center"/>
      <protection hidden="1"/>
    </xf>
    <xf numFmtId="164" fontId="67" fillId="5" borderId="24" xfId="2" applyNumberFormat="1" applyFont="1" applyFill="1" applyBorder="1" applyAlignment="1" applyProtection="1">
      <alignment horizontal="center" vertical="center"/>
      <protection hidden="1"/>
    </xf>
    <xf numFmtId="0" fontId="60" fillId="0" borderId="0" xfId="0" applyFont="1" applyProtection="1"/>
    <xf numFmtId="0" fontId="77" fillId="2" borderId="0" xfId="0" applyFont="1" applyFill="1" applyAlignment="1" applyProtection="1">
      <alignment horizontal="center" wrapText="1"/>
      <protection hidden="1"/>
    </xf>
    <xf numFmtId="0" fontId="78" fillId="2" borderId="0" xfId="0" applyFont="1" applyFill="1" applyAlignment="1" applyProtection="1">
      <alignment horizontal="center" wrapText="1"/>
      <protection hidden="1"/>
    </xf>
    <xf numFmtId="0" fontId="79" fillId="2" borderId="0" xfId="0" applyFont="1" applyFill="1" applyAlignment="1" applyProtection="1">
      <alignment horizontal="left" vertical="top" wrapText="1"/>
      <protection hidden="1"/>
    </xf>
    <xf numFmtId="0" fontId="80" fillId="4" borderId="0" xfId="0" applyFont="1" applyFill="1" applyProtection="1">
      <protection hidden="1"/>
    </xf>
    <xf numFmtId="0" fontId="81" fillId="4" borderId="0" xfId="0" applyFont="1" applyFill="1" applyProtection="1">
      <protection hidden="1"/>
    </xf>
    <xf numFmtId="0" fontId="60" fillId="2" borderId="1" xfId="0" applyFont="1" applyFill="1" applyBorder="1" applyProtection="1">
      <protection hidden="1"/>
    </xf>
    <xf numFmtId="0" fontId="60" fillId="4" borderId="60" xfId="0" applyFont="1" applyFill="1" applyBorder="1"/>
    <xf numFmtId="0" fontId="60" fillId="4" borderId="61" xfId="0" applyFont="1" applyFill="1" applyBorder="1"/>
    <xf numFmtId="0" fontId="60" fillId="4" borderId="62" xfId="0" applyFont="1" applyFill="1" applyBorder="1"/>
    <xf numFmtId="0" fontId="82" fillId="4" borderId="0" xfId="0" applyFont="1" applyFill="1" applyProtection="1">
      <protection hidden="1"/>
    </xf>
    <xf numFmtId="0" fontId="83" fillId="2" borderId="0" xfId="0" applyFont="1" applyFill="1" applyAlignment="1" applyProtection="1">
      <alignment horizontal="center" wrapText="1"/>
      <protection hidden="1"/>
    </xf>
    <xf numFmtId="0" fontId="60" fillId="2" borderId="0" xfId="0" applyFont="1" applyFill="1" applyAlignment="1" applyProtection="1">
      <alignment wrapText="1"/>
      <protection hidden="1"/>
    </xf>
    <xf numFmtId="0" fontId="60" fillId="0" borderId="0" xfId="0" applyFont="1"/>
    <xf numFmtId="0" fontId="76" fillId="4" borderId="0" xfId="0" applyFont="1" applyFill="1" applyProtection="1">
      <protection hidden="1"/>
    </xf>
    <xf numFmtId="0" fontId="73" fillId="4" borderId="0" xfId="0" applyFont="1" applyFill="1" applyAlignment="1" applyProtection="1">
      <alignment vertical="top" wrapText="1"/>
    </xf>
    <xf numFmtId="0" fontId="84" fillId="2" borderId="21" xfId="0" applyFont="1" applyFill="1" applyBorder="1" applyProtection="1">
      <protection hidden="1"/>
    </xf>
    <xf numFmtId="0" fontId="84" fillId="2" borderId="22" xfId="0" applyFont="1" applyFill="1" applyBorder="1" applyProtection="1">
      <protection hidden="1"/>
    </xf>
    <xf numFmtId="10" fontId="84" fillId="2" borderId="23" xfId="0" applyNumberFormat="1" applyFont="1" applyFill="1" applyBorder="1" applyProtection="1">
      <protection hidden="1"/>
    </xf>
    <xf numFmtId="0" fontId="84" fillId="2" borderId="16" xfId="0" applyFont="1" applyFill="1" applyBorder="1" applyProtection="1">
      <protection hidden="1"/>
    </xf>
    <xf numFmtId="0" fontId="84" fillId="2" borderId="0" xfId="0" applyFont="1" applyFill="1" applyBorder="1" applyProtection="1">
      <protection hidden="1"/>
    </xf>
    <xf numFmtId="10" fontId="84" fillId="2" borderId="17" xfId="0" applyNumberFormat="1" applyFont="1" applyFill="1" applyBorder="1" applyProtection="1">
      <protection hidden="1"/>
    </xf>
    <xf numFmtId="0" fontId="84" fillId="2" borderId="18" xfId="0" applyFont="1" applyFill="1" applyBorder="1" applyProtection="1">
      <protection hidden="1"/>
    </xf>
    <xf numFmtId="0" fontId="84" fillId="2" borderId="19" xfId="0" applyFont="1" applyFill="1" applyBorder="1" applyProtection="1">
      <protection hidden="1"/>
    </xf>
    <xf numFmtId="10" fontId="84" fillId="2" borderId="20" xfId="0" applyNumberFormat="1" applyFont="1" applyFill="1" applyBorder="1" applyProtection="1">
      <protection hidden="1"/>
    </xf>
    <xf numFmtId="0" fontId="85" fillId="3" borderId="1" xfId="0" applyFont="1" applyFill="1" applyBorder="1" applyAlignment="1" applyProtection="1">
      <alignment vertical="top"/>
      <protection hidden="1"/>
    </xf>
    <xf numFmtId="0" fontId="85" fillId="3" borderId="41" xfId="0" applyFont="1" applyFill="1" applyBorder="1" applyAlignment="1" applyProtection="1">
      <alignment horizontal="left" vertical="top"/>
      <protection hidden="1"/>
    </xf>
    <xf numFmtId="0" fontId="0" fillId="0" borderId="0" xfId="0"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alignment vertical="top" wrapText="1"/>
      <protection hidden="1"/>
    </xf>
    <xf numFmtId="0" fontId="14" fillId="4" borderId="0" xfId="0" applyFont="1" applyFill="1" applyAlignment="1" applyProtection="1">
      <alignment vertical="center" wrapText="1"/>
      <protection hidden="1"/>
    </xf>
    <xf numFmtId="0" fontId="47" fillId="2" borderId="0" xfId="0" applyFont="1" applyFill="1" applyAlignment="1" applyProtection="1">
      <alignment horizontal="right"/>
      <protection hidden="1"/>
    </xf>
    <xf numFmtId="0" fontId="25" fillId="4" borderId="1" xfId="0" applyFont="1" applyFill="1" applyBorder="1" applyAlignment="1" applyProtection="1">
      <alignment horizontal="left"/>
      <protection hidden="1"/>
    </xf>
    <xf numFmtId="0" fontId="7" fillId="3" borderId="144"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5" xfId="0" applyFont="1" applyFill="1" applyBorder="1" applyAlignment="1" applyProtection="1">
      <alignment horizontal="right" vertical="center"/>
      <protection hidden="1"/>
    </xf>
    <xf numFmtId="0" fontId="7" fillId="3" borderId="142" xfId="0" applyFont="1" applyFill="1" applyBorder="1" applyAlignment="1" applyProtection="1">
      <alignment horizontal="right" vertical="center"/>
      <protection hidden="1"/>
    </xf>
    <xf numFmtId="0" fontId="7" fillId="3" borderId="106"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7" fillId="3" borderId="143" xfId="0" applyFont="1" applyFill="1" applyBorder="1" applyAlignment="1" applyProtection="1">
      <alignment horizontal="right" vertical="center"/>
      <protection hidden="1"/>
    </xf>
    <xf numFmtId="0" fontId="7" fillId="3" borderId="119" xfId="0" applyFont="1" applyFill="1" applyBorder="1" applyAlignment="1" applyProtection="1">
      <alignment horizontal="right" vertical="center"/>
      <protection hidden="1"/>
    </xf>
    <xf numFmtId="0" fontId="0" fillId="2" borderId="6" xfId="0" applyFill="1" applyBorder="1" applyProtection="1">
      <protection hidden="1"/>
    </xf>
    <xf numFmtId="0" fontId="7" fillId="3" borderId="9" xfId="0" applyFont="1" applyFill="1" applyBorder="1" applyAlignment="1" applyProtection="1">
      <alignment horizontal="right" vertical="center"/>
      <protection hidden="1"/>
    </xf>
    <xf numFmtId="0" fontId="7" fillId="3" borderId="145"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6" xfId="0" applyBorder="1" applyProtection="1">
      <protection hidden="1"/>
    </xf>
    <xf numFmtId="0" fontId="0" fillId="0" borderId="0" xfId="0" applyFill="1" applyProtection="1">
      <protection locked="0" hidden="1"/>
    </xf>
    <xf numFmtId="0" fontId="8" fillId="3" borderId="15" xfId="0" applyFont="1" applyFill="1" applyBorder="1" applyAlignment="1" applyProtection="1">
      <alignment horizontal="left" vertical="center" wrapText="1"/>
      <protection hidden="1"/>
    </xf>
    <xf numFmtId="0" fontId="7" fillId="3" borderId="146" xfId="0" applyFont="1" applyFill="1" applyBorder="1" applyAlignment="1" applyProtection="1">
      <alignment horizontal="right" vertical="top"/>
      <protection hidden="1"/>
    </xf>
    <xf numFmtId="0" fontId="7" fillId="3" borderId="144" xfId="0" applyFont="1" applyFill="1" applyBorder="1" applyAlignment="1" applyProtection="1">
      <alignment horizontal="right" vertical="top"/>
      <protection hidden="1"/>
    </xf>
    <xf numFmtId="0" fontId="7" fillId="3" borderId="106" xfId="0" applyFont="1" applyFill="1" applyBorder="1" applyAlignment="1" applyProtection="1">
      <alignment horizontal="right" wrapText="1"/>
      <protection hidden="1"/>
    </xf>
    <xf numFmtId="0" fontId="7" fillId="3" borderId="142" xfId="0" applyFont="1" applyFill="1" applyBorder="1" applyAlignment="1" applyProtection="1">
      <alignment horizontal="right" vertical="top"/>
      <protection hidden="1"/>
    </xf>
    <xf numFmtId="0" fontId="7" fillId="3" borderId="106"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0" fillId="2" borderId="11" xfId="0" applyFill="1" applyBorder="1" applyProtection="1">
      <protection hidden="1"/>
    </xf>
    <xf numFmtId="0" fontId="7" fillId="3" borderId="105"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7" fillId="3" borderId="143" xfId="0" applyFont="1" applyFill="1" applyBorder="1" applyAlignment="1" applyProtection="1">
      <alignment horizontal="right" vertical="top" wrapText="1"/>
      <protection hidden="1"/>
    </xf>
    <xf numFmtId="0" fontId="7" fillId="3" borderId="119" xfId="0" applyFont="1" applyFill="1" applyBorder="1" applyAlignment="1" applyProtection="1">
      <alignment horizontal="right" vertical="center" wrapText="1"/>
      <protection hidden="1"/>
    </xf>
    <xf numFmtId="0" fontId="25" fillId="4" borderId="0" xfId="0" applyFont="1" applyFill="1" applyBorder="1" applyAlignment="1" applyProtection="1">
      <alignment horizontal="left"/>
      <protection hidden="1"/>
    </xf>
    <xf numFmtId="0" fontId="0" fillId="2" borderId="1" xfId="0" applyFont="1" applyFill="1" applyBorder="1" applyProtection="1">
      <protection hidden="1"/>
    </xf>
    <xf numFmtId="0" fontId="47" fillId="2" borderId="1" xfId="0" applyFont="1" applyFill="1" applyBorder="1" applyAlignment="1" applyProtection="1">
      <alignment horizontal="right"/>
      <protection hidden="1"/>
    </xf>
    <xf numFmtId="0" fontId="35"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9" fillId="2" borderId="0" xfId="0" applyFont="1" applyFill="1" applyProtection="1">
      <protection locked="0" hidden="1"/>
    </xf>
    <xf numFmtId="0" fontId="33" fillId="2" borderId="0" xfId="0" applyFont="1" applyFill="1" applyProtection="1">
      <protection locked="0" hidden="1"/>
    </xf>
    <xf numFmtId="0" fontId="0" fillId="2" borderId="0" xfId="0" applyFont="1" applyFill="1" applyAlignment="1" applyProtection="1">
      <alignment horizontal="right"/>
      <protection hidden="1"/>
    </xf>
    <xf numFmtId="0" fontId="9" fillId="2" borderId="0" xfId="0" applyFont="1" applyFill="1" applyAlignment="1" applyProtection="1">
      <alignment vertical="top" wrapText="1"/>
      <protection locked="0" hidden="1"/>
    </xf>
    <xf numFmtId="0" fontId="17" fillId="2" borderId="1" xfId="0" applyFont="1" applyFill="1" applyBorder="1" applyAlignment="1" applyProtection="1">
      <alignment vertical="top" wrapText="1"/>
      <protection hidden="1"/>
    </xf>
    <xf numFmtId="0" fontId="0" fillId="8" borderId="55" xfId="0" applyFill="1" applyBorder="1" applyProtection="1">
      <protection hidden="1"/>
    </xf>
    <xf numFmtId="0" fontId="0" fillId="7" borderId="58" xfId="0" applyFill="1" applyBorder="1" applyProtection="1">
      <protection hidden="1"/>
    </xf>
    <xf numFmtId="0" fontId="13" fillId="2" borderId="0" xfId="0" applyFont="1" applyFill="1" applyAlignment="1" applyProtection="1">
      <alignment vertical="top" wrapText="1"/>
      <protection hidden="1"/>
    </xf>
    <xf numFmtId="0" fontId="0" fillId="9" borderId="58" xfId="0" applyFill="1" applyBorder="1" applyProtection="1">
      <protection hidden="1"/>
    </xf>
    <xf numFmtId="0" fontId="48" fillId="2" borderId="1" xfId="0" applyFont="1" applyFill="1" applyBorder="1" applyAlignment="1" applyProtection="1">
      <alignment horizontal="right" vertical="top" wrapText="1"/>
      <protection hidden="1"/>
    </xf>
    <xf numFmtId="0" fontId="35" fillId="2" borderId="0" xfId="0" applyFont="1" applyFill="1" applyProtection="1">
      <protection hidden="1"/>
    </xf>
    <xf numFmtId="0" fontId="46" fillId="2" borderId="0" xfId="0" applyFont="1" applyFill="1" applyProtection="1">
      <protection hidden="1"/>
    </xf>
    <xf numFmtId="0" fontId="27" fillId="2" borderId="0" xfId="0" applyFont="1" applyFill="1" applyProtection="1">
      <protection hidden="1"/>
    </xf>
    <xf numFmtId="0" fontId="44"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0" fillId="0" borderId="0" xfId="0" applyFont="1" applyProtection="1">
      <protection hidden="1"/>
    </xf>
    <xf numFmtId="0" fontId="9" fillId="4" borderId="0" xfId="0" applyFont="1" applyFill="1" applyBorder="1" applyAlignment="1" applyProtection="1">
      <alignment vertical="center" wrapText="1"/>
      <protection hidden="1"/>
    </xf>
    <xf numFmtId="0" fontId="0" fillId="2" borderId="102" xfId="0" applyFont="1" applyFill="1" applyBorder="1" applyAlignment="1" applyProtection="1">
      <alignment horizontal="left" wrapText="1"/>
      <protection hidden="1"/>
    </xf>
    <xf numFmtId="0" fontId="0" fillId="2" borderId="138" xfId="0" applyFont="1" applyFill="1" applyBorder="1" applyAlignment="1" applyProtection="1">
      <alignment horizontal="left" wrapText="1"/>
      <protection hidden="1"/>
    </xf>
    <xf numFmtId="0" fontId="32" fillId="2" borderId="137" xfId="0" applyFont="1" applyFill="1" applyBorder="1" applyAlignment="1" applyProtection="1">
      <alignment horizontal="left" vertical="top" wrapText="1"/>
      <protection hidden="1"/>
    </xf>
    <xf numFmtId="0" fontId="0" fillId="2" borderId="0" xfId="0" applyFont="1" applyFill="1" applyBorder="1" applyAlignment="1" applyProtection="1">
      <alignment horizontal="left" wrapText="1"/>
      <protection hidden="1"/>
    </xf>
    <xf numFmtId="0" fontId="0" fillId="2" borderId="116" xfId="0" applyFont="1" applyFill="1" applyBorder="1" applyAlignment="1" applyProtection="1">
      <alignment vertical="top" wrapText="1"/>
      <protection hidden="1"/>
    </xf>
    <xf numFmtId="0" fontId="0" fillId="2" borderId="1" xfId="0" applyFont="1" applyFill="1" applyBorder="1" applyAlignment="1" applyProtection="1">
      <alignment vertical="top" wrapText="1"/>
      <protection hidden="1"/>
    </xf>
    <xf numFmtId="0" fontId="0" fillId="2" borderId="139" xfId="0" applyFont="1" applyFill="1" applyBorder="1" applyAlignment="1" applyProtection="1">
      <alignment horizontal="center" vertical="top" wrapText="1"/>
      <protection hidden="1"/>
    </xf>
    <xf numFmtId="0" fontId="0" fillId="4" borderId="5" xfId="0" applyFont="1" applyFill="1" applyBorder="1" applyAlignment="1" applyProtection="1">
      <alignment wrapText="1"/>
      <protection hidden="1"/>
    </xf>
    <xf numFmtId="0" fontId="32" fillId="2" borderId="0" xfId="0" applyFont="1" applyFill="1" applyBorder="1" applyAlignment="1" applyProtection="1">
      <alignment horizontal="left" vertical="top" wrapText="1"/>
      <protection hidden="1"/>
    </xf>
    <xf numFmtId="0" fontId="0" fillId="2" borderId="102" xfId="0" applyFont="1" applyFill="1" applyBorder="1" applyAlignment="1" applyProtection="1">
      <alignment vertical="top" wrapText="1"/>
      <protection hidden="1"/>
    </xf>
    <xf numFmtId="0" fontId="0" fillId="2" borderId="102" xfId="0" applyFont="1" applyFill="1" applyBorder="1" applyAlignment="1" applyProtection="1">
      <alignment horizontal="left" vertical="top" wrapText="1"/>
      <protection hidden="1"/>
    </xf>
    <xf numFmtId="0" fontId="0" fillId="2" borderId="0" xfId="0" applyFont="1" applyFill="1" applyBorder="1" applyAlignment="1" applyProtection="1">
      <alignment horizontal="center" vertical="top" wrapText="1"/>
      <protection hidden="1"/>
    </xf>
    <xf numFmtId="0" fontId="0" fillId="4" borderId="5" xfId="0" applyFont="1" applyFill="1" applyBorder="1" applyAlignment="1" applyProtection="1">
      <alignment vertical="top" wrapText="1"/>
      <protection hidden="1"/>
    </xf>
    <xf numFmtId="0" fontId="0" fillId="2" borderId="12" xfId="0" applyFont="1" applyFill="1" applyBorder="1" applyAlignment="1" applyProtection="1">
      <alignment horizontal="center" vertical="top" wrapText="1"/>
      <protection hidden="1"/>
    </xf>
    <xf numFmtId="0" fontId="59" fillId="5" borderId="136" xfId="0" applyFont="1" applyFill="1" applyBorder="1" applyAlignment="1" applyProtection="1">
      <alignment vertical="center" wrapText="1"/>
      <protection hidden="1"/>
    </xf>
    <xf numFmtId="0" fontId="23" fillId="5" borderId="0" xfId="0" applyFont="1" applyFill="1" applyBorder="1" applyAlignment="1" applyProtection="1">
      <alignment vertical="center" wrapText="1"/>
      <protection hidden="1"/>
    </xf>
    <xf numFmtId="0" fontId="23" fillId="5" borderId="0" xfId="0" applyFont="1" applyFill="1" applyBorder="1" applyAlignment="1" applyProtection="1">
      <alignment horizontal="left" vertical="center" wrapText="1"/>
      <protection hidden="1"/>
    </xf>
    <xf numFmtId="0" fontId="23"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0" fillId="4" borderId="2" xfId="0" applyFont="1" applyFill="1" applyBorder="1" applyAlignment="1" applyProtection="1">
      <alignment horizontal="left" vertical="center" wrapText="1"/>
      <protection hidden="1"/>
    </xf>
    <xf numFmtId="0" fontId="26" fillId="4" borderId="2" xfId="0" applyFont="1" applyFill="1" applyBorder="1" applyAlignment="1" applyProtection="1">
      <alignment horizontal="center" vertical="center" wrapText="1"/>
      <protection hidden="1"/>
    </xf>
    <xf numFmtId="164" fontId="26"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6" fillId="4" borderId="2" xfId="0" applyFont="1" applyFill="1" applyBorder="1" applyAlignment="1" applyProtection="1">
      <alignment horizontal="left" vertical="center" wrapText="1"/>
      <protection hidden="1"/>
    </xf>
    <xf numFmtId="0" fontId="26" fillId="4" borderId="4" xfId="0" applyFont="1" applyFill="1" applyBorder="1" applyAlignment="1" applyProtection="1">
      <alignment horizontal="left" vertical="center" wrapText="1"/>
      <protection hidden="1"/>
    </xf>
    <xf numFmtId="0" fontId="23" fillId="4" borderId="15" xfId="0" applyFont="1" applyFill="1" applyBorder="1" applyAlignment="1" applyProtection="1">
      <alignment vertical="center" wrapText="1"/>
      <protection hidden="1"/>
    </xf>
    <xf numFmtId="0" fontId="26"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26" fillId="4" borderId="2" xfId="0" applyFont="1" applyFill="1" applyBorder="1" applyAlignment="1" applyProtection="1">
      <alignment vertical="center" wrapText="1"/>
      <protection hidden="1"/>
    </xf>
    <xf numFmtId="0" fontId="32" fillId="4" borderId="2" xfId="0" applyFont="1" applyFill="1" applyBorder="1" applyAlignment="1" applyProtection="1">
      <alignment horizontal="left" vertical="center" wrapText="1"/>
      <protection hidden="1"/>
    </xf>
    <xf numFmtId="0" fontId="38" fillId="4" borderId="2" xfId="0" applyFont="1" applyFill="1" applyBorder="1" applyAlignment="1" applyProtection="1">
      <alignment horizontal="center" vertical="center" wrapText="1"/>
      <protection hidden="1"/>
    </xf>
    <xf numFmtId="164" fontId="38" fillId="4" borderId="2" xfId="0" applyNumberFormat="1" applyFont="1" applyFill="1" applyBorder="1" applyAlignment="1" applyProtection="1">
      <alignment horizontal="center" vertical="center" wrapText="1"/>
      <protection hidden="1"/>
    </xf>
    <xf numFmtId="0" fontId="38" fillId="4" borderId="7" xfId="0" applyFont="1" applyFill="1" applyBorder="1" applyAlignment="1" applyProtection="1">
      <alignment horizontal="center"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vertical="center" wrapText="1"/>
      <protection hidden="1"/>
    </xf>
    <xf numFmtId="0" fontId="59" fillId="5" borderId="140" xfId="0" applyFont="1" applyFill="1" applyBorder="1" applyAlignment="1" applyProtection="1">
      <alignment vertical="center" wrapText="1"/>
      <protection hidden="1"/>
    </xf>
    <xf numFmtId="0" fontId="0" fillId="4" borderId="2" xfId="0" applyFill="1" applyBorder="1" applyAlignment="1" applyProtection="1">
      <alignment horizontal="left" vertical="center" wrapText="1"/>
      <protection hidden="1"/>
    </xf>
    <xf numFmtId="0" fontId="23" fillId="4" borderId="5" xfId="0" applyFont="1" applyFill="1" applyBorder="1" applyAlignment="1" applyProtection="1">
      <alignment vertical="center" wrapText="1"/>
      <protection hidden="1"/>
    </xf>
    <xf numFmtId="0" fontId="0" fillId="4" borderId="5" xfId="0" applyFill="1" applyBorder="1" applyAlignment="1" applyProtection="1">
      <alignment vertical="center" wrapText="1"/>
      <protection hidden="1"/>
    </xf>
    <xf numFmtId="0" fontId="23" fillId="4" borderId="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23" fillId="4" borderId="0" xfId="0" applyFont="1" applyFill="1" applyAlignment="1" applyProtection="1">
      <alignment horizontal="left" wrapText="1"/>
      <protection hidden="1"/>
    </xf>
    <xf numFmtId="0" fontId="21" fillId="3" borderId="111" xfId="0" applyFont="1" applyFill="1" applyBorder="1" applyAlignment="1" applyProtection="1">
      <alignment vertical="top"/>
      <protection hidden="1"/>
    </xf>
    <xf numFmtId="0" fontId="20" fillId="3" borderId="111" xfId="0" applyFont="1" applyFill="1" applyBorder="1" applyProtection="1">
      <protection hidden="1"/>
    </xf>
    <xf numFmtId="0" fontId="14" fillId="2" borderId="8"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7" fillId="3" borderId="2" xfId="0" applyFont="1" applyFill="1" applyBorder="1" applyAlignment="1" applyProtection="1">
      <alignment horizontal="center"/>
      <protection hidden="1"/>
    </xf>
    <xf numFmtId="2" fontId="1" fillId="2" borderId="2" xfId="0" applyNumberFormat="1" applyFont="1" applyFill="1" applyBorder="1" applyAlignment="1" applyProtection="1">
      <alignment horizontal="center" vertic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ont="1"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0" fillId="2" borderId="0" xfId="0" applyFont="1" applyFill="1" applyBorder="1" applyProtection="1">
      <protection hidden="1"/>
    </xf>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2" borderId="0" xfId="0" applyFill="1" applyProtection="1"/>
    <xf numFmtId="0" fontId="0" fillId="4" borderId="1" xfId="0" applyFill="1" applyBorder="1" applyProtection="1"/>
    <xf numFmtId="0" fontId="0" fillId="2" borderId="0" xfId="0" applyFont="1" applyFill="1" applyProtection="1">
      <protection locked="0"/>
    </xf>
    <xf numFmtId="0" fontId="87" fillId="0" borderId="0" xfId="0" applyFont="1" applyProtection="1"/>
    <xf numFmtId="0" fontId="87" fillId="0" borderId="0" xfId="0" applyFont="1"/>
    <xf numFmtId="0" fontId="88" fillId="3" borderId="0" xfId="0" applyFont="1" applyFill="1" applyBorder="1" applyAlignment="1" applyProtection="1">
      <alignment vertical="center"/>
    </xf>
    <xf numFmtId="0" fontId="88" fillId="3" borderId="0" xfId="0" applyFont="1" applyFill="1" applyBorder="1" applyAlignment="1" applyProtection="1">
      <alignment vertical="top"/>
    </xf>
    <xf numFmtId="0" fontId="89" fillId="3" borderId="0" xfId="0" applyFont="1" applyFill="1" applyBorder="1" applyProtection="1"/>
    <xf numFmtId="1" fontId="88" fillId="3" borderId="0" xfId="0" applyNumberFormat="1" applyFont="1" applyFill="1" applyBorder="1" applyAlignment="1" applyProtection="1">
      <alignment vertical="top"/>
    </xf>
    <xf numFmtId="14" fontId="88" fillId="3" borderId="0" xfId="0" applyNumberFormat="1" applyFont="1" applyFill="1" applyBorder="1" applyAlignment="1" applyProtection="1">
      <alignment vertical="top"/>
    </xf>
    <xf numFmtId="0" fontId="87" fillId="0" borderId="0" xfId="0" applyFont="1" applyBorder="1"/>
    <xf numFmtId="0" fontId="87" fillId="0" borderId="0" xfId="0" applyFont="1" applyBorder="1" applyProtection="1"/>
    <xf numFmtId="0" fontId="90" fillId="0" borderId="0" xfId="0" applyFont="1" applyBorder="1" applyProtection="1"/>
    <xf numFmtId="0" fontId="91" fillId="0" borderId="0" xfId="0" applyFont="1" applyBorder="1" applyAlignment="1" applyProtection="1">
      <alignment horizontal="center"/>
    </xf>
    <xf numFmtId="0" fontId="32" fillId="0" borderId="0" xfId="0" applyFont="1" applyBorder="1" applyProtection="1"/>
    <xf numFmtId="0" fontId="19" fillId="3" borderId="0" xfId="0" applyFont="1" applyFill="1" applyBorder="1" applyAlignment="1" applyProtection="1">
      <alignment horizontal="right" vertical="top"/>
      <protection hidden="1"/>
    </xf>
    <xf numFmtId="0" fontId="85" fillId="3" borderId="1" xfId="0" applyFont="1" applyFill="1" applyBorder="1" applyAlignment="1" applyProtection="1">
      <alignment horizontal="right" vertical="top"/>
      <protection hidden="1"/>
    </xf>
    <xf numFmtId="0" fontId="21" fillId="3" borderId="84" xfId="0" applyFont="1" applyFill="1" applyBorder="1" applyAlignment="1" applyProtection="1">
      <alignment horizontal="right" vertical="top"/>
      <protection hidden="1"/>
    </xf>
    <xf numFmtId="0" fontId="94"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wrapText="1"/>
      <protection hidden="1"/>
    </xf>
    <xf numFmtId="0" fontId="19" fillId="3" borderId="1" xfId="0" applyFont="1" applyFill="1" applyBorder="1" applyAlignment="1" applyProtection="1">
      <alignment horizontal="right" vertical="top" wrapText="1"/>
    </xf>
    <xf numFmtId="0" fontId="45" fillId="2" borderId="1" xfId="0" applyFont="1" applyFill="1" applyBorder="1" applyAlignment="1" applyProtection="1">
      <alignment wrapText="1"/>
    </xf>
    <xf numFmtId="0" fontId="45" fillId="2" borderId="41" xfId="0" applyFont="1" applyFill="1" applyBorder="1" applyAlignment="1" applyProtection="1">
      <alignment wrapText="1"/>
    </xf>
    <xf numFmtId="0" fontId="26" fillId="4" borderId="52" xfId="0" applyFont="1" applyFill="1" applyBorder="1" applyAlignment="1" applyProtection="1">
      <alignment horizontal="left" vertical="center" wrapText="1"/>
      <protection locked="0"/>
    </xf>
    <xf numFmtId="0" fontId="26" fillId="5" borderId="148"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60" fillId="0" borderId="5" xfId="0" applyFont="1" applyBorder="1"/>
    <xf numFmtId="0" fontId="0" fillId="0" borderId="22" xfId="0" applyBorder="1"/>
    <xf numFmtId="0" fontId="23" fillId="10" borderId="2" xfId="0" applyFont="1" applyFill="1" applyBorder="1"/>
    <xf numFmtId="0" fontId="23" fillId="6" borderId="50" xfId="0" applyFont="1" applyFill="1" applyBorder="1" applyAlignment="1" applyProtection="1">
      <alignment horizontal="center" vertical="center"/>
      <protection locked="0"/>
    </xf>
    <xf numFmtId="0" fontId="0" fillId="8" borderId="0" xfId="0" applyFont="1" applyFill="1" applyBorder="1" applyProtection="1">
      <protection hidden="1"/>
    </xf>
    <xf numFmtId="0" fontId="0" fillId="12" borderId="2" xfId="0" applyFill="1" applyBorder="1" applyProtection="1">
      <protection hidden="1"/>
    </xf>
    <xf numFmtId="0" fontId="23" fillId="10" borderId="0" xfId="0" applyFont="1" applyFill="1" applyBorder="1"/>
    <xf numFmtId="0" fontId="0" fillId="0" borderId="0" xfId="0" applyBorder="1"/>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61" xfId="0" applyFill="1" applyBorder="1" applyProtection="1">
      <protection hidden="1"/>
    </xf>
    <xf numFmtId="0" fontId="43" fillId="0" borderId="2" xfId="0" applyFont="1" applyBorder="1" applyProtection="1"/>
    <xf numFmtId="0" fontId="95" fillId="10" borderId="66" xfId="0" applyFont="1" applyFill="1" applyBorder="1" applyProtection="1"/>
    <xf numFmtId="0" fontId="0" fillId="2" borderId="56" xfId="0" applyFill="1" applyBorder="1" applyProtection="1">
      <protection hidden="1"/>
    </xf>
    <xf numFmtId="0" fontId="0" fillId="2" borderId="3" xfId="0" applyFill="1" applyBorder="1" applyProtection="1">
      <protection hidden="1"/>
    </xf>
    <xf numFmtId="0" fontId="0" fillId="0" borderId="69" xfId="0" applyBorder="1" applyProtection="1"/>
    <xf numFmtId="0" fontId="0" fillId="0" borderId="64" xfId="0" applyBorder="1" applyProtection="1"/>
    <xf numFmtId="0" fontId="43" fillId="0" borderId="5" xfId="0" applyFont="1" applyBorder="1" applyProtection="1"/>
    <xf numFmtId="0" fontId="43" fillId="0" borderId="3" xfId="0" applyFont="1" applyBorder="1" applyProtection="1"/>
    <xf numFmtId="0" fontId="43" fillId="0" borderId="56" xfId="0" applyFont="1" applyBorder="1" applyProtection="1"/>
    <xf numFmtId="0" fontId="0" fillId="0" borderId="85" xfId="0" applyBorder="1" applyProtection="1"/>
    <xf numFmtId="0" fontId="0" fillId="2" borderId="86" xfId="0" applyFill="1" applyBorder="1" applyProtection="1">
      <protection hidden="1"/>
    </xf>
    <xf numFmtId="0" fontId="0" fillId="0" borderId="86" xfId="0" applyBorder="1" applyProtection="1"/>
    <xf numFmtId="0" fontId="32" fillId="9" borderId="56" xfId="0" applyFont="1" applyFill="1" applyBorder="1" applyProtection="1"/>
    <xf numFmtId="0" fontId="24" fillId="0" borderId="0" xfId="0" applyFont="1" applyProtection="1"/>
    <xf numFmtId="0" fontId="96" fillId="3" borderId="0" xfId="0" applyFont="1" applyFill="1" applyAlignment="1" applyProtection="1">
      <alignment horizontal="center"/>
      <protection hidden="1"/>
    </xf>
    <xf numFmtId="0" fontId="96"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applyProtection="1"/>
    <xf numFmtId="0" fontId="0" fillId="20" borderId="0" xfId="0" applyFill="1" applyProtection="1"/>
    <xf numFmtId="0" fontId="0" fillId="8" borderId="5" xfId="0" applyFill="1" applyBorder="1" applyProtection="1"/>
    <xf numFmtId="0" fontId="45" fillId="2" borderId="1" xfId="0" applyFont="1" applyFill="1" applyBorder="1" applyAlignment="1" applyProtection="1">
      <alignment horizontal="center" wrapText="1"/>
    </xf>
    <xf numFmtId="0" fontId="0" fillId="0" borderId="5" xfId="0" applyFont="1" applyBorder="1" applyProtection="1"/>
    <xf numFmtId="0" fontId="0" fillId="0" borderId="2" xfId="0" applyFont="1" applyBorder="1" applyProtection="1"/>
    <xf numFmtId="0" fontId="23" fillId="10" borderId="21" xfId="0" applyFont="1" applyFill="1" applyBorder="1" applyProtection="1"/>
    <xf numFmtId="0" fontId="23" fillId="10" borderId="70" xfId="0" applyFont="1" applyFill="1" applyBorder="1" applyProtection="1"/>
    <xf numFmtId="0" fontId="0" fillId="21" borderId="0" xfId="0" applyFill="1" applyProtection="1"/>
    <xf numFmtId="0" fontId="0" fillId="8" borderId="0" xfId="0" applyFill="1" applyProtection="1"/>
    <xf numFmtId="0" fontId="23" fillId="10" borderId="2" xfId="0" applyFont="1" applyFill="1" applyBorder="1" applyAlignment="1" applyProtection="1">
      <alignment wrapText="1"/>
    </xf>
    <xf numFmtId="0" fontId="54" fillId="4" borderId="52" xfId="0" applyFont="1" applyFill="1" applyBorder="1" applyAlignment="1" applyProtection="1">
      <alignment horizontal="left" vertical="center" wrapText="1"/>
      <protection locked="0"/>
    </xf>
    <xf numFmtId="0" fontId="97" fillId="4" borderId="52" xfId="0" applyFont="1" applyFill="1" applyBorder="1" applyAlignment="1" applyProtection="1">
      <alignment horizontal="left" vertical="center" wrapText="1"/>
      <protection locked="0"/>
    </xf>
    <xf numFmtId="0" fontId="26" fillId="4" borderId="2" xfId="0" quotePrefix="1" applyFont="1" applyFill="1" applyBorder="1" applyAlignment="1" applyProtection="1">
      <alignment horizontal="left" vertical="center" wrapText="1"/>
      <protection locked="0"/>
    </xf>
    <xf numFmtId="0" fontId="45" fillId="2" borderId="50" xfId="0" applyFont="1" applyFill="1" applyBorder="1" applyAlignment="1" applyProtection="1">
      <alignment horizontal="center" vertical="top" wrapText="1"/>
    </xf>
    <xf numFmtId="0" fontId="23" fillId="10" borderId="0" xfId="0" applyFont="1" applyFill="1" applyAlignment="1" applyProtection="1">
      <alignment wrapText="1"/>
    </xf>
    <xf numFmtId="1" fontId="0" fillId="0" borderId="58" xfId="0" applyNumberFormat="1" applyFill="1" applyBorder="1" applyAlignment="1" applyProtection="1">
      <alignment horizontal="right"/>
    </xf>
    <xf numFmtId="0" fontId="58"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Fill="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0" fillId="5" borderId="15" xfId="0" applyFont="1" applyFill="1" applyBorder="1" applyAlignment="1" applyProtection="1">
      <protection hidden="1"/>
    </xf>
    <xf numFmtId="0" fontId="0" fillId="5" borderId="5" xfId="0" applyFont="1" applyFill="1" applyBorder="1" applyAlignment="1" applyProtection="1">
      <protection hidden="1"/>
    </xf>
    <xf numFmtId="0" fontId="0" fillId="0" borderId="12" xfId="0" applyFont="1" applyFill="1" applyBorder="1" applyAlignment="1" applyProtection="1">
      <alignment horizontal="center" vertical="top" wrapText="1"/>
      <protection hidden="1"/>
    </xf>
    <xf numFmtId="0" fontId="23" fillId="0" borderId="0" xfId="0"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protection hidden="1"/>
    </xf>
    <xf numFmtId="0" fontId="23" fillId="5" borderId="12" xfId="0" applyFont="1" applyFill="1" applyBorder="1" applyAlignment="1" applyProtection="1">
      <alignment horizontal="left" vertical="center" wrapText="1"/>
      <protection hidden="1"/>
    </xf>
    <xf numFmtId="0" fontId="29" fillId="2" borderId="147" xfId="0" applyFont="1" applyFill="1" applyBorder="1" applyAlignment="1" applyProtection="1">
      <alignment horizontal="center" vertical="top" wrapText="1"/>
    </xf>
    <xf numFmtId="0" fontId="1" fillId="5" borderId="37" xfId="0" applyFont="1" applyFill="1" applyBorder="1" applyAlignment="1" applyProtection="1">
      <alignment vertical="center"/>
      <protection locked="0"/>
    </xf>
    <xf numFmtId="0" fontId="0" fillId="0" borderId="0" xfId="0" applyFont="1" applyBorder="1" applyAlignment="1" applyProtection="1">
      <alignment horizontal="left" vertical="top" wrapText="1"/>
    </xf>
    <xf numFmtId="0" fontId="87" fillId="0" borderId="0" xfId="0" applyFont="1" applyBorder="1" applyAlignment="1" applyProtection="1">
      <alignment horizontal="left" vertical="top"/>
    </xf>
    <xf numFmtId="0" fontId="35" fillId="2" borderId="0" xfId="0" applyFont="1" applyFill="1" applyAlignment="1" applyProtection="1">
      <alignment horizontal="left" vertical="top" wrapText="1"/>
      <protection hidden="1"/>
    </xf>
    <xf numFmtId="0" fontId="35" fillId="2" borderId="11" xfId="0" applyFont="1" applyFill="1" applyBorder="1" applyAlignment="1" applyProtection="1">
      <alignment horizontal="left" vertical="top" wrapText="1"/>
      <protection hidden="1"/>
    </xf>
    <xf numFmtId="0" fontId="35"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pplyProtection="1">
      <alignment horizontal="center" vertical="top" wrapText="1"/>
    </xf>
    <xf numFmtId="0" fontId="9" fillId="4" borderId="0" xfId="0" applyFont="1" applyFill="1" applyAlignment="1" applyProtection="1">
      <alignment horizontal="center" vertical="top" wrapText="1"/>
    </xf>
    <xf numFmtId="0" fontId="45" fillId="2" borderId="53" xfId="0" applyFont="1" applyFill="1" applyBorder="1" applyAlignment="1" applyProtection="1">
      <alignment horizontal="center" wrapText="1"/>
    </xf>
    <xf numFmtId="0" fontId="45" fillId="2" borderId="1" xfId="0" applyFont="1" applyFill="1" applyBorder="1" applyAlignment="1" applyProtection="1">
      <alignment horizontal="center" wrapText="1"/>
    </xf>
    <xf numFmtId="0" fontId="45" fillId="2" borderId="41" xfId="0" applyFont="1" applyFill="1" applyBorder="1" applyAlignment="1" applyProtection="1">
      <alignment horizontal="center" wrapText="1"/>
    </xf>
    <xf numFmtId="0" fontId="0" fillId="5" borderId="149" xfId="0" applyFont="1" applyFill="1" applyBorder="1" applyAlignment="1" applyProtection="1">
      <alignment horizontal="left" vertical="top" wrapText="1"/>
    </xf>
    <xf numFmtId="0" fontId="0" fillId="5" borderId="147" xfId="0" applyFont="1" applyFill="1" applyBorder="1" applyAlignment="1" applyProtection="1">
      <alignment horizontal="left" vertical="top" wrapText="1"/>
    </xf>
    <xf numFmtId="0" fontId="23" fillId="10" borderId="84" xfId="0" applyFont="1" applyFill="1" applyBorder="1" applyAlignment="1" applyProtection="1">
      <alignment horizontal="center" wrapText="1"/>
      <protection hidden="1"/>
    </xf>
    <xf numFmtId="0" fontId="23" fillId="10" borderId="56" xfId="0" applyFont="1" applyFill="1" applyBorder="1" applyAlignment="1" applyProtection="1">
      <alignment horizontal="center" wrapText="1"/>
      <protection hidden="1"/>
    </xf>
    <xf numFmtId="0" fontId="23" fillId="10" borderId="57" xfId="0" applyFont="1" applyFill="1" applyBorder="1" applyAlignment="1" applyProtection="1">
      <alignment horizontal="center" wrapText="1"/>
      <protection hidden="1"/>
    </xf>
    <xf numFmtId="0" fontId="23" fillId="10" borderId="21" xfId="0" applyFont="1" applyFill="1" applyBorder="1" applyAlignment="1" applyProtection="1">
      <alignment horizontal="center"/>
    </xf>
    <xf numFmtId="0" fontId="23" fillId="10" borderId="22" xfId="0" applyFont="1" applyFill="1" applyBorder="1" applyAlignment="1" applyProtection="1">
      <alignment horizontal="center"/>
    </xf>
    <xf numFmtId="0" fontId="23" fillId="10" borderId="55" xfId="0" applyFont="1" applyFill="1" applyBorder="1" applyAlignment="1" applyProtection="1">
      <alignment horizontal="center" wrapText="1"/>
      <protection hidden="1"/>
    </xf>
    <xf numFmtId="0" fontId="0" fillId="0" borderId="55" xfId="0" applyBorder="1" applyAlignment="1" applyProtection="1">
      <alignment horizontal="center"/>
    </xf>
    <xf numFmtId="0" fontId="0" fillId="0" borderId="56" xfId="0"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0" fillId="0" borderId="2" xfId="0" applyBorder="1" applyAlignment="1" applyProtection="1">
      <alignment horizontal="center"/>
    </xf>
    <xf numFmtId="0" fontId="0" fillId="0" borderId="59" xfId="0" applyBorder="1" applyAlignment="1" applyProtection="1">
      <alignment horizontal="center"/>
    </xf>
    <xf numFmtId="0" fontId="0" fillId="0" borderId="60" xfId="0" applyFont="1" applyBorder="1" applyAlignment="1" applyProtection="1">
      <alignment horizontal="center"/>
    </xf>
    <xf numFmtId="0" fontId="0" fillId="0" borderId="61" xfId="0" applyFont="1" applyBorder="1" applyAlignment="1" applyProtection="1">
      <alignment horizontal="center"/>
    </xf>
    <xf numFmtId="0" fontId="0" fillId="0" borderId="62" xfId="0" applyFont="1" applyBorder="1" applyAlignment="1" applyProtection="1">
      <alignment horizontal="center"/>
    </xf>
    <xf numFmtId="0" fontId="38" fillId="8" borderId="10" xfId="0" applyFont="1" applyFill="1" applyBorder="1" applyAlignment="1" applyProtection="1">
      <alignment horizontal="center"/>
    </xf>
    <xf numFmtId="0" fontId="38" fillId="8" borderId="3" xfId="0" applyFont="1" applyFill="1" applyBorder="1" applyAlignment="1" applyProtection="1">
      <alignment horizontal="center"/>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5" xfId="0" applyFill="1" applyBorder="1" applyAlignment="1" applyProtection="1">
      <alignment horizontal="center"/>
    </xf>
    <xf numFmtId="0" fontId="0" fillId="8" borderId="76" xfId="0" applyFill="1" applyBorder="1" applyAlignment="1" applyProtection="1">
      <alignment horizontal="center"/>
    </xf>
    <xf numFmtId="0" fontId="0" fillId="8" borderId="77" xfId="0" applyFill="1" applyBorder="1" applyAlignment="1" applyProtection="1">
      <alignment horizontal="center"/>
    </xf>
    <xf numFmtId="0" fontId="0" fillId="0" borderId="0" xfId="0" applyAlignment="1">
      <alignment horizontal="center"/>
    </xf>
    <xf numFmtId="0" fontId="56" fillId="0" borderId="131" xfId="0" applyFont="1" applyBorder="1" applyAlignment="1" applyProtection="1">
      <alignment horizontal="left" vertical="center"/>
      <protection locked="0"/>
    </xf>
    <xf numFmtId="0" fontId="56" fillId="0" borderId="132" xfId="0" applyFont="1" applyBorder="1" applyAlignment="1" applyProtection="1">
      <alignment horizontal="left" vertical="center"/>
      <protection locked="0"/>
    </xf>
    <xf numFmtId="0" fontId="56" fillId="0" borderId="133" xfId="0" applyFont="1" applyBorder="1" applyAlignment="1" applyProtection="1">
      <alignment horizontal="left" vertical="center"/>
      <protection locked="0"/>
    </xf>
    <xf numFmtId="0" fontId="71" fillId="4" borderId="13" xfId="0" applyFont="1" applyFill="1" applyBorder="1" applyAlignment="1" applyProtection="1">
      <alignment horizontal="center"/>
      <protection hidden="1"/>
    </xf>
    <xf numFmtId="0" fontId="71" fillId="4" borderId="14" xfId="0" applyFont="1" applyFill="1" applyBorder="1" applyAlignment="1" applyProtection="1">
      <alignment horizontal="center"/>
      <protection hidden="1"/>
    </xf>
    <xf numFmtId="0" fontId="60" fillId="5" borderId="105" xfId="0" applyFont="1" applyFill="1" applyBorder="1" applyAlignment="1" applyProtection="1">
      <alignment horizontal="center"/>
      <protection hidden="1"/>
    </xf>
    <xf numFmtId="0" fontId="60" fillId="5" borderId="112" xfId="0" applyFont="1" applyFill="1" applyBorder="1" applyAlignment="1" applyProtection="1">
      <alignment horizontal="center"/>
      <protection hidden="1"/>
    </xf>
    <xf numFmtId="164" fontId="60" fillId="5" borderId="106" xfId="0" applyNumberFormat="1" applyFont="1" applyFill="1" applyBorder="1" applyAlignment="1" applyProtection="1">
      <alignment horizontal="center"/>
      <protection hidden="1"/>
    </xf>
    <xf numFmtId="164" fontId="60" fillId="5" borderId="109" xfId="0" applyNumberFormat="1" applyFont="1" applyFill="1" applyBorder="1" applyAlignment="1" applyProtection="1">
      <alignment horizontal="center"/>
      <protection hidden="1"/>
    </xf>
    <xf numFmtId="0" fontId="60" fillId="5" borderId="119" xfId="0" applyFont="1" applyFill="1" applyBorder="1" applyAlignment="1" applyProtection="1">
      <alignment horizontal="center"/>
      <protection hidden="1"/>
    </xf>
    <xf numFmtId="0" fontId="60" fillId="5" borderId="110" xfId="0" applyFont="1" applyFill="1" applyBorder="1" applyAlignment="1" applyProtection="1">
      <alignment horizontal="center"/>
      <protection hidden="1"/>
    </xf>
    <xf numFmtId="0" fontId="70" fillId="4" borderId="13" xfId="0" applyFont="1" applyFill="1" applyBorder="1" applyAlignment="1" applyProtection="1">
      <alignment horizontal="center" vertical="center"/>
      <protection hidden="1"/>
    </xf>
    <xf numFmtId="0" fontId="70" fillId="4" borderId="14" xfId="0" applyFont="1" applyFill="1" applyBorder="1" applyAlignment="1" applyProtection="1">
      <alignment horizontal="center" vertical="center"/>
      <protection hidden="1"/>
    </xf>
    <xf numFmtId="0" fontId="72" fillId="5" borderId="105" xfId="0" applyFont="1" applyFill="1" applyBorder="1" applyAlignment="1" applyProtection="1">
      <alignment horizontal="center"/>
      <protection hidden="1"/>
    </xf>
    <xf numFmtId="0" fontId="72" fillId="5" borderId="112" xfId="0" applyFont="1" applyFill="1" applyBorder="1" applyAlignment="1" applyProtection="1">
      <alignment horizontal="center"/>
      <protection hidden="1"/>
    </xf>
    <xf numFmtId="164" fontId="72" fillId="5" borderId="106" xfId="0" applyNumberFormat="1" applyFont="1" applyFill="1" applyBorder="1" applyAlignment="1" applyProtection="1">
      <alignment horizontal="center"/>
      <protection hidden="1"/>
    </xf>
    <xf numFmtId="164" fontId="72" fillId="5" borderId="109" xfId="0" applyNumberFormat="1" applyFont="1" applyFill="1" applyBorder="1" applyAlignment="1" applyProtection="1">
      <alignment horizontal="center"/>
      <protection hidden="1"/>
    </xf>
    <xf numFmtId="0" fontId="72" fillId="5" borderId="119" xfId="0" applyFont="1" applyFill="1" applyBorder="1" applyAlignment="1" applyProtection="1">
      <alignment horizontal="center"/>
      <protection hidden="1"/>
    </xf>
    <xf numFmtId="0" fontId="72" fillId="5" borderId="110" xfId="0" applyFont="1" applyFill="1" applyBorder="1" applyAlignment="1" applyProtection="1">
      <alignment horizontal="center"/>
      <protection hidden="1"/>
    </xf>
    <xf numFmtId="0" fontId="74" fillId="2" borderId="8" xfId="0" applyFont="1" applyFill="1" applyBorder="1" applyAlignment="1" applyProtection="1">
      <alignment horizontal="center" wrapText="1"/>
      <protection hidden="1"/>
    </xf>
    <xf numFmtId="0" fontId="74" fillId="2" borderId="12" xfId="0" applyFont="1" applyFill="1" applyBorder="1" applyAlignment="1" applyProtection="1">
      <alignment horizontal="center" wrapText="1"/>
      <protection hidden="1"/>
    </xf>
    <xf numFmtId="0" fontId="73" fillId="2" borderId="0" xfId="0" applyFont="1" applyFill="1" applyAlignment="1" applyProtection="1">
      <alignment horizontal="left" vertical="top" wrapText="1"/>
      <protection hidden="1"/>
    </xf>
    <xf numFmtId="0" fontId="72" fillId="4" borderId="2" xfId="0" applyFont="1" applyFill="1" applyBorder="1" applyAlignment="1" applyProtection="1">
      <alignment horizontal="center"/>
      <protection locked="0" hidden="1"/>
    </xf>
    <xf numFmtId="0" fontId="74" fillId="2" borderId="0" xfId="0" applyFont="1" applyFill="1" applyBorder="1" applyAlignment="1" applyProtection="1">
      <alignment horizontal="center" wrapText="1"/>
      <protection hidden="1"/>
    </xf>
    <xf numFmtId="0" fontId="14" fillId="2" borderId="0" xfId="0" applyFont="1" applyFill="1" applyAlignment="1" applyProtection="1">
      <alignment vertical="center" wrapText="1"/>
      <protection hidden="1"/>
    </xf>
    <xf numFmtId="0" fontId="14" fillId="0" borderId="0" xfId="0" applyFont="1" applyAlignment="1" applyProtection="1">
      <alignment vertical="center" wrapText="1"/>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top" wrapText="1"/>
      <protection hidden="1"/>
    </xf>
    <xf numFmtId="0" fontId="21" fillId="3" borderId="82" xfId="0" applyFont="1" applyFill="1" applyBorder="1" applyAlignment="1" applyProtection="1">
      <alignment horizontal="left" vertical="top" wrapText="1"/>
      <protection hidden="1"/>
    </xf>
    <xf numFmtId="0" fontId="21" fillId="3" borderId="111"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32"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0" fillId="4" borderId="2" xfId="0" applyFont="1" applyFill="1" applyBorder="1" applyAlignment="1" applyProtection="1">
      <alignment horizontal="left" vertical="center" wrapText="1"/>
      <protection hidden="1"/>
    </xf>
    <xf numFmtId="0" fontId="0" fillId="4" borderId="0" xfId="0" applyFill="1" applyBorder="1" applyAlignment="1" applyProtection="1">
      <alignment wrapText="1"/>
      <protection locked="0"/>
    </xf>
  </cellXfs>
  <cellStyles count="4">
    <cellStyle name="Good 2" xfId="3" xr:uid="{00000000-0005-0000-0000-000000000000}"/>
    <cellStyle name="Normal" xfId="0" builtinId="0"/>
    <cellStyle name="Normal 3" xfId="1" xr:uid="{00000000-0005-0000-0000-000002000000}"/>
    <cellStyle name="Percent" xfId="2" builtinId="5"/>
  </cellStyles>
  <dxfs count="473">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style="thin">
          <color auto="1"/>
        </bottom>
        <vertical/>
        <horizontal/>
      </border>
    </dxf>
  </dxfs>
  <tableStyles count="0" defaultTableStyle="TableStyleMedium9" defaultPivotStyle="PivotStyleLight16"/>
  <colors>
    <mruColors>
      <color rgb="FF3D6864"/>
      <color rgb="FFFFD146"/>
      <color rgb="FF56B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Performance'!$AC$21</c:f>
              <c:strCache>
                <c:ptCount val="1"/>
                <c:pt idx="0">
                  <c:v>Section score available</c:v>
                </c:pt>
              </c:strCache>
            </c:strRef>
          </c:tx>
          <c:spPr>
            <a:solidFill>
              <a:srgbClr val="406864"/>
            </a:solidFill>
          </c:spPr>
          <c:invertIfNegative val="0"/>
          <c:cat>
            <c:strRef>
              <c:f>'Summary of Building Performance'!$AB$22:$AB$31</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Performance'!$AC$22:$AC$31</c:f>
              <c:numCache>
                <c:formatCode>0%</c:formatCode>
                <c:ptCount val="10"/>
                <c:pt idx="0">
                  <c:v>0.12</c:v>
                </c:pt>
                <c:pt idx="1">
                  <c:v>0.15</c:v>
                </c:pt>
                <c:pt idx="2">
                  <c:v>0.19</c:v>
                </c:pt>
                <c:pt idx="3">
                  <c:v>0.1</c:v>
                </c:pt>
                <c:pt idx="4">
                  <c:v>0.05</c:v>
                </c:pt>
                <c:pt idx="5">
                  <c:v>0.13500000000000001</c:v>
                </c:pt>
                <c:pt idx="6">
                  <c:v>7.4999999999999997E-2</c:v>
                </c:pt>
                <c:pt idx="7">
                  <c:v>0.1</c:v>
                </c:pt>
                <c:pt idx="8">
                  <c:v>0.08</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Performance'!$AD$21</c:f>
              <c:strCache>
                <c:ptCount val="1"/>
                <c:pt idx="0">
                  <c:v>Initial target setting</c:v>
                </c:pt>
              </c:strCache>
            </c:strRef>
          </c:tx>
          <c:spPr>
            <a:solidFill>
              <a:srgbClr val="56B146"/>
            </a:solidFill>
          </c:spPr>
          <c:invertIfNegative val="0"/>
          <c:cat>
            <c:strRef>
              <c:f>'Summary of Building Performance'!$AB$22:$AB$31</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Performance'!$AD$22:$AD$31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ser>
          <c:idx val="2"/>
          <c:order val="2"/>
          <c:tx>
            <c:strRef>
              <c:f>'Summary of Building Performance'!$AE$21</c:f>
              <c:strCache>
                <c:ptCount val="1"/>
                <c:pt idx="0">
                  <c:v>Design phase</c:v>
                </c:pt>
              </c:strCache>
            </c:strRef>
          </c:tx>
          <c:spPr>
            <a:solidFill>
              <a:schemeClr val="accent1">
                <a:lumMod val="40000"/>
                <a:lumOff val="60000"/>
              </a:schemeClr>
            </a:solidFill>
          </c:spPr>
          <c:invertIfNegative val="0"/>
          <c:cat>
            <c:strRef>
              <c:f>'Summary of Building Performance'!$AB$22:$AB$31</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Performance'!$AE$22:$AE$31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Performance'!$AF$21</c:f>
              <c:strCache>
                <c:ptCount val="1"/>
                <c:pt idx="0">
                  <c:v>Construction phase</c:v>
                </c:pt>
              </c:strCache>
            </c:strRef>
          </c:tx>
          <c:spPr>
            <a:solidFill>
              <a:schemeClr val="bg2">
                <a:lumMod val="75000"/>
              </a:schemeClr>
            </a:solidFill>
          </c:spPr>
          <c:invertIfNegative val="0"/>
          <c:cat>
            <c:strRef>
              <c:f>'Summary of Building Performance'!$AB$22:$AB$31</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Performance'!$AF$22:$AF$31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Performance'!$AC$35</c:f>
              <c:strCache>
                <c:ptCount val="1"/>
                <c:pt idx="0">
                  <c:v>Initial target setting</c:v>
                </c:pt>
              </c:strCache>
            </c:strRef>
          </c:tx>
          <c:spPr>
            <a:solidFill>
              <a:srgbClr val="56B146"/>
            </a:solidFill>
          </c:spPr>
          <c:invertIfNegative val="0"/>
          <c:cat>
            <c:strRef>
              <c:f>'Summary of Building Performance'!$AB$36:$AB$51</c:f>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f>'Summary of Building Performance'!$AC$36:$AC$51</c:f>
              <c:numCache>
                <c:formatCode>General</c:formatCode>
                <c:ptCount val="16"/>
                <c:pt idx="0">
                  <c:v>3</c:v>
                </c:pt>
                <c:pt idx="1">
                  <c:v>0</c:v>
                </c:pt>
                <c:pt idx="2">
                  <c:v>3</c:v>
                </c:pt>
                <c:pt idx="3">
                  <c:v>0</c:v>
                </c:pt>
                <c:pt idx="4">
                  <c:v>2</c:v>
                </c:pt>
                <c:pt idx="5">
                  <c:v>0</c:v>
                </c:pt>
                <c:pt idx="6">
                  <c:v>2</c:v>
                </c:pt>
                <c:pt idx="7">
                  <c:v>3</c:v>
                </c:pt>
                <c:pt idx="8">
                  <c:v>2</c:v>
                </c:pt>
                <c:pt idx="9">
                  <c:v>3</c:v>
                </c:pt>
                <c:pt idx="10">
                  <c:v>4</c:v>
                </c:pt>
                <c:pt idx="11">
                  <c:v>3</c:v>
                </c:pt>
                <c:pt idx="12">
                  <c:v>0</c:v>
                </c:pt>
                <c:pt idx="13">
                  <c:v>0</c:v>
                </c:pt>
                <c:pt idx="14">
                  <c:v>4</c:v>
                </c:pt>
                <c:pt idx="15">
                  <c:v>3</c:v>
                </c:pt>
              </c:numCache>
            </c:numRef>
          </c:val>
          <c:extLst>
            <c:ext xmlns:c16="http://schemas.microsoft.com/office/drawing/2014/chart" uri="{C3380CC4-5D6E-409C-BE32-E72D297353CC}">
              <c16:uniqueId val="{00000000-F474-4344-A64F-9500F3F284CF}"/>
            </c:ext>
          </c:extLst>
        </c:ser>
        <c:ser>
          <c:idx val="1"/>
          <c:order val="1"/>
          <c:tx>
            <c:strRef>
              <c:f>'Summary of Building Performance'!$AD$35</c:f>
              <c:strCache>
                <c:ptCount val="1"/>
                <c:pt idx="0">
                  <c:v>Design phase</c:v>
                </c:pt>
              </c:strCache>
            </c:strRef>
          </c:tx>
          <c:spPr>
            <a:solidFill>
              <a:srgbClr val="B9CDE5"/>
            </a:solidFill>
          </c:spPr>
          <c:invertIfNegative val="0"/>
          <c:cat>
            <c:strRef>
              <c:f>'Summary of Building Performance'!$AB$36:$AB$51</c:f>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f>'Summary of Building Performance'!$AD$36:$AD$51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474-4344-A64F-9500F3F284CF}"/>
            </c:ext>
          </c:extLst>
        </c:ser>
        <c:ser>
          <c:idx val="2"/>
          <c:order val="2"/>
          <c:tx>
            <c:strRef>
              <c:f>'Summary of Building Performance'!$AE$35</c:f>
              <c:strCache>
                <c:ptCount val="1"/>
                <c:pt idx="0">
                  <c:v>Construction phase</c:v>
                </c:pt>
              </c:strCache>
            </c:strRef>
          </c:tx>
          <c:spPr>
            <a:solidFill>
              <a:srgbClr val="C4BD97"/>
            </a:solidFill>
          </c:spPr>
          <c:invertIfNegative val="0"/>
          <c:cat>
            <c:strRef>
              <c:f>'Summary of Building Performance'!$AB$36:$AB$51</c:f>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f>'Summary of Building Performance'!$AE$36:$AE$51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1026365</xdr:colOff>
      <xdr:row>10</xdr:row>
      <xdr:rowOff>95250</xdr:rowOff>
    </xdr:from>
    <xdr:to>
      <xdr:col>8</xdr:col>
      <xdr:colOff>114301</xdr:colOff>
      <xdr:row>14</xdr:row>
      <xdr:rowOff>104774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0365" y="5810250"/>
          <a:ext cx="2574086" cy="771524"/>
        </a:xfrm>
        <a:prstGeom prst="rect">
          <a:avLst/>
        </a:prstGeom>
      </xdr:spPr>
    </xdr:pic>
    <xdr:clientData/>
  </xdr:twoCellAnchor>
  <xdr:twoCellAnchor editAs="oneCell">
    <xdr:from>
      <xdr:col>9</xdr:col>
      <xdr:colOff>219075</xdr:colOff>
      <xdr:row>11</xdr:row>
      <xdr:rowOff>5952</xdr:rowOff>
    </xdr:from>
    <xdr:to>
      <xdr:col>12</xdr:col>
      <xdr:colOff>228600</xdr:colOff>
      <xdr:row>15</xdr:row>
      <xdr:rowOff>35780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838825" y="5911452"/>
          <a:ext cx="1990725" cy="791828"/>
        </a:xfrm>
        <a:prstGeom prst="rect">
          <a:avLst/>
        </a:prstGeom>
      </xdr:spPr>
    </xdr:pic>
    <xdr:clientData/>
  </xdr:twoCellAnchor>
  <xdr:twoCellAnchor editAs="oneCell">
    <xdr:from>
      <xdr:col>13</xdr:col>
      <xdr:colOff>314324</xdr:colOff>
      <xdr:row>11</xdr:row>
      <xdr:rowOff>142873</xdr:rowOff>
    </xdr:from>
    <xdr:to>
      <xdr:col>16</xdr:col>
      <xdr:colOff>3777</xdr:colOff>
      <xdr:row>15</xdr:row>
      <xdr:rowOff>104774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8524874" y="6048373"/>
          <a:ext cx="1499203" cy="723901"/>
        </a:xfrm>
        <a:prstGeom prst="rect">
          <a:avLst/>
        </a:prstGeom>
      </xdr:spPr>
    </xdr:pic>
    <xdr:clientData/>
  </xdr:twoCellAnchor>
  <xdr:twoCellAnchor editAs="oneCell">
    <xdr:from>
      <xdr:col>1</xdr:col>
      <xdr:colOff>47625</xdr:colOff>
      <xdr:row>8</xdr:row>
      <xdr:rowOff>76199</xdr:rowOff>
    </xdr:from>
    <xdr:to>
      <xdr:col>3</xdr:col>
      <xdr:colOff>971003</xdr:colOff>
      <xdr:row>17</xdr:row>
      <xdr:rowOff>85724</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 y="5143499"/>
          <a:ext cx="2199728" cy="1724025"/>
        </a:xfrm>
        <a:prstGeom prst="rect">
          <a:avLst/>
        </a:prstGeom>
      </xdr:spPr>
    </xdr:pic>
    <xdr:clientData/>
  </xdr:twoCellAnchor>
  <xdr:twoCellAnchor editAs="oneCell">
    <xdr:from>
      <xdr:col>11</xdr:col>
      <xdr:colOff>352425</xdr:colOff>
      <xdr:row>0</xdr:row>
      <xdr:rowOff>142875</xdr:rowOff>
    </xdr:from>
    <xdr:to>
      <xdr:col>16</xdr:col>
      <xdr:colOff>51435</xdr:colOff>
      <xdr:row>3</xdr:row>
      <xdr:rowOff>89288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39</xdr:row>
      <xdr:rowOff>706840</xdr:rowOff>
    </xdr:from>
    <xdr:to>
      <xdr:col>2</xdr:col>
      <xdr:colOff>2404110</xdr:colOff>
      <xdr:row>40</xdr:row>
      <xdr:rowOff>411395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0" y="8298265"/>
          <a:ext cx="2373630" cy="510370"/>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6</xdr:col>
      <xdr:colOff>34290</xdr:colOff>
      <xdr:row>2</xdr:row>
      <xdr:rowOff>72143</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19050</xdr:colOff>
      <xdr:row>0</xdr:row>
      <xdr:rowOff>38100</xdr:rowOff>
    </xdr:from>
    <xdr:to>
      <xdr:col>23</xdr:col>
      <xdr:colOff>346710</xdr:colOff>
      <xdr:row>1</xdr:row>
      <xdr:rowOff>75953</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4887575" y="38100"/>
          <a:ext cx="2832735" cy="571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8967</xdr:colOff>
      <xdr:row>13</xdr:row>
      <xdr:rowOff>96932</xdr:rowOff>
    </xdr:from>
    <xdr:to>
      <xdr:col>7</xdr:col>
      <xdr:colOff>428625</xdr:colOff>
      <xdr:row>30</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485775</xdr:colOff>
      <xdr:row>13</xdr:row>
      <xdr:rowOff>96929</xdr:rowOff>
    </xdr:from>
    <xdr:to>
      <xdr:col>14</xdr:col>
      <xdr:colOff>30257</xdr:colOff>
      <xdr:row>30</xdr:row>
      <xdr:rowOff>169208</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438150</xdr:colOff>
      <xdr:row>26</xdr:row>
      <xdr:rowOff>9525</xdr:rowOff>
    </xdr:from>
    <xdr:to>
      <xdr:col>8</xdr:col>
      <xdr:colOff>714375</xdr:colOff>
      <xdr:row>27</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00" y="5638800"/>
          <a:ext cx="1009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66675</xdr:colOff>
      <xdr:row>23</xdr:row>
      <xdr:rowOff>76199</xdr:rowOff>
    </xdr:from>
    <xdr:to>
      <xdr:col>8</xdr:col>
      <xdr:colOff>542925</xdr:colOff>
      <xdr:row>24</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76950" y="5133974"/>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38100</xdr:colOff>
      <xdr:row>20</xdr:row>
      <xdr:rowOff>190499</xdr:rowOff>
    </xdr:from>
    <xdr:to>
      <xdr:col>8</xdr:col>
      <xdr:colOff>523875</xdr:colOff>
      <xdr:row>22</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48375" y="4676774"/>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523875</xdr:colOff>
      <xdr:row>18</xdr:row>
      <xdr:rowOff>85725</xdr:rowOff>
    </xdr:from>
    <xdr:to>
      <xdr:col>8</xdr:col>
      <xdr:colOff>561975</xdr:colOff>
      <xdr:row>19</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800725" y="4191000"/>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600075</xdr:colOff>
      <xdr:row>16</xdr:row>
      <xdr:rowOff>9525</xdr:rowOff>
    </xdr:from>
    <xdr:to>
      <xdr:col>8</xdr:col>
      <xdr:colOff>542925</xdr:colOff>
      <xdr:row>17</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76925" y="3733800"/>
          <a:ext cx="676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447675</xdr:colOff>
      <xdr:row>13</xdr:row>
      <xdr:rowOff>95250</xdr:rowOff>
    </xdr:from>
    <xdr:to>
      <xdr:col>8</xdr:col>
      <xdr:colOff>723900</xdr:colOff>
      <xdr:row>14</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724525" y="3248025"/>
          <a:ext cx="1009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11</xdr:col>
      <xdr:colOff>266700</xdr:colOff>
      <xdr:row>0</xdr:row>
      <xdr:rowOff>133350</xdr:rowOff>
    </xdr:from>
    <xdr:to>
      <xdr:col>14</xdr:col>
      <xdr:colOff>34290</xdr:colOff>
      <xdr:row>2</xdr:row>
      <xdr:rowOff>79763</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7300" y="133350"/>
          <a:ext cx="2834640" cy="6703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0</xdr:colOff>
      <xdr:row>0</xdr:row>
      <xdr:rowOff>19050</xdr:rowOff>
    </xdr:from>
    <xdr:to>
      <xdr:col>21</xdr:col>
      <xdr:colOff>1922145</xdr:colOff>
      <xdr:row>1</xdr:row>
      <xdr:rowOff>72143</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14373225" y="19050"/>
          <a:ext cx="2846070" cy="5864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tabSelected="1" zoomScaleNormal="100" workbookViewId="0">
      <selection activeCell="B7" sqref="B7:P7"/>
    </sheetView>
  </sheetViews>
  <sheetFormatPr defaultColWidth="8.85546875" defaultRowHeight="15" x14ac:dyDescent="0.25"/>
  <cols>
    <col min="1" max="1" width="3.42578125" style="800" customWidth="1"/>
    <col min="2" max="2" width="10.28515625" style="800" customWidth="1"/>
    <col min="3" max="3" width="8.85546875" style="800"/>
    <col min="4" max="4" width="15.7109375" style="800" bestFit="1" customWidth="1"/>
    <col min="5" max="11" width="8.85546875" style="800"/>
    <col min="12" max="12" width="11.42578125" style="800" customWidth="1"/>
    <col min="13" max="16384" width="8.85546875" style="800"/>
  </cols>
  <sheetData>
    <row r="1" spans="1:21" x14ac:dyDescent="0.25">
      <c r="A1" s="799"/>
      <c r="B1" s="799"/>
      <c r="C1" s="799"/>
      <c r="D1" s="799"/>
      <c r="E1" s="799"/>
      <c r="F1" s="799"/>
      <c r="G1" s="799"/>
      <c r="H1" s="799"/>
      <c r="I1" s="799"/>
      <c r="J1" s="799"/>
      <c r="K1" s="799"/>
      <c r="L1" s="799"/>
      <c r="M1" s="799"/>
      <c r="N1" s="799"/>
      <c r="O1" s="799"/>
      <c r="P1" s="799"/>
    </row>
    <row r="2" spans="1:21" ht="21" x14ac:dyDescent="0.25">
      <c r="A2" s="799"/>
      <c r="B2" s="801" t="s">
        <v>327</v>
      </c>
      <c r="C2" s="802"/>
      <c r="D2" s="802"/>
      <c r="E2" s="802"/>
      <c r="F2" s="802"/>
      <c r="G2" s="802"/>
      <c r="H2" s="802"/>
      <c r="I2" s="802"/>
      <c r="J2" s="802"/>
      <c r="K2" s="802"/>
      <c r="L2" s="803"/>
      <c r="M2" s="803"/>
      <c r="N2" s="803"/>
      <c r="O2" s="803"/>
      <c r="P2" s="814" t="str">
        <f>IF('Manuell filtrering og justering'!H2='Manuell filtrering og justering'!I2,"Bespoke","")</f>
        <v/>
      </c>
    </row>
    <row r="3" spans="1:21" ht="21" x14ac:dyDescent="0.25">
      <c r="A3" s="799"/>
      <c r="B3" s="801" t="s">
        <v>5</v>
      </c>
      <c r="C3" s="804" t="str">
        <f>TVC_current_version</f>
        <v>1.08</v>
      </c>
      <c r="D3" s="805">
        <f>TVC_current_date</f>
        <v>43782</v>
      </c>
      <c r="E3" s="802"/>
      <c r="F3" s="802"/>
      <c r="G3" s="802"/>
      <c r="H3" s="802"/>
      <c r="I3" s="802"/>
      <c r="J3" s="802"/>
      <c r="K3" s="802"/>
      <c r="L3" s="803"/>
      <c r="M3" s="803"/>
      <c r="N3" s="803"/>
      <c r="O3" s="803"/>
      <c r="P3" s="803"/>
      <c r="Q3" s="806"/>
      <c r="R3" s="806"/>
    </row>
    <row r="4" spans="1:21" x14ac:dyDescent="0.25">
      <c r="A4" s="807"/>
      <c r="B4" s="808"/>
      <c r="C4" s="807"/>
      <c r="D4" s="807"/>
      <c r="E4" s="807"/>
      <c r="F4" s="807"/>
      <c r="G4" s="807"/>
      <c r="H4" s="807"/>
      <c r="I4" s="807"/>
      <c r="J4" s="807"/>
      <c r="K4" s="807"/>
      <c r="L4" s="807"/>
      <c r="M4" s="807"/>
      <c r="N4" s="807"/>
      <c r="O4" s="807"/>
      <c r="P4" s="807"/>
      <c r="Q4" s="806"/>
      <c r="R4" s="806"/>
      <c r="S4" s="806"/>
      <c r="T4" s="806"/>
      <c r="U4" s="806"/>
    </row>
    <row r="5" spans="1:21" ht="138.75" customHeight="1" x14ac:dyDescent="0.25">
      <c r="A5" s="807"/>
      <c r="B5" s="886" t="s">
        <v>513</v>
      </c>
      <c r="C5" s="887"/>
      <c r="D5" s="887"/>
      <c r="E5" s="887"/>
      <c r="F5" s="887"/>
      <c r="G5" s="887"/>
      <c r="H5" s="887"/>
      <c r="I5" s="887"/>
      <c r="J5" s="887"/>
      <c r="K5" s="887"/>
      <c r="L5" s="887"/>
      <c r="M5" s="887"/>
      <c r="N5" s="887"/>
      <c r="O5" s="887"/>
      <c r="P5" s="887"/>
      <c r="Q5" s="806"/>
      <c r="R5" s="806"/>
      <c r="S5" s="806"/>
      <c r="T5" s="806"/>
      <c r="U5" s="806"/>
    </row>
    <row r="6" spans="1:21" ht="85.5" customHeight="1" x14ac:dyDescent="0.25">
      <c r="A6" s="807"/>
      <c r="B6" s="886" t="s">
        <v>514</v>
      </c>
      <c r="C6" s="887"/>
      <c r="D6" s="887"/>
      <c r="E6" s="887"/>
      <c r="F6" s="887"/>
      <c r="G6" s="887"/>
      <c r="H6" s="887"/>
      <c r="I6" s="887"/>
      <c r="J6" s="887"/>
      <c r="K6" s="887"/>
      <c r="L6" s="887"/>
      <c r="M6" s="887"/>
      <c r="N6" s="887"/>
      <c r="O6" s="887"/>
      <c r="P6" s="887"/>
      <c r="Q6" s="806"/>
      <c r="R6" s="806"/>
      <c r="S6" s="806"/>
      <c r="T6" s="806"/>
      <c r="U6" s="806"/>
    </row>
    <row r="7" spans="1:21" ht="87.75" customHeight="1" x14ac:dyDescent="0.25">
      <c r="A7" s="807"/>
      <c r="B7" s="886" t="s">
        <v>515</v>
      </c>
      <c r="C7" s="887"/>
      <c r="D7" s="887"/>
      <c r="E7" s="887"/>
      <c r="F7" s="887"/>
      <c r="G7" s="887"/>
      <c r="H7" s="887"/>
      <c r="I7" s="887"/>
      <c r="J7" s="887"/>
      <c r="K7" s="887"/>
      <c r="L7" s="887"/>
      <c r="M7" s="887"/>
      <c r="N7" s="887"/>
      <c r="O7" s="887"/>
      <c r="P7" s="887"/>
      <c r="Q7" s="806"/>
      <c r="R7" s="806"/>
      <c r="S7" s="806"/>
      <c r="T7" s="806"/>
      <c r="U7" s="806"/>
    </row>
    <row r="8" spans="1:21" x14ac:dyDescent="0.25">
      <c r="A8" s="807"/>
      <c r="B8" s="807"/>
      <c r="C8" s="807"/>
      <c r="D8" s="807"/>
      <c r="E8" s="807"/>
      <c r="F8" s="807"/>
      <c r="G8" s="807"/>
      <c r="H8" s="807"/>
      <c r="I8" s="807"/>
      <c r="J8" s="807"/>
      <c r="K8" s="807"/>
      <c r="L8" s="807"/>
      <c r="M8" s="807"/>
      <c r="N8" s="807"/>
      <c r="O8" s="807"/>
      <c r="P8" s="808"/>
      <c r="Q8" s="806"/>
      <c r="R8" s="806"/>
      <c r="S8" s="806"/>
      <c r="T8" s="806"/>
      <c r="U8" s="806"/>
    </row>
    <row r="9" spans="1:21" x14ac:dyDescent="0.25">
      <c r="A9" s="807"/>
      <c r="B9" s="810" t="s">
        <v>516</v>
      </c>
      <c r="C9" s="807"/>
      <c r="D9" s="807"/>
      <c r="E9" s="807"/>
      <c r="F9" s="807"/>
      <c r="G9" s="807"/>
      <c r="H9" s="807"/>
      <c r="I9" s="807"/>
      <c r="J9" s="807"/>
      <c r="K9" s="807"/>
      <c r="L9" s="807"/>
      <c r="M9" s="807"/>
      <c r="N9" s="807"/>
      <c r="O9" s="807"/>
      <c r="P9" s="807"/>
      <c r="Q9" s="806"/>
      <c r="R9" s="806"/>
      <c r="S9" s="806"/>
      <c r="T9" s="806"/>
      <c r="U9" s="806"/>
    </row>
    <row r="10" spans="1:21" x14ac:dyDescent="0.25">
      <c r="A10" s="807"/>
      <c r="B10" s="807"/>
      <c r="C10" s="807"/>
      <c r="D10" s="807"/>
      <c r="E10" s="807"/>
      <c r="F10" s="807"/>
      <c r="G10" s="807"/>
      <c r="H10" s="807"/>
      <c r="I10" s="807"/>
      <c r="J10" s="807"/>
      <c r="K10" s="807"/>
      <c r="L10" s="807"/>
      <c r="M10" s="807"/>
      <c r="N10" s="807"/>
      <c r="O10" s="807"/>
      <c r="P10" s="807"/>
      <c r="Q10" s="806"/>
      <c r="R10" s="806"/>
      <c r="S10" s="806"/>
      <c r="T10" s="806"/>
      <c r="U10" s="806"/>
    </row>
    <row r="11" spans="1:21" x14ac:dyDescent="0.25">
      <c r="A11" s="807"/>
      <c r="B11" s="807"/>
      <c r="C11" s="807"/>
      <c r="D11" s="807"/>
      <c r="E11" s="807"/>
      <c r="F11" s="807"/>
      <c r="G11" s="807"/>
      <c r="H11" s="807"/>
      <c r="I11" s="807"/>
      <c r="J11" s="807"/>
      <c r="K11" s="807"/>
      <c r="L11" s="807"/>
      <c r="M11" s="807"/>
      <c r="N11" s="807"/>
      <c r="O11" s="807"/>
      <c r="P11" s="807"/>
      <c r="Q11" s="806"/>
      <c r="R11" s="806"/>
      <c r="S11" s="806"/>
      <c r="T11" s="806"/>
      <c r="U11" s="806"/>
    </row>
    <row r="12" spans="1:21" x14ac:dyDescent="0.25">
      <c r="A12" s="807"/>
      <c r="B12" s="807"/>
      <c r="C12" s="807"/>
      <c r="D12" s="807"/>
      <c r="E12" s="807"/>
      <c r="F12" s="807"/>
      <c r="G12" s="807"/>
      <c r="H12" s="807"/>
      <c r="I12" s="807"/>
      <c r="J12" s="807"/>
      <c r="K12" s="807"/>
      <c r="L12" s="807"/>
      <c r="M12" s="807"/>
      <c r="N12" s="807"/>
      <c r="O12" s="807"/>
      <c r="P12" s="807"/>
      <c r="Q12" s="806"/>
      <c r="R12" s="806"/>
      <c r="S12" s="806"/>
      <c r="T12" s="806"/>
      <c r="U12" s="806"/>
    </row>
    <row r="13" spans="1:21" x14ac:dyDescent="0.25">
      <c r="A13" s="807"/>
      <c r="B13" s="807"/>
      <c r="C13" s="807"/>
      <c r="D13" s="807"/>
      <c r="E13" s="807"/>
      <c r="F13" s="807"/>
      <c r="G13" s="807"/>
      <c r="H13" s="807"/>
      <c r="I13" s="807"/>
      <c r="J13" s="807"/>
      <c r="K13" s="807"/>
      <c r="L13" s="807"/>
      <c r="M13" s="807"/>
      <c r="N13" s="807"/>
      <c r="O13" s="807"/>
      <c r="P13" s="807"/>
      <c r="Q13" s="806"/>
      <c r="R13" s="806"/>
      <c r="S13" s="806"/>
      <c r="T13" s="806"/>
      <c r="U13" s="806"/>
    </row>
    <row r="14" spans="1:21" x14ac:dyDescent="0.25">
      <c r="A14" s="807"/>
      <c r="B14" s="807"/>
      <c r="C14" s="807"/>
      <c r="D14" s="807"/>
      <c r="E14" s="807"/>
      <c r="F14" s="807"/>
      <c r="G14" s="807"/>
      <c r="H14" s="807"/>
      <c r="I14" s="807"/>
      <c r="J14" s="807"/>
      <c r="K14" s="807"/>
      <c r="L14" s="807"/>
      <c r="M14" s="807"/>
      <c r="N14" s="807"/>
      <c r="O14" s="807"/>
      <c r="P14" s="807"/>
      <c r="Q14" s="806"/>
      <c r="R14" s="806"/>
      <c r="S14" s="806"/>
      <c r="T14" s="806"/>
      <c r="U14" s="806"/>
    </row>
    <row r="15" spans="1:21" x14ac:dyDescent="0.25">
      <c r="A15" s="807"/>
      <c r="B15" s="807"/>
      <c r="C15" s="807"/>
      <c r="D15" s="807"/>
      <c r="E15" s="807"/>
      <c r="F15" s="807"/>
      <c r="G15" s="807"/>
      <c r="H15" s="807"/>
      <c r="I15" s="807"/>
      <c r="J15" s="807"/>
      <c r="K15" s="807"/>
      <c r="L15" s="807"/>
      <c r="M15" s="807"/>
      <c r="N15" s="807"/>
      <c r="O15" s="807"/>
      <c r="P15" s="807"/>
      <c r="Q15" s="806"/>
      <c r="R15" s="806"/>
      <c r="S15" s="806"/>
      <c r="T15" s="806"/>
      <c r="U15" s="806"/>
    </row>
    <row r="16" spans="1:21" x14ac:dyDescent="0.25">
      <c r="A16" s="807"/>
      <c r="B16" s="807"/>
      <c r="C16" s="807"/>
      <c r="D16" s="807"/>
      <c r="E16" s="807"/>
      <c r="F16" s="807"/>
      <c r="G16" s="807"/>
      <c r="H16" s="807"/>
      <c r="I16" s="807"/>
      <c r="J16" s="807"/>
      <c r="K16" s="807"/>
      <c r="L16" s="807"/>
      <c r="M16" s="807"/>
      <c r="N16" s="807"/>
      <c r="O16" s="807"/>
      <c r="P16" s="807"/>
      <c r="Q16" s="806"/>
      <c r="R16" s="806"/>
      <c r="S16" s="806"/>
      <c r="T16" s="806"/>
      <c r="U16" s="806"/>
    </row>
    <row r="17" spans="1:21" x14ac:dyDescent="0.25">
      <c r="A17" s="807"/>
      <c r="B17" s="807"/>
      <c r="C17" s="807"/>
      <c r="D17" s="807"/>
      <c r="E17" s="807"/>
      <c r="F17" s="807"/>
      <c r="G17" s="807"/>
      <c r="H17" s="807"/>
      <c r="I17" s="809"/>
      <c r="J17" s="807"/>
      <c r="K17" s="807"/>
      <c r="L17" s="807"/>
      <c r="M17" s="807"/>
      <c r="N17" s="807"/>
      <c r="O17" s="807"/>
      <c r="P17" s="807"/>
      <c r="Q17" s="806"/>
      <c r="R17" s="806"/>
      <c r="S17" s="806"/>
      <c r="T17" s="806"/>
      <c r="U17" s="806"/>
    </row>
    <row r="18" spans="1:21" x14ac:dyDescent="0.25">
      <c r="A18" s="806"/>
      <c r="B18" s="806"/>
      <c r="C18" s="806"/>
      <c r="D18" s="806"/>
      <c r="E18" s="806"/>
      <c r="F18" s="806"/>
      <c r="G18" s="806"/>
      <c r="H18" s="806"/>
      <c r="I18" s="806"/>
      <c r="J18" s="806"/>
      <c r="K18" s="806"/>
      <c r="L18" s="806"/>
      <c r="M18" s="806"/>
      <c r="N18" s="806"/>
      <c r="O18" s="806"/>
      <c r="P18" s="806"/>
      <c r="Q18" s="806"/>
      <c r="R18" s="806"/>
      <c r="S18" s="806"/>
      <c r="T18" s="806"/>
      <c r="U18" s="806"/>
    </row>
  </sheetData>
  <sheetProtection algorithmName="SHA-512" hashValue="GPBrjYqZCmsAigFqZ1t1iaBuRWAvZW0Us5FlRHDIa4HZbiEWrE3Kfp9FDuOkcDaEUzNhh8MC/KreL8nda4hW1w==" saltValue="9KmlXVqEC2HmSKVo99n1UA==" spinCount="100000" sheet="1" objects="1" scenarios="1"/>
  <mergeCells count="3">
    <mergeCell ref="B5:P5"/>
    <mergeCell ref="B6:P6"/>
    <mergeCell ref="B7:P7"/>
  </mergeCells>
  <pageMargins left="0.70866141732283472" right="0.70866141732283472" top="0.74803149606299213" bottom="0.74803149606299213" header="0.31496062992125984" footer="0.31496062992125984"/>
  <pageSetup paperSize="9" scale="91" fitToHeight="0"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E21" sqref="E21"/>
    </sheetView>
  </sheetViews>
  <sheetFormatPr defaultColWidth="8.855468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J17" sqref="J17"/>
    </sheetView>
  </sheetViews>
  <sheetFormatPr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U186"/>
  <sheetViews>
    <sheetView showGridLines="0" zoomScaleNormal="100" zoomScalePageLayoutView="90" workbookViewId="0">
      <pane ySplit="3" topLeftCell="A4" activePane="bottomLeft" state="frozen"/>
      <selection activeCell="E21" sqref="E21"/>
      <selection pane="bottomLeft" activeCell="C16" sqref="C16"/>
    </sheetView>
  </sheetViews>
  <sheetFormatPr defaultColWidth="9.140625" defaultRowHeight="15" x14ac:dyDescent="0.25"/>
  <cols>
    <col min="1" max="1" width="2.7109375" style="665" customWidth="1"/>
    <col min="2" max="2" width="37.85546875" style="665" customWidth="1"/>
    <col min="3" max="3" width="59.85546875" style="665" customWidth="1"/>
    <col min="4" max="4" width="5.5703125" style="665" customWidth="1"/>
    <col min="5" max="5" width="102.140625" style="665" customWidth="1"/>
    <col min="6" max="6" width="56.5703125" style="665" customWidth="1"/>
    <col min="7" max="7" width="7.28515625" style="665" customWidth="1"/>
    <col min="8" max="9" width="17" style="665" hidden="1" customWidth="1"/>
    <col min="10" max="10" width="30.85546875" style="665" hidden="1" customWidth="1"/>
    <col min="11" max="11" width="16.5703125" style="665" hidden="1" customWidth="1"/>
    <col min="12" max="12" width="60.140625" style="665" hidden="1" customWidth="1"/>
    <col min="13" max="13" width="6.140625" style="665" hidden="1" customWidth="1"/>
    <col min="14" max="14" width="74.7109375" style="665" hidden="1" customWidth="1"/>
    <col min="15" max="15" width="30.28515625" style="665" hidden="1" customWidth="1"/>
    <col min="16" max="16" width="41.140625" style="665" hidden="1" customWidth="1"/>
    <col min="17" max="17" width="32" style="665" hidden="1" customWidth="1"/>
    <col min="18" max="19" width="31.140625" style="665" hidden="1" customWidth="1"/>
    <col min="20" max="20" width="11.42578125" style="665" hidden="1" customWidth="1"/>
    <col min="21" max="21" width="9.140625" style="665" hidden="1" customWidth="1"/>
    <col min="22" max="22" width="9.140625" style="665" customWidth="1"/>
    <col min="23" max="16384" width="9.140625" style="665"/>
  </cols>
  <sheetData>
    <row r="1" spans="2:21" s="1" customFormat="1" x14ac:dyDescent="0.25">
      <c r="B1" s="552"/>
      <c r="C1" s="552"/>
      <c r="E1" s="2"/>
      <c r="G1" s="665"/>
      <c r="L1" s="17"/>
      <c r="M1" s="17"/>
      <c r="N1" s="17"/>
      <c r="O1" s="17"/>
      <c r="P1" s="17"/>
      <c r="Q1" s="17"/>
      <c r="R1" s="17"/>
      <c r="S1" s="17"/>
    </row>
    <row r="2" spans="2:21" s="1" customFormat="1" ht="42" customHeight="1" x14ac:dyDescent="0.25">
      <c r="B2" s="666" t="s">
        <v>326</v>
      </c>
      <c r="C2" s="667"/>
      <c r="D2" s="667"/>
      <c r="E2" s="667"/>
      <c r="F2" s="815" t="str">
        <f>IF('Manuell filtrering og justering'!H2='Manuell filtrering og justering'!I2,"Bespoke","")</f>
        <v/>
      </c>
      <c r="G2" s="665"/>
      <c r="L2" s="17"/>
      <c r="M2" s="17"/>
      <c r="N2" s="17"/>
      <c r="O2" s="17"/>
      <c r="P2" s="17"/>
      <c r="Q2" s="17"/>
      <c r="R2" s="17"/>
      <c r="S2" s="17"/>
    </row>
    <row r="3" spans="2:21" s="1" customFormat="1" x14ac:dyDescent="0.25">
      <c r="B3" s="668"/>
      <c r="C3" s="668"/>
      <c r="E3" s="2"/>
      <c r="F3" s="669"/>
      <c r="G3" s="665"/>
      <c r="L3" s="17"/>
      <c r="M3" s="17"/>
      <c r="N3" s="17"/>
      <c r="O3" s="17"/>
      <c r="P3" s="17"/>
      <c r="Q3" s="17"/>
      <c r="R3" s="17"/>
      <c r="S3" s="17"/>
    </row>
    <row r="4" spans="2:21" s="1" customFormat="1" ht="18.75" x14ac:dyDescent="0.3">
      <c r="B4" s="670" t="s">
        <v>51</v>
      </c>
      <c r="C4" s="7"/>
      <c r="E4" s="670" t="s">
        <v>21</v>
      </c>
      <c r="F4" s="670"/>
      <c r="G4" s="665"/>
      <c r="I4" s="12"/>
      <c r="J4" s="12"/>
      <c r="K4" s="12"/>
      <c r="L4" s="17"/>
      <c r="M4" s="17"/>
      <c r="N4" s="17"/>
      <c r="O4" s="17"/>
      <c r="P4" s="17"/>
      <c r="Q4" s="17"/>
      <c r="R4" s="17"/>
      <c r="S4" s="17"/>
    </row>
    <row r="5" spans="2:21" s="1" customFormat="1" ht="15.75" x14ac:dyDescent="0.25">
      <c r="B5" s="671" t="s">
        <v>17</v>
      </c>
      <c r="C5" s="787"/>
      <c r="D5" s="665"/>
      <c r="E5" s="673" t="s">
        <v>56</v>
      </c>
      <c r="F5" s="672" t="s">
        <v>31</v>
      </c>
      <c r="G5" s="665"/>
      <c r="H5" s="665"/>
      <c r="I5" s="40"/>
      <c r="J5" s="99" t="str">
        <f>IF('Manuell filtrering og justering'!H2='Manuell filtrering og justering'!I2,'Manuell filtrering og justering'!G2,"Industrial")</f>
        <v>Industrial</v>
      </c>
      <c r="K5" s="12"/>
      <c r="L5" s="99" t="str">
        <f t="shared" ref="L5:L13" si="0">IF(HLOOKUP(ADBT0,$O$5:$T$14,U6,FALSE)=0,"",HLOOKUP(ADBT0,$O$5:$T$14,U6,FALSE))</f>
        <v>General office building</v>
      </c>
      <c r="M5" s="17"/>
      <c r="N5" s="99" t="s">
        <v>45</v>
      </c>
      <c r="O5" s="97" t="s">
        <v>32</v>
      </c>
      <c r="P5" s="97" t="s">
        <v>31</v>
      </c>
      <c r="Q5" s="97" t="s">
        <v>33</v>
      </c>
      <c r="R5" s="97" t="s">
        <v>34</v>
      </c>
      <c r="S5" s="97" t="s">
        <v>10</v>
      </c>
      <c r="T5" s="97" t="s">
        <v>405</v>
      </c>
      <c r="U5" s="1">
        <v>1</v>
      </c>
    </row>
    <row r="6" spans="2:21" s="1" customFormat="1" ht="15.75" x14ac:dyDescent="0.25">
      <c r="B6" s="674" t="s">
        <v>18</v>
      </c>
      <c r="C6" s="787"/>
      <c r="D6" s="665"/>
      <c r="E6" s="675" t="s">
        <v>24</v>
      </c>
      <c r="F6" s="676" t="s">
        <v>371</v>
      </c>
      <c r="G6" s="665"/>
      <c r="H6" s="665"/>
      <c r="I6" s="40"/>
      <c r="J6" s="99" t="str">
        <f>IF('Manuell filtrering og justering'!H2='Manuell filtrering og justering'!I2,"","Office")</f>
        <v>Office</v>
      </c>
      <c r="K6" s="12"/>
      <c r="L6" s="99" t="str">
        <f t="shared" si="0"/>
        <v>Office with research and development areas</v>
      </c>
      <c r="M6" s="17"/>
      <c r="N6" s="17"/>
      <c r="O6" s="17" t="s">
        <v>370</v>
      </c>
      <c r="P6" s="17" t="s">
        <v>371</v>
      </c>
      <c r="Q6" s="17" t="s">
        <v>377</v>
      </c>
      <c r="R6" s="1" t="s">
        <v>400</v>
      </c>
      <c r="S6" s="1" t="s">
        <v>381</v>
      </c>
      <c r="T6" s="17" t="s">
        <v>405</v>
      </c>
      <c r="U6" s="1">
        <v>2</v>
      </c>
    </row>
    <row r="7" spans="2:21" s="1" customFormat="1" ht="15.75" x14ac:dyDescent="0.25">
      <c r="B7" s="674" t="s">
        <v>19</v>
      </c>
      <c r="C7" s="787"/>
      <c r="D7" s="665"/>
      <c r="E7" s="675" t="s">
        <v>25</v>
      </c>
      <c r="F7" s="676" t="s">
        <v>38</v>
      </c>
      <c r="G7" s="665"/>
      <c r="H7" s="665"/>
      <c r="I7" s="40"/>
      <c r="J7" s="99" t="str">
        <f>IF('Manuell filtrering og justering'!H2='Manuell filtrering og justering'!I2,"","Retail")</f>
        <v>Retail</v>
      </c>
      <c r="K7" s="12"/>
      <c r="L7" s="99" t="str">
        <f t="shared" si="0"/>
        <v/>
      </c>
      <c r="M7" s="17"/>
      <c r="N7" s="17"/>
      <c r="O7" s="17" t="s">
        <v>368</v>
      </c>
      <c r="P7" s="1" t="s">
        <v>372</v>
      </c>
      <c r="Q7" s="17" t="s">
        <v>378</v>
      </c>
      <c r="R7" s="1" t="s">
        <v>401</v>
      </c>
      <c r="S7" s="1" t="s">
        <v>382</v>
      </c>
      <c r="U7" s="1">
        <v>3</v>
      </c>
    </row>
    <row r="8" spans="2:21" s="1" customFormat="1" ht="15.75" x14ac:dyDescent="0.25">
      <c r="B8" s="674" t="s">
        <v>20</v>
      </c>
      <c r="C8" s="787"/>
      <c r="D8" s="665"/>
      <c r="E8" s="675" t="s">
        <v>26</v>
      </c>
      <c r="F8" s="676" t="s">
        <v>87</v>
      </c>
      <c r="G8" s="665"/>
      <c r="H8" s="665"/>
      <c r="I8" s="40"/>
      <c r="J8" s="99" t="str">
        <f>IF('Manuell filtrering og justering'!H2='Manuell filtrering og justering'!I2,"","Education")</f>
        <v>Education</v>
      </c>
      <c r="K8" s="12"/>
      <c r="L8" s="99" t="str">
        <f t="shared" si="0"/>
        <v/>
      </c>
      <c r="M8" s="17"/>
      <c r="N8" s="25" t="s">
        <v>367</v>
      </c>
      <c r="O8" s="1" t="s">
        <v>369</v>
      </c>
      <c r="Q8" s="17" t="s">
        <v>376</v>
      </c>
      <c r="S8" s="1" t="s">
        <v>380</v>
      </c>
      <c r="T8" s="17"/>
      <c r="U8" s="1">
        <v>4</v>
      </c>
    </row>
    <row r="9" spans="2:21" s="1" customFormat="1" ht="15.75" x14ac:dyDescent="0.25">
      <c r="B9" s="674" t="s">
        <v>44</v>
      </c>
      <c r="C9" s="787"/>
      <c r="D9" s="665"/>
      <c r="E9" s="675" t="s">
        <v>365</v>
      </c>
      <c r="F9" s="677" t="s">
        <v>45</v>
      </c>
      <c r="G9" s="665"/>
      <c r="H9" s="665"/>
      <c r="I9" s="40"/>
      <c r="J9" s="99" t="str">
        <f>IF('Manuell filtrering og justering'!H2='Manuell filtrering og justering'!I2,"","Residential")</f>
        <v>Residential</v>
      </c>
      <c r="K9" s="12"/>
      <c r="L9" s="99" t="str">
        <f t="shared" si="0"/>
        <v/>
      </c>
      <c r="M9" s="17"/>
      <c r="N9" s="17"/>
      <c r="Q9" s="1" t="s">
        <v>384</v>
      </c>
      <c r="U9" s="1">
        <v>5</v>
      </c>
    </row>
    <row r="10" spans="2:21" s="1" customFormat="1" ht="15.75" x14ac:dyDescent="0.25">
      <c r="B10" s="678" t="s">
        <v>213</v>
      </c>
      <c r="C10" s="787"/>
      <c r="D10" s="665"/>
      <c r="E10" s="679" t="s">
        <v>366</v>
      </c>
      <c r="F10" s="677" t="s">
        <v>367</v>
      </c>
      <c r="G10" s="665"/>
      <c r="H10" s="665"/>
      <c r="I10" s="40"/>
      <c r="J10" s="12"/>
      <c r="K10" s="12"/>
      <c r="L10" s="99" t="str">
        <f t="shared" si="0"/>
        <v/>
      </c>
      <c r="M10" s="17"/>
      <c r="N10" s="17"/>
      <c r="Q10" s="1" t="s">
        <v>379</v>
      </c>
      <c r="U10" s="1">
        <v>6</v>
      </c>
    </row>
    <row r="11" spans="2:21" s="1" customFormat="1" ht="15.75" x14ac:dyDescent="0.25">
      <c r="C11" s="107"/>
      <c r="E11" s="680"/>
      <c r="F11" s="311"/>
      <c r="G11" s="665"/>
      <c r="H11" s="665"/>
      <c r="I11" s="40"/>
      <c r="J11" s="12"/>
      <c r="K11" s="12"/>
      <c r="L11" s="99" t="str">
        <f t="shared" si="0"/>
        <v/>
      </c>
      <c r="M11" s="17"/>
      <c r="N11" s="99" t="s">
        <v>38</v>
      </c>
      <c r="Q11" s="17" t="s">
        <v>375</v>
      </c>
      <c r="U11" s="1">
        <v>7</v>
      </c>
    </row>
    <row r="12" spans="2:21" s="1" customFormat="1" ht="15" customHeight="1" x14ac:dyDescent="0.3">
      <c r="B12" s="670" t="s">
        <v>21</v>
      </c>
      <c r="C12" s="788"/>
      <c r="E12" s="681" t="s">
        <v>338</v>
      </c>
      <c r="F12" s="789"/>
      <c r="G12" s="665"/>
      <c r="H12" s="665"/>
      <c r="I12" s="40"/>
      <c r="J12" s="12"/>
      <c r="K12" s="12"/>
      <c r="L12" s="99" t="str">
        <f t="shared" si="0"/>
        <v/>
      </c>
      <c r="M12" s="17"/>
      <c r="N12" s="99" t="s">
        <v>36</v>
      </c>
      <c r="Q12" s="17" t="s">
        <v>373</v>
      </c>
      <c r="R12" s="17"/>
      <c r="S12" s="17"/>
      <c r="U12" s="1">
        <v>8</v>
      </c>
    </row>
    <row r="13" spans="2:21" s="1" customFormat="1" ht="17.25" x14ac:dyDescent="0.25">
      <c r="B13" s="671" t="s">
        <v>22</v>
      </c>
      <c r="C13" s="789"/>
      <c r="E13" s="674" t="s">
        <v>337</v>
      </c>
      <c r="F13" s="789"/>
      <c r="G13" s="665"/>
      <c r="H13" s="665"/>
      <c r="I13" s="40"/>
      <c r="K13" s="12"/>
      <c r="L13" s="99" t="str">
        <f t="shared" si="0"/>
        <v/>
      </c>
      <c r="M13" s="17"/>
      <c r="N13" s="99" t="s">
        <v>39</v>
      </c>
      <c r="Q13" s="17" t="s">
        <v>374</v>
      </c>
      <c r="R13" s="17"/>
      <c r="S13" s="17"/>
      <c r="U13" s="1">
        <v>9</v>
      </c>
    </row>
    <row r="14" spans="2:21" s="1" customFormat="1" ht="17.25" x14ac:dyDescent="0.25">
      <c r="B14" s="682" t="s">
        <v>23</v>
      </c>
      <c r="C14" s="790"/>
      <c r="E14" s="678" t="s">
        <v>339</v>
      </c>
      <c r="F14" s="789"/>
      <c r="G14" s="665"/>
      <c r="H14" s="665"/>
      <c r="I14" s="40"/>
      <c r="K14" s="12"/>
      <c r="L14" s="665"/>
      <c r="M14" s="17"/>
      <c r="N14" s="99" t="s">
        <v>37</v>
      </c>
      <c r="Q14" s="17" t="s">
        <v>383</v>
      </c>
      <c r="R14" s="17"/>
      <c r="S14" s="17"/>
      <c r="U14" s="1">
        <v>10</v>
      </c>
    </row>
    <row r="15" spans="2:21" s="1" customFormat="1" ht="16.5" customHeight="1" x14ac:dyDescent="0.25">
      <c r="B15" s="683"/>
      <c r="C15" s="791"/>
      <c r="E15" s="685"/>
      <c r="F15" s="686"/>
      <c r="G15" s="665"/>
      <c r="H15" s="2"/>
      <c r="I15" s="40"/>
      <c r="K15" s="12"/>
      <c r="L15" s="665"/>
      <c r="M15" s="17"/>
      <c r="R15" s="17"/>
      <c r="S15" s="17"/>
      <c r="U15" s="1">
        <v>11</v>
      </c>
    </row>
    <row r="16" spans="2:21" s="1" customFormat="1" ht="15.75" x14ac:dyDescent="0.25">
      <c r="B16" s="687"/>
      <c r="C16" s="792"/>
      <c r="E16" s="673" t="s">
        <v>398</v>
      </c>
      <c r="F16" s="677" t="s">
        <v>14</v>
      </c>
      <c r="G16" s="665"/>
      <c r="H16" s="50" t="s">
        <v>287</v>
      </c>
      <c r="I16" s="40"/>
      <c r="K16" s="12"/>
      <c r="L16" s="665"/>
      <c r="M16" s="17"/>
      <c r="N16" s="17"/>
      <c r="R16" s="17"/>
      <c r="S16" s="17"/>
      <c r="U16" s="1">
        <v>12</v>
      </c>
    </row>
    <row r="17" spans="2:21" s="1" customFormat="1" ht="15.75" x14ac:dyDescent="0.25">
      <c r="B17" s="688" t="str">
        <f>IF('Manuell filtrering og justering'!H2='Manuell filtrering og justering'!I2,"Building type (main description)","")</f>
        <v/>
      </c>
      <c r="C17" s="793"/>
      <c r="E17" s="675" t="s">
        <v>399</v>
      </c>
      <c r="F17" s="677" t="s">
        <v>14</v>
      </c>
      <c r="G17" s="665"/>
      <c r="H17" s="50" t="s">
        <v>288</v>
      </c>
      <c r="I17" s="40"/>
      <c r="K17" s="12"/>
      <c r="L17" s="665"/>
      <c r="M17" s="17"/>
      <c r="N17" s="17"/>
      <c r="R17" s="17"/>
      <c r="S17" s="17"/>
      <c r="U17" s="1">
        <v>13</v>
      </c>
    </row>
    <row r="18" spans="2:21" s="1" customFormat="1" ht="15.75" x14ac:dyDescent="0.25">
      <c r="B18" s="674" t="s">
        <v>214</v>
      </c>
      <c r="C18" s="794"/>
      <c r="E18" s="675" t="s">
        <v>393</v>
      </c>
      <c r="F18" s="676" t="s">
        <v>14</v>
      </c>
      <c r="G18" s="665"/>
      <c r="H18" s="50" t="s">
        <v>289</v>
      </c>
      <c r="I18" s="40"/>
      <c r="K18" s="12"/>
      <c r="L18" s="665"/>
      <c r="M18" s="17"/>
      <c r="N18" s="99" t="s">
        <v>87</v>
      </c>
      <c r="R18" s="17"/>
      <c r="S18" s="17"/>
    </row>
    <row r="19" spans="2:21" s="1" customFormat="1" ht="15.75" x14ac:dyDescent="0.25">
      <c r="B19" s="674" t="s">
        <v>215</v>
      </c>
      <c r="C19" s="795"/>
      <c r="E19" s="675" t="s">
        <v>310</v>
      </c>
      <c r="F19" s="684" t="s">
        <v>14</v>
      </c>
      <c r="G19" s="665"/>
      <c r="H19" s="50" t="s">
        <v>291</v>
      </c>
      <c r="I19" s="40"/>
      <c r="J19" s="12"/>
      <c r="K19" s="12"/>
      <c r="L19" s="665"/>
      <c r="M19" s="17"/>
      <c r="N19" s="99" t="s">
        <v>35</v>
      </c>
      <c r="R19" s="17"/>
      <c r="S19" s="17"/>
    </row>
    <row r="20" spans="2:21" s="1" customFormat="1" ht="15.75" x14ac:dyDescent="0.25">
      <c r="B20" s="678" t="s">
        <v>216</v>
      </c>
      <c r="C20" s="795"/>
      <c r="E20" s="675" t="s">
        <v>311</v>
      </c>
      <c r="F20" s="676" t="s">
        <v>14</v>
      </c>
      <c r="G20" s="665"/>
      <c r="H20" s="50" t="s">
        <v>237</v>
      </c>
      <c r="I20" s="40"/>
      <c r="J20" s="12"/>
      <c r="K20" s="12"/>
      <c r="L20" s="665"/>
      <c r="M20" s="17"/>
      <c r="N20" s="17"/>
      <c r="R20" s="17"/>
      <c r="S20" s="17"/>
    </row>
    <row r="21" spans="2:21" s="1" customFormat="1" ht="15.75" x14ac:dyDescent="0.25">
      <c r="C21" s="796"/>
      <c r="E21" s="675" t="s">
        <v>312</v>
      </c>
      <c r="F21" s="676" t="s">
        <v>40</v>
      </c>
      <c r="G21" s="665"/>
      <c r="H21" s="50" t="s">
        <v>237</v>
      </c>
      <c r="I21" s="40"/>
      <c r="J21" s="12"/>
      <c r="K21" s="12"/>
      <c r="M21" s="17"/>
      <c r="N21" s="17"/>
      <c r="R21" s="17"/>
      <c r="S21" s="17"/>
    </row>
    <row r="22" spans="2:21" s="1" customFormat="1" ht="15" customHeight="1" x14ac:dyDescent="0.3">
      <c r="B22" s="670" t="s">
        <v>27</v>
      </c>
      <c r="C22" s="797"/>
      <c r="E22" s="675" t="s">
        <v>313</v>
      </c>
      <c r="F22" s="676" t="s">
        <v>43</v>
      </c>
      <c r="G22" s="665"/>
      <c r="H22" s="105" t="s">
        <v>283</v>
      </c>
      <c r="I22" s="40"/>
      <c r="J22" s="12"/>
      <c r="K22" s="12" t="s">
        <v>300</v>
      </c>
      <c r="L22" s="17"/>
      <c r="M22" s="17"/>
      <c r="N22" s="99" t="s">
        <v>13</v>
      </c>
      <c r="R22" s="17"/>
      <c r="S22" s="17"/>
    </row>
    <row r="23" spans="2:21" s="1" customFormat="1" ht="15" customHeight="1" x14ac:dyDescent="0.25">
      <c r="B23" s="689" t="s">
        <v>28</v>
      </c>
      <c r="C23" s="787"/>
      <c r="E23" s="690" t="s">
        <v>315</v>
      </c>
      <c r="F23" s="676" t="s">
        <v>13</v>
      </c>
      <c r="H23" s="50" t="s">
        <v>237</v>
      </c>
      <c r="I23" s="40"/>
      <c r="J23" s="12"/>
      <c r="K23" s="12"/>
      <c r="L23" s="17"/>
      <c r="M23" s="17"/>
      <c r="N23" s="99" t="s">
        <v>14</v>
      </c>
      <c r="Q23" s="17"/>
      <c r="R23" s="17"/>
      <c r="S23" s="17"/>
    </row>
    <row r="24" spans="2:21" s="1" customFormat="1" ht="15" customHeight="1" x14ac:dyDescent="0.25">
      <c r="B24" s="691" t="s">
        <v>29</v>
      </c>
      <c r="C24" s="787"/>
      <c r="E24" s="692" t="s">
        <v>316</v>
      </c>
      <c r="F24" s="676" t="s">
        <v>392</v>
      </c>
      <c r="G24" s="665"/>
      <c r="H24" s="50" t="s">
        <v>237</v>
      </c>
      <c r="I24" s="40"/>
      <c r="J24" s="12"/>
      <c r="K24" s="12"/>
      <c r="L24" s="693" t="s">
        <v>294</v>
      </c>
      <c r="M24" s="17"/>
      <c r="N24" s="99" t="s">
        <v>50</v>
      </c>
      <c r="Q24" s="17"/>
      <c r="R24" s="17"/>
      <c r="S24" s="17"/>
    </row>
    <row r="25" spans="2:21" s="1" customFormat="1" ht="15" customHeight="1" x14ac:dyDescent="0.25">
      <c r="B25" s="691" t="s">
        <v>285</v>
      </c>
      <c r="C25" s="787"/>
      <c r="E25" s="675" t="s">
        <v>318</v>
      </c>
      <c r="F25" s="676" t="s">
        <v>14</v>
      </c>
      <c r="G25" s="665"/>
      <c r="H25" s="50" t="s">
        <v>299</v>
      </c>
      <c r="I25" s="40"/>
      <c r="J25" s="12"/>
      <c r="K25" s="12"/>
      <c r="L25" s="693" t="s">
        <v>292</v>
      </c>
      <c r="M25" s="17"/>
      <c r="N25" s="17"/>
      <c r="Q25" s="17"/>
      <c r="R25" s="17"/>
      <c r="S25" s="17"/>
    </row>
    <row r="26" spans="2:21" s="1" customFormat="1" ht="15.75" x14ac:dyDescent="0.25">
      <c r="B26" s="691" t="s">
        <v>30</v>
      </c>
      <c r="C26" s="787"/>
      <c r="E26" s="679" t="s">
        <v>319</v>
      </c>
      <c r="F26" s="676" t="s">
        <v>14</v>
      </c>
      <c r="G26" s="665"/>
      <c r="H26" s="50" t="s">
        <v>237</v>
      </c>
      <c r="I26" s="40"/>
      <c r="J26" s="12"/>
      <c r="K26" s="12"/>
      <c r="L26" s="693" t="s">
        <v>295</v>
      </c>
      <c r="M26" s="17"/>
      <c r="N26" s="99" t="s">
        <v>320</v>
      </c>
      <c r="Q26" s="17"/>
      <c r="R26" s="17"/>
      <c r="S26" s="17"/>
    </row>
    <row r="27" spans="2:21" s="1" customFormat="1" ht="15.75" x14ac:dyDescent="0.25">
      <c r="B27" s="691" t="s">
        <v>364</v>
      </c>
      <c r="C27" s="787"/>
      <c r="E27" s="694"/>
      <c r="F27" s="311"/>
      <c r="G27" s="665"/>
      <c r="H27" s="50" t="s">
        <v>237</v>
      </c>
      <c r="I27" s="42"/>
      <c r="J27" s="12"/>
      <c r="K27" s="12"/>
      <c r="L27" s="693" t="s">
        <v>296</v>
      </c>
      <c r="M27" s="17"/>
      <c r="N27" s="99" t="s">
        <v>321</v>
      </c>
      <c r="P27" s="17"/>
      <c r="Q27" s="17"/>
      <c r="R27" s="17"/>
      <c r="S27" s="17"/>
    </row>
    <row r="28" spans="2:21" s="1" customFormat="1" ht="15.75" x14ac:dyDescent="0.25">
      <c r="B28" s="691" t="s">
        <v>363</v>
      </c>
      <c r="C28" s="787"/>
      <c r="E28" s="3"/>
      <c r="F28" s="311"/>
      <c r="G28" s="665"/>
      <c r="I28" s="42"/>
      <c r="J28" s="12"/>
      <c r="K28" s="12"/>
      <c r="L28" s="693" t="s">
        <v>297</v>
      </c>
      <c r="M28" s="17"/>
      <c r="N28" s="99" t="s">
        <v>322</v>
      </c>
      <c r="Q28" s="17"/>
      <c r="R28" s="17"/>
      <c r="S28" s="17"/>
    </row>
    <row r="29" spans="2:21" s="1" customFormat="1" ht="15.75" x14ac:dyDescent="0.25">
      <c r="B29" s="691" t="s">
        <v>362</v>
      </c>
      <c r="C29" s="787"/>
      <c r="E29" s="7"/>
      <c r="F29" s="686"/>
      <c r="G29" s="665"/>
      <c r="J29" s="12"/>
      <c r="K29" s="12"/>
      <c r="L29" s="693" t="s">
        <v>293</v>
      </c>
      <c r="M29" s="17"/>
      <c r="N29" s="99" t="s">
        <v>40</v>
      </c>
      <c r="Q29" s="17"/>
      <c r="R29" s="17"/>
      <c r="S29" s="17"/>
    </row>
    <row r="30" spans="2:21" s="1" customFormat="1" ht="15.75" x14ac:dyDescent="0.25">
      <c r="B30" s="691" t="s">
        <v>360</v>
      </c>
      <c r="C30" s="787"/>
      <c r="E30" s="695" t="s">
        <v>308</v>
      </c>
      <c r="F30" s="696">
        <f>Poeng_tot</f>
        <v>142</v>
      </c>
      <c r="G30" s="665"/>
      <c r="H30" s="2"/>
      <c r="I30" s="42"/>
      <c r="J30" s="12"/>
      <c r="K30" s="12"/>
      <c r="L30" s="693" t="s">
        <v>298</v>
      </c>
      <c r="M30" s="17"/>
      <c r="N30" s="665"/>
      <c r="Q30" s="17"/>
      <c r="R30" s="17"/>
      <c r="S30" s="17"/>
    </row>
    <row r="31" spans="2:21" s="1" customFormat="1" ht="15.75" x14ac:dyDescent="0.25">
      <c r="B31" s="691" t="s">
        <v>361</v>
      </c>
      <c r="C31" s="787"/>
      <c r="E31" s="675" t="s">
        <v>309</v>
      </c>
      <c r="F31" s="696">
        <f>Poeng_bort</f>
        <v>13</v>
      </c>
      <c r="G31" s="665"/>
      <c r="H31" s="2"/>
      <c r="I31" s="42"/>
      <c r="J31" s="12"/>
      <c r="K31" s="12"/>
      <c r="L31" s="17"/>
      <c r="M31" s="17"/>
      <c r="N31" s="99" t="s">
        <v>43</v>
      </c>
      <c r="P31" s="17"/>
      <c r="Q31" s="17"/>
      <c r="R31" s="17"/>
      <c r="S31" s="17"/>
    </row>
    <row r="32" spans="2:21" s="1" customFormat="1" ht="15.75" x14ac:dyDescent="0.25">
      <c r="B32" s="697" t="s">
        <v>394</v>
      </c>
      <c r="C32" s="787"/>
      <c r="E32" s="698" t="s">
        <v>68</v>
      </c>
      <c r="F32" s="696">
        <f>Poeng_tilgj</f>
        <v>129</v>
      </c>
      <c r="G32" s="665"/>
      <c r="H32" s="2"/>
      <c r="I32" s="42"/>
      <c r="J32" s="13"/>
      <c r="K32" s="13"/>
      <c r="L32" s="17"/>
      <c r="M32" s="17"/>
      <c r="N32" s="99" t="s">
        <v>41</v>
      </c>
      <c r="O32" s="17"/>
      <c r="P32" s="17"/>
      <c r="Q32" s="17"/>
      <c r="R32" s="17"/>
      <c r="S32" s="17"/>
    </row>
    <row r="33" spans="2:19" s="1" customFormat="1" ht="15.75" x14ac:dyDescent="0.25">
      <c r="G33" s="665"/>
      <c r="H33" s="9"/>
      <c r="I33" s="40"/>
      <c r="J33" s="13"/>
      <c r="K33" s="13"/>
      <c r="L33" s="101" t="s">
        <v>517</v>
      </c>
      <c r="M33" s="17"/>
      <c r="N33" s="99" t="s">
        <v>42</v>
      </c>
      <c r="O33" s="17"/>
      <c r="P33" s="17"/>
      <c r="Q33" s="17"/>
      <c r="R33" s="17"/>
      <c r="S33" s="17"/>
    </row>
    <row r="34" spans="2:19" s="1" customFormat="1" ht="18.75" x14ac:dyDescent="0.3">
      <c r="B34" s="699" t="s">
        <v>508</v>
      </c>
      <c r="E34" s="699" t="s">
        <v>507</v>
      </c>
      <c r="G34" s="665"/>
      <c r="H34" s="9"/>
      <c r="I34" s="40"/>
      <c r="J34" s="13"/>
      <c r="K34" s="13"/>
      <c r="L34" s="101" t="s">
        <v>301</v>
      </c>
      <c r="M34" s="17"/>
      <c r="N34" s="102"/>
      <c r="O34" s="17"/>
      <c r="P34" s="17"/>
      <c r="Q34" s="17"/>
      <c r="R34" s="17"/>
      <c r="S34" s="17"/>
    </row>
    <row r="35" spans="2:19" s="1" customFormat="1" ht="80.25" customHeight="1" x14ac:dyDescent="0.25">
      <c r="B35" s="891"/>
      <c r="C35" s="892"/>
      <c r="E35" s="891"/>
      <c r="F35" s="892"/>
      <c r="G35" s="665"/>
      <c r="H35" s="97"/>
      <c r="I35" s="12"/>
      <c r="J35" s="12"/>
      <c r="K35" s="12"/>
      <c r="L35" s="17"/>
      <c r="M35" s="16"/>
      <c r="N35" s="665"/>
      <c r="O35" s="16"/>
      <c r="P35" s="16"/>
      <c r="Q35" s="16"/>
      <c r="R35" s="17"/>
      <c r="S35" s="17"/>
    </row>
    <row r="36" spans="2:19" s="1" customFormat="1" ht="15.75" x14ac:dyDescent="0.25">
      <c r="E36" s="97"/>
      <c r="F36" s="97"/>
      <c r="G36" s="665"/>
      <c r="H36" s="97"/>
      <c r="I36" s="12"/>
      <c r="J36" s="12"/>
      <c r="K36" s="12"/>
      <c r="L36" s="17"/>
      <c r="M36" s="16"/>
      <c r="N36" s="665"/>
      <c r="O36" s="16"/>
      <c r="P36" s="16"/>
      <c r="Q36" s="16"/>
      <c r="R36" s="17"/>
      <c r="S36" s="17"/>
    </row>
    <row r="37" spans="2:19" s="1" customFormat="1" ht="15.75" x14ac:dyDescent="0.25">
      <c r="B37" s="665" t="s">
        <v>354</v>
      </c>
      <c r="E37" s="97"/>
      <c r="F37" s="97"/>
      <c r="G37" s="665"/>
      <c r="H37" s="97"/>
      <c r="I37" s="12"/>
      <c r="J37" s="12"/>
      <c r="K37" s="12"/>
      <c r="L37" s="17"/>
      <c r="M37" s="16"/>
      <c r="N37" s="665"/>
      <c r="O37" s="16"/>
      <c r="P37" s="16"/>
      <c r="Q37" s="16"/>
      <c r="R37" s="17"/>
      <c r="S37" s="17"/>
    </row>
    <row r="38" spans="2:19" s="1" customFormat="1" ht="15.75" x14ac:dyDescent="0.25">
      <c r="E38" s="97"/>
      <c r="F38" s="97"/>
      <c r="G38" s="665"/>
      <c r="H38" s="97"/>
      <c r="I38" s="12"/>
      <c r="J38" s="12"/>
      <c r="K38" s="12"/>
      <c r="L38" s="17"/>
      <c r="M38" s="16"/>
      <c r="N38" s="665"/>
      <c r="O38" s="16"/>
      <c r="P38" s="16"/>
      <c r="Q38" s="16"/>
      <c r="R38" s="17"/>
      <c r="S38" s="17"/>
    </row>
    <row r="39" spans="2:19" s="1" customFormat="1" ht="18.75" x14ac:dyDescent="0.3">
      <c r="B39" s="670" t="s">
        <v>52</v>
      </c>
      <c r="C39" s="7"/>
      <c r="D39" s="7"/>
      <c r="E39" s="700"/>
      <c r="F39" s="701"/>
      <c r="G39" s="665"/>
      <c r="I39" s="12"/>
      <c r="J39" s="12"/>
      <c r="K39" s="12"/>
      <c r="L39" s="17"/>
      <c r="M39" s="16"/>
      <c r="O39" s="16"/>
      <c r="P39" s="16"/>
      <c r="Q39" s="16"/>
      <c r="R39" s="17"/>
      <c r="S39" s="17"/>
    </row>
    <row r="40" spans="2:19" s="1" customFormat="1" ht="64.5" customHeight="1" x14ac:dyDescent="0.25">
      <c r="B40" s="890" t="str">
        <f>"I, "&amp;AD_assessor&amp;L33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(SD5075NOR). Furthermore, I confirm that this assessment and the information on which it is based has been checked and verified in accordance with GBA/BRE Global Ltd's UKAS accredited BREEAM-NOR operating procedures for BREEAM-NOR assessments and assessors, as described in the  technical scheme document (SD5075NOR) and associated BREEAM-NOR operational documents.</v>
      </c>
      <c r="C40" s="890"/>
      <c r="D40" s="890"/>
      <c r="E40" s="890"/>
      <c r="F40" s="890"/>
      <c r="G40" s="665"/>
      <c r="I40" s="14"/>
      <c r="J40" s="14"/>
      <c r="K40" s="12"/>
      <c r="L40" s="1" t="s">
        <v>290</v>
      </c>
      <c r="M40" s="2"/>
      <c r="O40" s="16"/>
      <c r="P40" s="16"/>
      <c r="Q40" s="16"/>
      <c r="R40" s="17"/>
      <c r="S40" s="17"/>
    </row>
    <row r="41" spans="2:19" s="1" customFormat="1" ht="32.25" customHeight="1" x14ac:dyDescent="0.25">
      <c r="B41" s="702"/>
      <c r="C41" s="702"/>
      <c r="D41" s="702"/>
      <c r="E41" s="702"/>
      <c r="F41" s="702"/>
      <c r="G41" s="665"/>
      <c r="I41" s="14"/>
      <c r="J41" s="14"/>
      <c r="K41" s="12"/>
      <c r="M41" s="2"/>
      <c r="O41" s="16"/>
      <c r="P41" s="16"/>
      <c r="Q41" s="16"/>
      <c r="R41" s="17"/>
      <c r="S41" s="17"/>
    </row>
    <row r="42" spans="2:19" s="1" customFormat="1" ht="15.75" x14ac:dyDescent="0.25">
      <c r="B42" s="703" t="s">
        <v>355</v>
      </c>
      <c r="C42" s="798"/>
      <c r="D42" s="704"/>
      <c r="E42" s="705"/>
      <c r="F42" s="706"/>
      <c r="G42" s="665"/>
      <c r="H42" s="12"/>
      <c r="I42" s="12"/>
      <c r="J42" s="12"/>
      <c r="K42" s="12"/>
      <c r="L42" s="98" t="s">
        <v>271</v>
      </c>
      <c r="M42" s="51" t="s">
        <v>11</v>
      </c>
      <c r="N42" s="696"/>
      <c r="O42" s="16"/>
      <c r="P42" s="16"/>
      <c r="Q42" s="16"/>
      <c r="R42" s="17"/>
      <c r="S42" s="17"/>
    </row>
    <row r="43" spans="2:19" s="1" customFormat="1" ht="15.75" x14ac:dyDescent="0.25">
      <c r="B43" s="707" t="s">
        <v>9</v>
      </c>
      <c r="C43" s="798"/>
      <c r="D43" s="704"/>
      <c r="E43" s="705"/>
      <c r="F43" s="706"/>
      <c r="G43" s="665"/>
      <c r="H43" s="12"/>
      <c r="I43" s="12"/>
      <c r="J43" s="12"/>
      <c r="K43" s="12"/>
      <c r="L43" s="51" t="s">
        <v>314</v>
      </c>
      <c r="M43" s="696"/>
      <c r="N43" s="665"/>
      <c r="O43" s="41" t="s">
        <v>284</v>
      </c>
      <c r="P43" s="16"/>
      <c r="Q43" s="16"/>
      <c r="R43" s="17"/>
      <c r="S43" s="17"/>
    </row>
    <row r="44" spans="2:19" s="1" customFormat="1" ht="16.5" thickBot="1" x14ac:dyDescent="0.3">
      <c r="B44" s="2"/>
      <c r="C44" s="704"/>
      <c r="D44" s="704"/>
      <c r="E44" s="708"/>
      <c r="F44" s="708"/>
      <c r="G44" s="665"/>
      <c r="H44" s="29"/>
      <c r="I44" s="29"/>
      <c r="J44" s="29"/>
      <c r="K44" s="29"/>
      <c r="M44" s="17"/>
      <c r="N44" s="17"/>
      <c r="O44" s="17"/>
      <c r="P44" s="17"/>
      <c r="Q44" s="17"/>
      <c r="R44" s="17"/>
      <c r="S44" s="17"/>
    </row>
    <row r="45" spans="2:19" s="1" customFormat="1" ht="28.5" customHeight="1" x14ac:dyDescent="0.3">
      <c r="B45" s="670" t="s">
        <v>217</v>
      </c>
      <c r="C45" s="7"/>
      <c r="D45" s="7"/>
      <c r="E45" s="709"/>
      <c r="F45" s="709"/>
      <c r="G45" s="665"/>
      <c r="H45" s="29"/>
      <c r="I45" s="29"/>
      <c r="J45" s="29"/>
      <c r="K45" s="316"/>
      <c r="L45" s="710" t="s">
        <v>328</v>
      </c>
      <c r="M45" s="80">
        <v>1</v>
      </c>
      <c r="N45" s="17"/>
      <c r="O45" s="16"/>
      <c r="P45" s="16"/>
      <c r="Q45" s="16"/>
      <c r="R45" s="17"/>
      <c r="S45" s="17"/>
    </row>
    <row r="46" spans="2:19" s="1" customFormat="1" ht="73.5" customHeight="1" x14ac:dyDescent="0.25">
      <c r="B46" s="888" t="s">
        <v>518</v>
      </c>
      <c r="C46" s="888"/>
      <c r="D46" s="888"/>
      <c r="E46" s="888"/>
      <c r="F46" s="888"/>
      <c r="G46" s="665"/>
      <c r="H46" s="29"/>
      <c r="I46" s="29"/>
      <c r="J46" s="29"/>
      <c r="K46" s="315"/>
      <c r="L46" s="711" t="s">
        <v>329</v>
      </c>
      <c r="M46" s="81">
        <v>2</v>
      </c>
      <c r="N46" s="17"/>
      <c r="O46" s="16"/>
      <c r="P46" s="16"/>
      <c r="Q46" s="16"/>
      <c r="R46" s="17"/>
      <c r="S46" s="17"/>
    </row>
    <row r="47" spans="2:19" s="1" customFormat="1" ht="15.75" x14ac:dyDescent="0.25">
      <c r="D47" s="712"/>
      <c r="E47" s="29"/>
      <c r="F47" s="29"/>
      <c r="G47" s="665"/>
      <c r="H47" s="29"/>
      <c r="I47" s="29"/>
      <c r="J47" s="29"/>
      <c r="K47" s="314"/>
      <c r="L47" s="713" t="s">
        <v>330</v>
      </c>
      <c r="M47" s="81">
        <v>3</v>
      </c>
      <c r="N47" s="665"/>
      <c r="O47" s="17"/>
      <c r="P47" s="17"/>
      <c r="Q47" s="17"/>
      <c r="R47" s="17"/>
      <c r="S47" s="17"/>
    </row>
    <row r="48" spans="2:19" s="1" customFormat="1" ht="19.5" thickBot="1" x14ac:dyDescent="0.35">
      <c r="B48" s="670" t="s">
        <v>8</v>
      </c>
      <c r="C48" s="7"/>
      <c r="D48" s="7"/>
      <c r="E48" s="709"/>
      <c r="F48" s="714"/>
      <c r="G48" s="665"/>
      <c r="H48" s="12"/>
      <c r="I48" s="12"/>
      <c r="J48" s="12"/>
      <c r="K48" s="12"/>
      <c r="L48" s="82" t="s">
        <v>0</v>
      </c>
      <c r="M48" s="83">
        <v>4</v>
      </c>
      <c r="N48" s="17"/>
      <c r="O48" s="17"/>
      <c r="P48" s="17"/>
      <c r="Q48" s="17"/>
      <c r="R48" s="17"/>
      <c r="S48" s="17"/>
    </row>
    <row r="49" spans="2:19" s="1" customFormat="1" ht="15.75" x14ac:dyDescent="0.25">
      <c r="B49" s="889" t="s">
        <v>353</v>
      </c>
      <c r="C49" s="889"/>
      <c r="D49" s="889"/>
      <c r="E49" s="889"/>
      <c r="F49" s="889"/>
      <c r="G49" s="665"/>
      <c r="H49" s="12"/>
      <c r="I49" s="12"/>
      <c r="J49" s="12"/>
      <c r="K49" s="12"/>
      <c r="N49" s="17"/>
      <c r="O49" s="17"/>
      <c r="P49" s="17"/>
      <c r="Q49" s="17"/>
      <c r="R49" s="17"/>
      <c r="S49" s="17"/>
    </row>
    <row r="50" spans="2:19" s="1" customFormat="1" ht="15.75" x14ac:dyDescent="0.25">
      <c r="B50" s="2"/>
      <c r="C50" s="2"/>
      <c r="D50" s="2"/>
      <c r="E50" s="715"/>
      <c r="F50" s="716"/>
      <c r="G50" s="665"/>
      <c r="H50" s="12"/>
      <c r="I50" s="12"/>
      <c r="J50" s="12"/>
      <c r="K50" s="12"/>
      <c r="L50" s="87" t="s">
        <v>54</v>
      </c>
      <c r="N50" s="17"/>
      <c r="O50" s="17"/>
      <c r="P50" s="17"/>
      <c r="Q50" s="17"/>
      <c r="R50" s="17"/>
      <c r="S50" s="17"/>
    </row>
    <row r="51" spans="2:19" s="1" customFormat="1" ht="15.75" x14ac:dyDescent="0.25">
      <c r="B51" s="715" t="s">
        <v>519</v>
      </c>
      <c r="C51" s="2"/>
      <c r="D51" s="2"/>
      <c r="E51" s="715"/>
      <c r="F51" s="716"/>
      <c r="G51" s="665"/>
      <c r="H51" s="12"/>
      <c r="I51" s="12"/>
      <c r="J51" s="12"/>
      <c r="K51" s="12"/>
      <c r="L51" s="77" t="s">
        <v>13</v>
      </c>
      <c r="N51" s="17"/>
      <c r="O51" s="17"/>
      <c r="P51" s="17"/>
      <c r="Q51" s="17"/>
      <c r="R51" s="17"/>
      <c r="S51" s="17"/>
    </row>
    <row r="52" spans="2:19" s="1" customFormat="1" ht="15.75" x14ac:dyDescent="0.25">
      <c r="B52" s="2"/>
      <c r="C52" s="20"/>
      <c r="D52" s="20"/>
      <c r="E52" s="717"/>
      <c r="F52" s="718"/>
      <c r="G52" s="665"/>
      <c r="H52" s="12"/>
      <c r="I52" s="12"/>
      <c r="J52" s="12"/>
      <c r="K52" s="12"/>
      <c r="L52" s="77" t="s">
        <v>14</v>
      </c>
      <c r="N52" s="17"/>
      <c r="O52" s="17"/>
      <c r="P52" s="17"/>
      <c r="Q52" s="17"/>
      <c r="R52" s="17"/>
      <c r="S52" s="17"/>
    </row>
    <row r="53" spans="2:19" s="1" customFormat="1" ht="15.75" x14ac:dyDescent="0.25">
      <c r="F53" s="40"/>
      <c r="G53" s="665"/>
      <c r="H53" s="12"/>
      <c r="I53" s="12"/>
      <c r="J53" s="12"/>
      <c r="K53" s="12"/>
      <c r="L53" s="17" t="s">
        <v>392</v>
      </c>
      <c r="M53" s="17"/>
      <c r="N53" s="17"/>
      <c r="O53" s="17"/>
      <c r="P53" s="17"/>
      <c r="Q53" s="17"/>
      <c r="R53" s="17"/>
      <c r="S53" s="17"/>
    </row>
    <row r="54" spans="2:19" s="1" customFormat="1" ht="15.75" x14ac:dyDescent="0.25">
      <c r="B54" s="719" t="s">
        <v>509</v>
      </c>
      <c r="C54" s="720" t="str">
        <f>TVC_current_version</f>
        <v>1.08</v>
      </c>
      <c r="D54" s="2"/>
      <c r="E54" s="721">
        <f>TVC_current_date</f>
        <v>43782</v>
      </c>
      <c r="F54" s="40"/>
      <c r="G54" s="665"/>
      <c r="H54" s="12"/>
      <c r="I54" s="12"/>
      <c r="J54" s="12"/>
      <c r="K54" s="12"/>
      <c r="L54" s="17"/>
      <c r="M54" s="17"/>
      <c r="N54" s="17"/>
      <c r="O54" s="17"/>
      <c r="P54" s="17"/>
      <c r="Q54" s="17"/>
      <c r="R54" s="17"/>
      <c r="S54" s="17"/>
    </row>
    <row r="55" spans="2:19" s="1" customFormat="1" ht="15.75" x14ac:dyDescent="0.25">
      <c r="B55" s="2"/>
      <c r="C55" s="2"/>
      <c r="D55" s="2"/>
      <c r="E55" s="4"/>
      <c r="F55" s="40"/>
      <c r="G55" s="665"/>
      <c r="H55" s="12"/>
      <c r="I55" s="12"/>
      <c r="J55" s="12"/>
      <c r="K55" s="12"/>
      <c r="L55" s="77" t="s">
        <v>403</v>
      </c>
      <c r="M55" s="17"/>
      <c r="N55" s="17"/>
      <c r="O55" s="17"/>
      <c r="P55" s="17"/>
      <c r="Q55" s="17"/>
      <c r="R55" s="17"/>
      <c r="S55" s="17"/>
    </row>
    <row r="56" spans="2:19" x14ac:dyDescent="0.25">
      <c r="B56" s="722"/>
      <c r="C56" s="38"/>
      <c r="D56" s="722"/>
      <c r="E56" s="722"/>
      <c r="F56" s="722"/>
      <c r="L56" s="436" t="s">
        <v>404</v>
      </c>
      <c r="M56" s="17"/>
      <c r="N56" s="17"/>
      <c r="O56" s="17"/>
      <c r="P56" s="17"/>
      <c r="Q56" s="17"/>
      <c r="R56" s="17"/>
      <c r="S56" s="17"/>
    </row>
    <row r="57" spans="2:19" s="1" customFormat="1" ht="15.75" x14ac:dyDescent="0.25">
      <c r="B57" s="665"/>
      <c r="C57" s="665"/>
      <c r="D57" s="665"/>
      <c r="E57" s="15"/>
      <c r="F57" s="12"/>
      <c r="G57" s="665"/>
      <c r="H57" s="12"/>
      <c r="I57" s="12"/>
      <c r="J57" s="12"/>
      <c r="K57" s="12"/>
      <c r="L57" s="436" t="s">
        <v>13</v>
      </c>
      <c r="M57" s="17"/>
      <c r="N57" s="17"/>
      <c r="O57" s="17"/>
      <c r="P57" s="17"/>
      <c r="Q57" s="17"/>
      <c r="R57" s="17"/>
      <c r="S57" s="17"/>
    </row>
    <row r="58" spans="2:19" s="1" customFormat="1" ht="15.75" x14ac:dyDescent="0.25">
      <c r="B58" s="665"/>
      <c r="C58" s="665"/>
      <c r="D58" s="665"/>
      <c r="E58" s="15"/>
      <c r="F58" s="12"/>
      <c r="G58" s="665"/>
      <c r="H58" s="12"/>
      <c r="I58" s="12"/>
      <c r="J58" s="12"/>
      <c r="K58" s="12"/>
      <c r="L58" s="436" t="s">
        <v>391</v>
      </c>
      <c r="M58" s="17"/>
      <c r="N58" s="17"/>
      <c r="O58" s="17"/>
      <c r="P58" s="17"/>
      <c r="Q58" s="17"/>
      <c r="R58" s="17"/>
      <c r="S58" s="17"/>
    </row>
    <row r="59" spans="2:19" s="1" customFormat="1" ht="15.75" x14ac:dyDescent="0.25">
      <c r="C59" s="34"/>
      <c r="E59" s="665"/>
      <c r="F59" s="665"/>
      <c r="G59" s="665"/>
      <c r="H59" s="665"/>
      <c r="I59" s="665"/>
      <c r="J59" s="665"/>
      <c r="K59" s="665"/>
      <c r="L59" s="436" t="s">
        <v>392</v>
      </c>
      <c r="M59" s="100"/>
      <c r="N59" s="17"/>
      <c r="O59" s="17"/>
      <c r="P59" s="17"/>
      <c r="Q59" s="17"/>
      <c r="R59" s="17"/>
      <c r="S59" s="17"/>
    </row>
    <row r="60" spans="2:19" s="1" customFormat="1" ht="15.75" x14ac:dyDescent="0.25">
      <c r="B60" s="39"/>
      <c r="C60" s="35" t="s">
        <v>9</v>
      </c>
      <c r="E60" s="15"/>
      <c r="F60" s="12"/>
      <c r="G60" s="665"/>
      <c r="H60" s="12"/>
      <c r="I60" s="12"/>
      <c r="J60" s="12"/>
      <c r="K60" s="12"/>
      <c r="L60" s="17"/>
      <c r="M60" s="100"/>
      <c r="N60" s="17"/>
      <c r="O60" s="17"/>
      <c r="P60" s="17"/>
      <c r="Q60" s="17"/>
      <c r="R60" s="17"/>
      <c r="S60" s="17"/>
    </row>
    <row r="61" spans="2:19" s="1" customFormat="1" ht="15.75" x14ac:dyDescent="0.25">
      <c r="C61" s="723"/>
      <c r="E61" s="15"/>
      <c r="F61" s="12"/>
      <c r="G61" s="665"/>
      <c r="H61" s="12"/>
      <c r="I61" s="12"/>
      <c r="J61" s="12"/>
      <c r="K61" s="12"/>
      <c r="L61" s="17"/>
      <c r="M61" s="100"/>
      <c r="N61" s="17"/>
      <c r="O61" s="17"/>
      <c r="P61" s="17"/>
      <c r="Q61" s="17"/>
      <c r="R61" s="17"/>
      <c r="S61" s="17"/>
    </row>
    <row r="62" spans="2:19" s="1" customFormat="1" ht="15.75" x14ac:dyDescent="0.25">
      <c r="E62" s="15"/>
      <c r="F62" s="12"/>
      <c r="G62" s="665"/>
      <c r="H62" s="12"/>
      <c r="I62" s="12"/>
      <c r="J62" s="12"/>
      <c r="K62" s="12"/>
      <c r="L62" s="17"/>
      <c r="M62" s="17"/>
      <c r="N62" s="17"/>
      <c r="O62" s="17"/>
      <c r="P62" s="17"/>
      <c r="Q62" s="17"/>
      <c r="R62" s="17"/>
      <c r="S62" s="17"/>
    </row>
    <row r="63" spans="2:19" s="1" customFormat="1" ht="15.75" x14ac:dyDescent="0.25">
      <c r="B63" s="23"/>
      <c r="C63" s="36"/>
      <c r="E63" s="30"/>
      <c r="F63" s="30"/>
      <c r="G63" s="665"/>
      <c r="H63" s="30"/>
      <c r="I63" s="30"/>
      <c r="J63" s="30"/>
      <c r="K63" s="30"/>
      <c r="L63" s="17"/>
      <c r="M63" s="17"/>
      <c r="N63" s="17"/>
      <c r="O63" s="17"/>
      <c r="P63" s="17"/>
      <c r="Q63" s="17"/>
      <c r="R63" s="17"/>
      <c r="S63" s="17"/>
    </row>
    <row r="64" spans="2:19" s="1" customFormat="1" ht="15" customHeight="1" x14ac:dyDescent="0.25">
      <c r="B64" s="10"/>
      <c r="C64" s="37"/>
      <c r="E64" s="26"/>
      <c r="F64" s="14"/>
      <c r="G64" s="665"/>
      <c r="H64" s="14"/>
      <c r="I64" s="14"/>
      <c r="J64" s="14"/>
      <c r="K64" s="14"/>
      <c r="L64" s="52" t="s">
        <v>317</v>
      </c>
      <c r="M64" s="676" t="s">
        <v>298</v>
      </c>
      <c r="N64" s="17"/>
      <c r="O64" s="17"/>
      <c r="P64" s="17"/>
      <c r="Q64" s="17"/>
      <c r="R64" s="665"/>
      <c r="S64" s="665"/>
    </row>
    <row r="65" spans="2:19" s="1" customFormat="1" ht="15.75" x14ac:dyDescent="0.25">
      <c r="B65" s="11"/>
      <c r="C65" s="37"/>
      <c r="E65" s="26"/>
      <c r="F65" s="14"/>
      <c r="G65" s="665"/>
      <c r="H65" s="14"/>
      <c r="I65" s="14"/>
      <c r="J65" s="14"/>
      <c r="K65" s="14"/>
      <c r="L65" s="665"/>
      <c r="M65" s="665"/>
      <c r="N65" s="665"/>
      <c r="O65" s="665"/>
      <c r="P65" s="665"/>
      <c r="Q65" s="665"/>
      <c r="R65" s="665"/>
      <c r="S65" s="665"/>
    </row>
    <row r="66" spans="2:19" s="1" customFormat="1" ht="15.75" x14ac:dyDescent="0.25">
      <c r="B66" s="22"/>
      <c r="C66" s="36"/>
      <c r="E66" s="15"/>
      <c r="F66" s="12"/>
      <c r="G66" s="665"/>
      <c r="H66" s="12"/>
      <c r="I66" s="12"/>
      <c r="J66" s="12"/>
      <c r="K66" s="12"/>
      <c r="L66" s="665"/>
      <c r="M66" s="665"/>
      <c r="N66" s="665"/>
      <c r="O66" s="665"/>
      <c r="P66" s="665"/>
      <c r="Q66" s="665"/>
      <c r="R66" s="665"/>
      <c r="S66" s="665"/>
    </row>
    <row r="67" spans="2:19" s="1" customFormat="1" ht="15.75" x14ac:dyDescent="0.25">
      <c r="B67" s="10"/>
      <c r="C67" s="37"/>
      <c r="E67" s="15"/>
      <c r="F67" s="12"/>
      <c r="G67" s="665"/>
      <c r="H67" s="12"/>
      <c r="I67" s="12"/>
      <c r="J67" s="12"/>
      <c r="K67" s="12"/>
      <c r="L67" s="665"/>
      <c r="N67" s="665"/>
      <c r="O67" s="665"/>
      <c r="P67" s="665"/>
      <c r="Q67" s="665"/>
      <c r="R67" s="665"/>
      <c r="S67" s="665"/>
    </row>
    <row r="68" spans="2:19" s="1" customFormat="1" ht="15.75" x14ac:dyDescent="0.25">
      <c r="B68" s="5"/>
      <c r="C68" s="38"/>
      <c r="E68" s="15"/>
      <c r="F68" s="12"/>
      <c r="G68" s="665"/>
      <c r="H68" s="12"/>
      <c r="I68" s="12"/>
      <c r="J68" s="12"/>
      <c r="K68" s="12"/>
      <c r="L68" s="665"/>
      <c r="M68" s="17"/>
      <c r="N68" s="665"/>
      <c r="O68" s="665"/>
      <c r="P68" s="665"/>
      <c r="Q68" s="665"/>
      <c r="R68" s="665"/>
      <c r="S68" s="665"/>
    </row>
    <row r="69" spans="2:19" s="1" customFormat="1" ht="15.75" x14ac:dyDescent="0.25">
      <c r="B69" s="2"/>
      <c r="C69" s="38"/>
      <c r="E69" s="15"/>
      <c r="F69" s="12"/>
      <c r="G69" s="665"/>
      <c r="H69" s="12"/>
      <c r="I69" s="12"/>
      <c r="J69" s="12"/>
      <c r="K69" s="12"/>
      <c r="L69" s="665"/>
      <c r="M69" s="665"/>
      <c r="N69" s="665"/>
      <c r="O69" s="665"/>
      <c r="P69" s="665"/>
      <c r="Q69" s="665"/>
      <c r="R69" s="665"/>
      <c r="S69" s="665"/>
    </row>
    <row r="70" spans="2:19" s="1" customFormat="1" x14ac:dyDescent="0.25">
      <c r="B70" s="2"/>
      <c r="C70" s="38"/>
      <c r="E70" s="2"/>
      <c r="G70" s="665"/>
      <c r="L70" s="665"/>
      <c r="M70" s="665"/>
      <c r="N70" s="665"/>
      <c r="O70" s="665"/>
      <c r="P70" s="665"/>
      <c r="Q70" s="665"/>
      <c r="R70" s="665"/>
      <c r="S70" s="665"/>
    </row>
    <row r="71" spans="2:19" s="1" customFormat="1" x14ac:dyDescent="0.25">
      <c r="C71" s="18"/>
      <c r="E71" s="2"/>
      <c r="G71" s="665"/>
      <c r="L71" s="665"/>
      <c r="M71" s="665"/>
      <c r="N71" s="665"/>
      <c r="O71" s="665"/>
      <c r="P71" s="665"/>
      <c r="Q71" s="665"/>
      <c r="R71" s="665"/>
      <c r="S71" s="665"/>
    </row>
    <row r="72" spans="2:19" s="1" customFormat="1" x14ac:dyDescent="0.25">
      <c r="C72" s="18"/>
      <c r="E72" s="2"/>
      <c r="G72" s="665"/>
      <c r="L72" s="665"/>
      <c r="M72" s="665"/>
      <c r="N72" s="665"/>
      <c r="O72" s="665"/>
      <c r="P72" s="665"/>
      <c r="Q72" s="665"/>
      <c r="R72" s="665"/>
      <c r="S72" s="665"/>
    </row>
    <row r="73" spans="2:19" s="1" customFormat="1" x14ac:dyDescent="0.25">
      <c r="E73" s="2"/>
      <c r="G73" s="665"/>
      <c r="L73" s="665"/>
      <c r="M73" s="665"/>
      <c r="N73" s="665"/>
      <c r="O73" s="665"/>
      <c r="P73" s="665"/>
      <c r="Q73" s="665"/>
      <c r="R73" s="665"/>
      <c r="S73" s="665"/>
    </row>
    <row r="74" spans="2:19" s="1" customFormat="1" x14ac:dyDescent="0.25">
      <c r="C74" s="18"/>
      <c r="E74" s="2"/>
      <c r="G74" s="665"/>
      <c r="L74" s="665"/>
      <c r="M74" s="665"/>
      <c r="N74" s="665"/>
      <c r="O74" s="665"/>
      <c r="P74" s="665"/>
      <c r="Q74" s="665"/>
      <c r="R74" s="665"/>
      <c r="S74" s="665"/>
    </row>
    <row r="75" spans="2:19" s="1" customFormat="1" x14ac:dyDescent="0.25">
      <c r="C75" s="18"/>
      <c r="E75" s="2"/>
      <c r="G75" s="665"/>
      <c r="L75" s="665"/>
      <c r="M75" s="665"/>
      <c r="N75" s="665"/>
      <c r="O75" s="665"/>
      <c r="P75" s="665"/>
      <c r="Q75" s="665"/>
      <c r="R75" s="665"/>
      <c r="S75" s="665"/>
    </row>
    <row r="76" spans="2:19" s="1" customFormat="1" x14ac:dyDescent="0.25">
      <c r="C76" s="18"/>
      <c r="G76" s="665"/>
      <c r="L76" s="665"/>
      <c r="M76" s="665"/>
      <c r="N76" s="665"/>
      <c r="O76" s="665"/>
      <c r="P76" s="665"/>
      <c r="Q76" s="665"/>
      <c r="R76" s="665"/>
      <c r="S76" s="665"/>
    </row>
    <row r="77" spans="2:19" s="1" customFormat="1" x14ac:dyDescent="0.25">
      <c r="C77" s="18"/>
      <c r="G77" s="665"/>
      <c r="H77" s="2"/>
      <c r="L77" s="665"/>
      <c r="M77" s="665"/>
      <c r="N77" s="665"/>
      <c r="O77" s="665"/>
      <c r="P77" s="665"/>
      <c r="Q77" s="665"/>
      <c r="R77" s="665"/>
      <c r="S77" s="665"/>
    </row>
    <row r="78" spans="2:19" s="1" customFormat="1" x14ac:dyDescent="0.25">
      <c r="C78" s="18"/>
      <c r="E78" s="2"/>
      <c r="G78" s="665"/>
      <c r="L78" s="665"/>
      <c r="M78" s="665"/>
      <c r="N78" s="665"/>
      <c r="O78" s="665"/>
      <c r="P78" s="665"/>
      <c r="Q78" s="665"/>
      <c r="R78" s="665"/>
      <c r="S78" s="665"/>
    </row>
    <row r="79" spans="2:19" s="1" customFormat="1" x14ac:dyDescent="0.25">
      <c r="C79" s="18"/>
      <c r="E79" s="2"/>
      <c r="G79" s="665"/>
      <c r="L79" s="665"/>
      <c r="M79" s="665"/>
      <c r="N79" s="665"/>
      <c r="O79" s="665"/>
      <c r="P79" s="665"/>
      <c r="Q79" s="665"/>
      <c r="R79" s="665"/>
      <c r="S79" s="665"/>
    </row>
    <row r="80" spans="2:19" s="1" customFormat="1" x14ac:dyDescent="0.25">
      <c r="C80" s="18"/>
      <c r="E80" s="2"/>
      <c r="G80" s="665"/>
      <c r="L80" s="665"/>
      <c r="M80" s="665"/>
      <c r="N80" s="665"/>
      <c r="O80" s="665"/>
      <c r="P80" s="665"/>
      <c r="Q80" s="665"/>
      <c r="R80" s="665"/>
      <c r="S80" s="665"/>
    </row>
    <row r="81" spans="3:19" s="1" customFormat="1" x14ac:dyDescent="0.25">
      <c r="C81" s="18"/>
      <c r="E81" s="2"/>
      <c r="G81" s="665"/>
      <c r="L81" s="665"/>
      <c r="M81" s="665"/>
      <c r="N81" s="665"/>
      <c r="O81" s="665"/>
      <c r="P81" s="665"/>
      <c r="Q81" s="665"/>
      <c r="R81" s="665"/>
      <c r="S81" s="665"/>
    </row>
    <row r="82" spans="3:19" s="1" customFormat="1" x14ac:dyDescent="0.25">
      <c r="C82" s="18"/>
      <c r="E82" s="2"/>
      <c r="G82" s="665"/>
      <c r="L82" s="665"/>
      <c r="M82" s="665"/>
      <c r="N82" s="665"/>
      <c r="O82" s="665"/>
      <c r="P82" s="665"/>
      <c r="Q82" s="665"/>
      <c r="R82" s="665"/>
      <c r="S82" s="665"/>
    </row>
    <row r="83" spans="3:19" s="1" customFormat="1" x14ac:dyDescent="0.25">
      <c r="C83" s="18"/>
      <c r="E83" s="2"/>
      <c r="G83" s="665"/>
      <c r="L83" s="665"/>
      <c r="M83" s="665"/>
      <c r="N83" s="665"/>
      <c r="O83" s="665"/>
      <c r="P83" s="665"/>
      <c r="Q83" s="665"/>
      <c r="R83" s="665"/>
      <c r="S83" s="665"/>
    </row>
    <row r="84" spans="3:19" s="1" customFormat="1" x14ac:dyDescent="0.25">
      <c r="E84" s="2"/>
      <c r="G84" s="665"/>
      <c r="L84" s="665"/>
      <c r="M84" s="665"/>
      <c r="N84" s="665"/>
      <c r="O84" s="665"/>
      <c r="P84" s="665"/>
      <c r="Q84" s="665"/>
      <c r="R84" s="665"/>
      <c r="S84" s="665"/>
    </row>
    <row r="85" spans="3:19" s="1" customFormat="1" x14ac:dyDescent="0.25">
      <c r="E85" s="2"/>
      <c r="G85" s="665"/>
      <c r="L85" s="665"/>
      <c r="M85" s="665"/>
      <c r="N85" s="665"/>
      <c r="O85" s="665"/>
      <c r="P85" s="665"/>
      <c r="Q85" s="665"/>
      <c r="R85" s="665"/>
      <c r="S85" s="665"/>
    </row>
    <row r="86" spans="3:19" s="1" customFormat="1" x14ac:dyDescent="0.25">
      <c r="E86" s="2"/>
      <c r="G86" s="665"/>
      <c r="L86" s="665"/>
      <c r="M86" s="665"/>
      <c r="N86" s="665"/>
      <c r="O86" s="665"/>
      <c r="P86" s="665"/>
      <c r="Q86" s="665"/>
      <c r="R86" s="665"/>
      <c r="S86" s="665"/>
    </row>
    <row r="87" spans="3:19" s="1" customFormat="1" x14ac:dyDescent="0.25">
      <c r="E87" s="2"/>
      <c r="G87" s="665"/>
      <c r="L87" s="665"/>
      <c r="M87" s="665"/>
      <c r="N87" s="665"/>
      <c r="O87" s="665"/>
      <c r="P87" s="665"/>
      <c r="Q87" s="665"/>
      <c r="R87" s="665"/>
      <c r="S87" s="665"/>
    </row>
    <row r="88" spans="3:19" s="1" customFormat="1" x14ac:dyDescent="0.25">
      <c r="E88" s="2"/>
      <c r="G88" s="665"/>
      <c r="L88" s="665"/>
      <c r="M88" s="665"/>
      <c r="N88" s="665"/>
      <c r="O88" s="665"/>
      <c r="P88" s="665"/>
      <c r="Q88" s="665"/>
      <c r="R88" s="665"/>
      <c r="S88" s="665"/>
    </row>
    <row r="89" spans="3:19" s="1" customFormat="1" x14ac:dyDescent="0.25">
      <c r="E89" s="2"/>
      <c r="G89" s="665"/>
      <c r="L89" s="665"/>
      <c r="M89" s="665"/>
      <c r="N89" s="665"/>
      <c r="O89" s="665"/>
      <c r="P89" s="665"/>
      <c r="Q89" s="665"/>
      <c r="R89" s="665"/>
      <c r="S89" s="665"/>
    </row>
    <row r="90" spans="3:19" s="1" customFormat="1" x14ac:dyDescent="0.25">
      <c r="E90" s="2"/>
      <c r="G90" s="665"/>
      <c r="L90" s="665"/>
      <c r="M90" s="665"/>
      <c r="N90" s="665"/>
      <c r="O90" s="665"/>
      <c r="P90" s="665"/>
      <c r="Q90" s="665"/>
      <c r="R90" s="665"/>
      <c r="S90" s="665"/>
    </row>
    <row r="91" spans="3:19" s="1" customFormat="1" x14ac:dyDescent="0.25">
      <c r="E91" s="2"/>
      <c r="G91" s="665"/>
      <c r="L91" s="665"/>
      <c r="M91" s="665"/>
      <c r="N91" s="665"/>
      <c r="O91" s="665"/>
      <c r="P91" s="665"/>
      <c r="Q91" s="665"/>
      <c r="R91" s="665"/>
      <c r="S91" s="665"/>
    </row>
    <row r="92" spans="3:19" s="1" customFormat="1" x14ac:dyDescent="0.25">
      <c r="E92" s="2"/>
      <c r="G92" s="665"/>
      <c r="L92" s="665"/>
      <c r="M92" s="665"/>
      <c r="N92" s="665"/>
      <c r="O92" s="665"/>
      <c r="P92" s="665"/>
      <c r="Q92" s="665"/>
      <c r="R92" s="665"/>
      <c r="S92" s="665"/>
    </row>
    <row r="93" spans="3:19" s="1" customFormat="1" x14ac:dyDescent="0.25">
      <c r="E93" s="2"/>
      <c r="G93" s="665"/>
      <c r="L93" s="665"/>
      <c r="M93" s="665"/>
      <c r="N93" s="665"/>
      <c r="O93" s="665"/>
      <c r="P93" s="665"/>
      <c r="Q93" s="665"/>
      <c r="R93" s="665"/>
      <c r="S93" s="665"/>
    </row>
    <row r="94" spans="3:19" s="1" customFormat="1" x14ac:dyDescent="0.25">
      <c r="E94" s="2"/>
      <c r="G94" s="665"/>
      <c r="L94" s="665"/>
      <c r="M94" s="665"/>
      <c r="N94" s="665"/>
      <c r="O94" s="665"/>
      <c r="P94" s="665"/>
      <c r="Q94" s="665"/>
      <c r="R94" s="665"/>
      <c r="S94" s="665"/>
    </row>
    <row r="95" spans="3:19" s="1" customFormat="1" x14ac:dyDescent="0.25">
      <c r="E95" s="2"/>
      <c r="G95" s="665"/>
      <c r="L95" s="665"/>
      <c r="M95" s="665"/>
      <c r="N95" s="665"/>
      <c r="O95" s="665"/>
      <c r="P95" s="665"/>
      <c r="Q95" s="665"/>
      <c r="R95" s="665"/>
      <c r="S95" s="665"/>
    </row>
    <row r="96" spans="3:19" s="1" customFormat="1" x14ac:dyDescent="0.25">
      <c r="E96" s="2"/>
      <c r="G96" s="665"/>
      <c r="L96" s="665"/>
      <c r="M96" s="665"/>
      <c r="N96" s="665"/>
      <c r="O96" s="665"/>
      <c r="P96" s="665"/>
      <c r="Q96" s="665"/>
      <c r="R96" s="665"/>
      <c r="S96" s="665"/>
    </row>
    <row r="97" spans="5:19" s="1" customFormat="1" x14ac:dyDescent="0.25">
      <c r="E97" s="2"/>
      <c r="G97" s="665"/>
      <c r="L97" s="665"/>
      <c r="M97" s="665"/>
      <c r="N97" s="665"/>
      <c r="O97" s="665"/>
      <c r="P97" s="665"/>
      <c r="Q97" s="665"/>
      <c r="R97" s="665"/>
      <c r="S97" s="665"/>
    </row>
    <row r="98" spans="5:19" s="1" customFormat="1" x14ac:dyDescent="0.25">
      <c r="E98" s="2"/>
      <c r="G98" s="665"/>
      <c r="L98" s="665"/>
      <c r="M98" s="665"/>
      <c r="N98" s="665"/>
      <c r="O98" s="665"/>
      <c r="P98" s="665"/>
      <c r="Q98" s="665"/>
      <c r="R98" s="665"/>
      <c r="S98" s="665"/>
    </row>
    <row r="99" spans="5:19" s="1" customFormat="1" x14ac:dyDescent="0.25">
      <c r="E99" s="2"/>
      <c r="G99" s="665"/>
      <c r="L99" s="665"/>
      <c r="M99" s="665"/>
      <c r="N99" s="665"/>
      <c r="O99" s="665"/>
      <c r="P99" s="665"/>
      <c r="Q99" s="665"/>
      <c r="R99" s="665"/>
      <c r="S99" s="665"/>
    </row>
    <row r="100" spans="5:19" s="1" customFormat="1" x14ac:dyDescent="0.25">
      <c r="E100" s="2"/>
      <c r="G100" s="665"/>
      <c r="L100" s="665"/>
      <c r="M100" s="665"/>
      <c r="N100" s="665"/>
      <c r="O100" s="665"/>
      <c r="P100" s="665"/>
      <c r="Q100" s="665"/>
      <c r="R100" s="665"/>
      <c r="S100" s="665"/>
    </row>
    <row r="101" spans="5:19" s="1" customFormat="1" x14ac:dyDescent="0.25">
      <c r="E101" s="2"/>
      <c r="G101" s="665"/>
      <c r="L101" s="665"/>
      <c r="M101" s="665"/>
      <c r="N101" s="665"/>
      <c r="O101" s="665"/>
      <c r="P101" s="665"/>
      <c r="Q101" s="665"/>
      <c r="R101" s="665"/>
      <c r="S101" s="665"/>
    </row>
    <row r="102" spans="5:19" s="1" customFormat="1" x14ac:dyDescent="0.25">
      <c r="E102" s="2"/>
      <c r="G102" s="665"/>
      <c r="L102" s="665"/>
      <c r="M102" s="665"/>
      <c r="N102" s="665"/>
      <c r="O102" s="665"/>
      <c r="P102" s="665"/>
      <c r="Q102" s="665"/>
      <c r="R102" s="665"/>
      <c r="S102" s="665"/>
    </row>
    <row r="103" spans="5:19" s="1" customFormat="1" x14ac:dyDescent="0.25">
      <c r="E103" s="2"/>
      <c r="G103" s="665"/>
      <c r="L103" s="665"/>
      <c r="M103" s="665"/>
      <c r="N103" s="665"/>
      <c r="O103" s="665"/>
      <c r="P103" s="665"/>
      <c r="Q103" s="665"/>
      <c r="R103" s="665"/>
      <c r="S103" s="665"/>
    </row>
    <row r="104" spans="5:19" s="1" customFormat="1" x14ac:dyDescent="0.25">
      <c r="E104" s="2"/>
      <c r="G104" s="665"/>
      <c r="L104" s="665"/>
      <c r="M104" s="665"/>
      <c r="N104" s="665"/>
      <c r="O104" s="665"/>
      <c r="P104" s="665"/>
      <c r="Q104" s="665"/>
      <c r="R104" s="665"/>
      <c r="S104" s="665"/>
    </row>
    <row r="105" spans="5:19" s="1" customFormat="1" x14ac:dyDescent="0.25">
      <c r="E105" s="2"/>
      <c r="G105" s="665"/>
      <c r="L105" s="665"/>
      <c r="M105" s="665"/>
      <c r="N105" s="665"/>
      <c r="O105" s="665"/>
      <c r="P105" s="665"/>
      <c r="Q105" s="665"/>
      <c r="R105" s="665"/>
      <c r="S105" s="665"/>
    </row>
    <row r="106" spans="5:19" s="1" customFormat="1" x14ac:dyDescent="0.25">
      <c r="E106" s="2"/>
      <c r="G106" s="665"/>
      <c r="L106" s="665"/>
      <c r="M106" s="665"/>
      <c r="N106" s="665"/>
      <c r="O106" s="665"/>
      <c r="P106" s="665"/>
      <c r="Q106" s="665"/>
      <c r="R106" s="665"/>
      <c r="S106" s="665"/>
    </row>
    <row r="107" spans="5:19" s="1" customFormat="1" x14ac:dyDescent="0.25">
      <c r="E107" s="2"/>
      <c r="G107" s="665"/>
      <c r="L107" s="665"/>
      <c r="M107" s="665"/>
      <c r="N107" s="665"/>
      <c r="O107" s="665"/>
      <c r="P107" s="665"/>
      <c r="Q107" s="665"/>
      <c r="R107" s="665"/>
      <c r="S107" s="665"/>
    </row>
    <row r="108" spans="5:19" s="1" customFormat="1" x14ac:dyDescent="0.25">
      <c r="E108" s="2"/>
      <c r="G108" s="665"/>
      <c r="L108" s="665"/>
      <c r="M108" s="665"/>
      <c r="N108" s="665"/>
      <c r="O108" s="665"/>
      <c r="P108" s="665"/>
      <c r="Q108" s="665"/>
      <c r="R108" s="665"/>
      <c r="S108" s="665"/>
    </row>
    <row r="109" spans="5:19" s="1" customFormat="1" x14ac:dyDescent="0.25">
      <c r="E109" s="2"/>
      <c r="G109" s="665"/>
      <c r="L109" s="665"/>
      <c r="M109" s="665"/>
      <c r="N109" s="665"/>
      <c r="O109" s="665"/>
      <c r="P109" s="665"/>
      <c r="Q109" s="665"/>
      <c r="R109" s="665"/>
      <c r="S109" s="665"/>
    </row>
    <row r="110" spans="5:19" s="1" customFormat="1" x14ac:dyDescent="0.25">
      <c r="E110" s="2"/>
      <c r="G110" s="665"/>
      <c r="L110" s="665"/>
      <c r="M110" s="665"/>
      <c r="N110" s="665"/>
      <c r="O110" s="665"/>
      <c r="P110" s="665"/>
      <c r="Q110" s="665"/>
      <c r="R110" s="665"/>
      <c r="S110" s="665"/>
    </row>
    <row r="111" spans="5:19" s="1" customFormat="1" x14ac:dyDescent="0.25">
      <c r="E111" s="2"/>
      <c r="G111" s="665"/>
      <c r="L111" s="665"/>
      <c r="M111" s="665"/>
      <c r="N111" s="665"/>
      <c r="O111" s="665"/>
      <c r="P111" s="665"/>
      <c r="Q111" s="665"/>
      <c r="R111" s="665"/>
      <c r="S111" s="665"/>
    </row>
    <row r="112" spans="5:19" s="1" customFormat="1" x14ac:dyDescent="0.25">
      <c r="E112" s="2"/>
      <c r="G112" s="665"/>
      <c r="L112" s="665"/>
      <c r="M112" s="665"/>
      <c r="N112" s="665"/>
      <c r="O112" s="665"/>
      <c r="P112" s="665"/>
      <c r="Q112" s="665"/>
      <c r="R112" s="665"/>
      <c r="S112" s="665"/>
    </row>
    <row r="113" spans="5:19" s="1" customFormat="1" x14ac:dyDescent="0.25">
      <c r="E113" s="2"/>
      <c r="G113" s="665"/>
      <c r="L113" s="665"/>
      <c r="M113" s="665"/>
      <c r="N113" s="665"/>
      <c r="O113" s="665"/>
      <c r="P113" s="665"/>
      <c r="Q113" s="665"/>
      <c r="R113" s="665"/>
      <c r="S113" s="665"/>
    </row>
    <row r="114" spans="5:19" s="1" customFormat="1" x14ac:dyDescent="0.25">
      <c r="E114" s="2"/>
      <c r="G114" s="665"/>
      <c r="L114" s="665"/>
      <c r="M114" s="665"/>
      <c r="N114" s="665"/>
      <c r="O114" s="665"/>
      <c r="P114" s="665"/>
      <c r="Q114" s="665"/>
      <c r="R114" s="665"/>
      <c r="S114" s="665"/>
    </row>
    <row r="115" spans="5:19" s="1" customFormat="1" x14ac:dyDescent="0.25">
      <c r="E115" s="2"/>
      <c r="G115" s="665"/>
      <c r="L115" s="665"/>
      <c r="M115" s="665"/>
      <c r="N115" s="665"/>
      <c r="O115" s="665"/>
      <c r="P115" s="665"/>
      <c r="Q115" s="665"/>
      <c r="R115" s="665"/>
      <c r="S115" s="665"/>
    </row>
    <row r="116" spans="5:19" s="1" customFormat="1" x14ac:dyDescent="0.25">
      <c r="E116" s="2"/>
      <c r="G116" s="665"/>
      <c r="L116" s="665"/>
      <c r="M116" s="665"/>
      <c r="N116" s="665"/>
      <c r="O116" s="665"/>
      <c r="P116" s="665"/>
      <c r="Q116" s="665"/>
      <c r="R116" s="665"/>
      <c r="S116" s="665"/>
    </row>
    <row r="117" spans="5:19" s="1" customFormat="1" x14ac:dyDescent="0.25">
      <c r="E117" s="2"/>
      <c r="G117" s="665"/>
      <c r="L117" s="665"/>
      <c r="M117" s="665"/>
      <c r="N117" s="665"/>
      <c r="O117" s="665"/>
      <c r="P117" s="665"/>
      <c r="Q117" s="665"/>
      <c r="R117" s="665"/>
      <c r="S117" s="665"/>
    </row>
    <row r="118" spans="5:19" s="1" customFormat="1" x14ac:dyDescent="0.25">
      <c r="E118" s="2"/>
      <c r="G118" s="665"/>
      <c r="L118" s="665"/>
      <c r="M118" s="665"/>
      <c r="N118" s="665"/>
      <c r="O118" s="665"/>
      <c r="P118" s="665"/>
      <c r="Q118" s="665"/>
      <c r="R118" s="665"/>
      <c r="S118" s="665"/>
    </row>
    <row r="119" spans="5:19" s="1" customFormat="1" x14ac:dyDescent="0.25">
      <c r="E119" s="2"/>
      <c r="G119" s="665"/>
      <c r="L119" s="665"/>
      <c r="M119" s="665"/>
      <c r="N119" s="665"/>
      <c r="O119" s="665"/>
      <c r="P119" s="665"/>
      <c r="Q119" s="665"/>
      <c r="R119" s="665"/>
      <c r="S119" s="665"/>
    </row>
    <row r="120" spans="5:19" s="1" customFormat="1" x14ac:dyDescent="0.25">
      <c r="E120" s="2"/>
      <c r="G120" s="665"/>
      <c r="L120" s="665"/>
      <c r="M120" s="665"/>
      <c r="N120" s="665"/>
      <c r="O120" s="665"/>
      <c r="P120" s="665"/>
      <c r="Q120" s="665"/>
      <c r="R120" s="665"/>
      <c r="S120" s="665"/>
    </row>
    <row r="121" spans="5:19" s="1" customFormat="1" x14ac:dyDescent="0.25">
      <c r="E121" s="2"/>
      <c r="G121" s="665"/>
      <c r="L121" s="665"/>
      <c r="M121" s="665"/>
      <c r="N121" s="665"/>
      <c r="O121" s="665"/>
      <c r="P121" s="665"/>
      <c r="Q121" s="665"/>
      <c r="R121" s="665"/>
      <c r="S121" s="665"/>
    </row>
    <row r="122" spans="5:19" s="1" customFormat="1" x14ac:dyDescent="0.25">
      <c r="E122" s="2"/>
      <c r="G122" s="665"/>
      <c r="L122" s="665"/>
      <c r="M122" s="665"/>
      <c r="N122" s="665"/>
      <c r="O122" s="665"/>
      <c r="P122" s="665"/>
      <c r="Q122" s="665"/>
      <c r="R122" s="665"/>
      <c r="S122" s="665"/>
    </row>
    <row r="123" spans="5:19" s="1" customFormat="1" x14ac:dyDescent="0.25">
      <c r="E123" s="2"/>
      <c r="G123" s="665"/>
      <c r="L123" s="665"/>
      <c r="M123" s="665"/>
      <c r="N123" s="665"/>
      <c r="O123" s="665"/>
      <c r="P123" s="665"/>
      <c r="Q123" s="665"/>
      <c r="R123" s="665"/>
      <c r="S123" s="665"/>
    </row>
    <row r="124" spans="5:19" s="1" customFormat="1" x14ac:dyDescent="0.25">
      <c r="E124" s="2"/>
      <c r="G124" s="665"/>
      <c r="L124" s="665"/>
      <c r="M124" s="665"/>
      <c r="N124" s="665"/>
      <c r="O124" s="665"/>
      <c r="P124" s="665"/>
      <c r="Q124" s="665"/>
      <c r="R124" s="665"/>
      <c r="S124" s="665"/>
    </row>
    <row r="125" spans="5:19" s="1" customFormat="1" x14ac:dyDescent="0.25">
      <c r="E125" s="2"/>
      <c r="G125" s="665"/>
      <c r="L125" s="665"/>
      <c r="M125" s="665"/>
      <c r="N125" s="665"/>
      <c r="O125" s="665"/>
      <c r="P125" s="665"/>
      <c r="Q125" s="665"/>
      <c r="R125" s="665"/>
      <c r="S125" s="665"/>
    </row>
    <row r="126" spans="5:19" s="1" customFormat="1" x14ac:dyDescent="0.25">
      <c r="E126" s="2"/>
      <c r="G126" s="665"/>
      <c r="L126" s="665"/>
      <c r="M126" s="665"/>
      <c r="N126" s="665"/>
      <c r="O126" s="665"/>
      <c r="P126" s="665"/>
      <c r="Q126" s="665"/>
      <c r="R126" s="665"/>
      <c r="S126" s="665"/>
    </row>
    <row r="127" spans="5:19" s="1" customFormat="1" x14ac:dyDescent="0.25">
      <c r="E127" s="2"/>
      <c r="G127" s="665"/>
      <c r="L127" s="665"/>
      <c r="M127" s="665"/>
      <c r="N127" s="665"/>
      <c r="O127" s="665"/>
      <c r="P127" s="665"/>
      <c r="Q127" s="665"/>
      <c r="R127" s="665"/>
      <c r="S127" s="665"/>
    </row>
    <row r="128" spans="5:19" s="1" customFormat="1" x14ac:dyDescent="0.25">
      <c r="E128" s="2"/>
      <c r="G128" s="665"/>
      <c r="L128" s="665"/>
      <c r="M128" s="665"/>
      <c r="N128" s="665"/>
      <c r="O128" s="665"/>
      <c r="P128" s="665"/>
      <c r="Q128" s="665"/>
      <c r="R128" s="665"/>
      <c r="S128" s="665"/>
    </row>
    <row r="129" spans="5:19" s="1" customFormat="1" x14ac:dyDescent="0.25">
      <c r="E129" s="2"/>
      <c r="G129" s="665"/>
      <c r="L129" s="665"/>
      <c r="M129" s="665"/>
      <c r="N129" s="665"/>
      <c r="O129" s="665"/>
      <c r="P129" s="665"/>
      <c r="Q129" s="665"/>
      <c r="R129" s="665"/>
      <c r="S129" s="665"/>
    </row>
    <row r="130" spans="5:19" s="1" customFormat="1" x14ac:dyDescent="0.25">
      <c r="E130" s="2"/>
      <c r="G130" s="665"/>
      <c r="L130" s="665"/>
      <c r="M130" s="665"/>
      <c r="N130" s="665"/>
      <c r="O130" s="665"/>
      <c r="P130" s="665"/>
      <c r="Q130" s="665"/>
      <c r="R130" s="665"/>
      <c r="S130" s="665"/>
    </row>
    <row r="131" spans="5:19" s="1" customFormat="1" x14ac:dyDescent="0.25">
      <c r="E131" s="2"/>
      <c r="G131" s="665"/>
      <c r="L131" s="665"/>
      <c r="M131" s="665"/>
      <c r="N131" s="665"/>
      <c r="O131" s="665"/>
      <c r="P131" s="665"/>
      <c r="Q131" s="665"/>
      <c r="R131" s="665"/>
      <c r="S131" s="665"/>
    </row>
    <row r="132" spans="5:19" s="1" customFormat="1" x14ac:dyDescent="0.25">
      <c r="E132" s="2"/>
      <c r="G132" s="665"/>
      <c r="L132" s="665"/>
      <c r="M132" s="665"/>
      <c r="N132" s="665"/>
      <c r="O132" s="665"/>
      <c r="P132" s="665"/>
      <c r="Q132" s="665"/>
      <c r="R132" s="665"/>
      <c r="S132" s="665"/>
    </row>
    <row r="133" spans="5:19" s="1" customFormat="1" x14ac:dyDescent="0.25">
      <c r="E133" s="2"/>
      <c r="G133" s="665"/>
      <c r="L133" s="665"/>
      <c r="M133" s="665"/>
      <c r="N133" s="665"/>
      <c r="O133" s="665"/>
      <c r="P133" s="665"/>
      <c r="Q133" s="665"/>
      <c r="R133" s="665"/>
      <c r="S133" s="665"/>
    </row>
    <row r="134" spans="5:19" s="1" customFormat="1" x14ac:dyDescent="0.25">
      <c r="E134" s="2"/>
      <c r="G134" s="665"/>
      <c r="L134" s="665"/>
      <c r="M134" s="665"/>
      <c r="N134" s="665"/>
      <c r="O134" s="665"/>
      <c r="P134" s="665"/>
      <c r="Q134" s="665"/>
      <c r="R134" s="665"/>
      <c r="S134" s="665"/>
    </row>
    <row r="135" spans="5:19" s="1" customFormat="1" x14ac:dyDescent="0.25">
      <c r="E135" s="2"/>
      <c r="G135" s="665"/>
      <c r="L135" s="665"/>
      <c r="M135" s="665"/>
      <c r="N135" s="665"/>
      <c r="O135" s="665"/>
      <c r="P135" s="665"/>
      <c r="Q135" s="665"/>
      <c r="R135" s="665"/>
      <c r="S135" s="665"/>
    </row>
    <row r="136" spans="5:19" s="1" customFormat="1" x14ac:dyDescent="0.25">
      <c r="E136" s="2"/>
      <c r="G136" s="665"/>
      <c r="L136" s="665"/>
      <c r="M136" s="665"/>
      <c r="N136" s="665"/>
      <c r="O136" s="665"/>
      <c r="P136" s="665"/>
      <c r="Q136" s="665"/>
      <c r="R136" s="665"/>
      <c r="S136" s="665"/>
    </row>
    <row r="137" spans="5:19" s="1" customFormat="1" x14ac:dyDescent="0.25">
      <c r="E137" s="2"/>
      <c r="G137" s="665"/>
      <c r="L137" s="665"/>
      <c r="M137" s="665"/>
      <c r="N137" s="665"/>
      <c r="O137" s="665"/>
      <c r="P137" s="665"/>
      <c r="Q137" s="665"/>
      <c r="R137" s="665"/>
      <c r="S137" s="665"/>
    </row>
    <row r="138" spans="5:19" s="1" customFormat="1" x14ac:dyDescent="0.25">
      <c r="E138" s="2"/>
      <c r="G138" s="665"/>
      <c r="L138" s="665"/>
      <c r="M138" s="665"/>
      <c r="N138" s="665"/>
      <c r="O138" s="665"/>
      <c r="P138" s="665"/>
      <c r="Q138" s="665"/>
      <c r="R138" s="665"/>
      <c r="S138" s="665"/>
    </row>
    <row r="139" spans="5:19" s="1" customFormat="1" x14ac:dyDescent="0.25">
      <c r="E139" s="2"/>
      <c r="G139" s="665"/>
      <c r="L139" s="665"/>
      <c r="M139" s="665"/>
      <c r="N139" s="665"/>
      <c r="O139" s="665"/>
      <c r="P139" s="665"/>
      <c r="Q139" s="665"/>
      <c r="R139" s="665"/>
      <c r="S139" s="665"/>
    </row>
    <row r="140" spans="5:19" s="1" customFormat="1" x14ac:dyDescent="0.25">
      <c r="E140" s="2"/>
      <c r="G140" s="665"/>
      <c r="L140" s="665"/>
      <c r="M140" s="665"/>
      <c r="N140" s="665"/>
      <c r="O140" s="665"/>
      <c r="P140" s="665"/>
      <c r="Q140" s="665"/>
      <c r="R140" s="665"/>
      <c r="S140" s="665"/>
    </row>
    <row r="141" spans="5:19" s="1" customFormat="1" x14ac:dyDescent="0.25">
      <c r="E141" s="2"/>
      <c r="G141" s="665"/>
      <c r="L141" s="665"/>
      <c r="M141" s="665"/>
      <c r="N141" s="665"/>
      <c r="O141" s="665"/>
      <c r="P141" s="665"/>
      <c r="Q141" s="665"/>
      <c r="R141" s="665"/>
      <c r="S141" s="665"/>
    </row>
    <row r="142" spans="5:19" s="1" customFormat="1" x14ac:dyDescent="0.25">
      <c r="E142" s="2"/>
      <c r="G142" s="665"/>
      <c r="L142" s="665"/>
      <c r="M142" s="665"/>
      <c r="N142" s="665"/>
      <c r="O142" s="665"/>
      <c r="P142" s="665"/>
      <c r="Q142" s="665"/>
      <c r="R142" s="665"/>
      <c r="S142" s="665"/>
    </row>
    <row r="143" spans="5:19" s="1" customFormat="1" x14ac:dyDescent="0.25">
      <c r="E143" s="2"/>
      <c r="G143" s="665"/>
      <c r="L143" s="665"/>
      <c r="M143" s="665"/>
      <c r="N143" s="665"/>
      <c r="O143" s="665"/>
      <c r="P143" s="665"/>
      <c r="Q143" s="665"/>
      <c r="R143" s="665"/>
      <c r="S143" s="665"/>
    </row>
    <row r="144" spans="5:19" s="1" customFormat="1" x14ac:dyDescent="0.25">
      <c r="E144" s="2"/>
      <c r="G144" s="665"/>
      <c r="L144" s="665"/>
      <c r="M144" s="665"/>
      <c r="N144" s="665"/>
      <c r="O144" s="665"/>
      <c r="P144" s="665"/>
      <c r="Q144" s="665"/>
      <c r="R144" s="665"/>
      <c r="S144" s="665"/>
    </row>
    <row r="145" spans="5:19" s="1" customFormat="1" x14ac:dyDescent="0.25">
      <c r="E145" s="2"/>
      <c r="G145" s="665"/>
      <c r="L145" s="665"/>
      <c r="M145" s="665"/>
      <c r="N145" s="665"/>
      <c r="O145" s="665"/>
      <c r="P145" s="665"/>
      <c r="Q145" s="665"/>
      <c r="R145" s="665"/>
      <c r="S145" s="665"/>
    </row>
    <row r="146" spans="5:19" s="1" customFormat="1" x14ac:dyDescent="0.25">
      <c r="E146" s="2"/>
      <c r="G146" s="665"/>
      <c r="L146" s="665"/>
      <c r="M146" s="665"/>
      <c r="N146" s="665"/>
      <c r="O146" s="665"/>
      <c r="P146" s="665"/>
      <c r="Q146" s="665"/>
      <c r="R146" s="665"/>
      <c r="S146" s="665"/>
    </row>
    <row r="147" spans="5:19" s="1" customFormat="1" x14ac:dyDescent="0.25">
      <c r="E147" s="2"/>
      <c r="G147" s="665"/>
      <c r="L147" s="665"/>
      <c r="M147" s="665"/>
      <c r="N147" s="665"/>
      <c r="O147" s="665"/>
      <c r="P147" s="665"/>
      <c r="Q147" s="665"/>
      <c r="R147" s="665"/>
      <c r="S147" s="665"/>
    </row>
    <row r="148" spans="5:19" s="1" customFormat="1" x14ac:dyDescent="0.25">
      <c r="E148" s="2"/>
      <c r="G148" s="665"/>
      <c r="L148" s="665"/>
      <c r="M148" s="665"/>
      <c r="N148" s="665"/>
      <c r="O148" s="665"/>
      <c r="P148" s="665"/>
      <c r="Q148" s="665"/>
      <c r="R148" s="665"/>
      <c r="S148" s="665"/>
    </row>
    <row r="149" spans="5:19" s="1" customFormat="1" x14ac:dyDescent="0.25">
      <c r="E149" s="2"/>
      <c r="G149" s="665"/>
      <c r="L149" s="665"/>
      <c r="M149" s="665"/>
      <c r="N149" s="665"/>
      <c r="O149" s="665"/>
      <c r="P149" s="665"/>
      <c r="Q149" s="665"/>
      <c r="R149" s="665"/>
      <c r="S149" s="665"/>
    </row>
    <row r="150" spans="5:19" s="1" customFormat="1" x14ac:dyDescent="0.25">
      <c r="E150" s="2"/>
      <c r="G150" s="665"/>
      <c r="L150" s="665"/>
      <c r="M150" s="665"/>
      <c r="N150" s="665"/>
      <c r="O150" s="665"/>
      <c r="P150" s="665"/>
      <c r="Q150" s="665"/>
      <c r="R150" s="665"/>
      <c r="S150" s="665"/>
    </row>
    <row r="151" spans="5:19" s="1" customFormat="1" x14ac:dyDescent="0.25">
      <c r="E151" s="2"/>
      <c r="G151" s="665"/>
      <c r="L151" s="665"/>
      <c r="M151" s="665"/>
      <c r="N151" s="665"/>
      <c r="O151" s="665"/>
      <c r="P151" s="665"/>
      <c r="Q151" s="665"/>
      <c r="R151" s="665"/>
      <c r="S151" s="665"/>
    </row>
    <row r="152" spans="5:19" s="1" customFormat="1" x14ac:dyDescent="0.25">
      <c r="E152" s="2"/>
      <c r="G152" s="665"/>
      <c r="L152" s="665"/>
      <c r="M152" s="665"/>
      <c r="N152" s="665"/>
      <c r="O152" s="665"/>
      <c r="P152" s="665"/>
      <c r="Q152" s="665"/>
      <c r="R152" s="665"/>
      <c r="S152" s="665"/>
    </row>
    <row r="153" spans="5:19" s="1" customFormat="1" x14ac:dyDescent="0.25">
      <c r="E153" s="2"/>
      <c r="G153" s="665"/>
      <c r="L153" s="665"/>
      <c r="M153" s="665"/>
      <c r="N153" s="665"/>
      <c r="O153" s="665"/>
      <c r="P153" s="665"/>
      <c r="Q153" s="665"/>
      <c r="R153" s="665"/>
      <c r="S153" s="665"/>
    </row>
    <row r="154" spans="5:19" s="1" customFormat="1" x14ac:dyDescent="0.25">
      <c r="E154" s="2"/>
      <c r="G154" s="665"/>
      <c r="L154" s="665"/>
      <c r="M154" s="665"/>
      <c r="N154" s="665"/>
      <c r="O154" s="665"/>
      <c r="P154" s="665"/>
      <c r="Q154" s="665"/>
      <c r="R154" s="665"/>
      <c r="S154" s="665"/>
    </row>
    <row r="155" spans="5:19" s="1" customFormat="1" x14ac:dyDescent="0.25">
      <c r="E155" s="2"/>
      <c r="G155" s="665"/>
      <c r="L155" s="665"/>
      <c r="M155" s="665"/>
      <c r="N155" s="665"/>
      <c r="O155" s="665"/>
      <c r="P155" s="665"/>
      <c r="Q155" s="665"/>
      <c r="R155" s="665"/>
      <c r="S155" s="665"/>
    </row>
    <row r="156" spans="5:19" s="1" customFormat="1" x14ac:dyDescent="0.25">
      <c r="E156" s="2"/>
      <c r="G156" s="665"/>
      <c r="L156" s="665"/>
      <c r="M156" s="665"/>
      <c r="N156" s="665"/>
      <c r="O156" s="665"/>
      <c r="P156" s="665"/>
      <c r="Q156" s="665"/>
      <c r="R156" s="665"/>
      <c r="S156" s="665"/>
    </row>
    <row r="157" spans="5:19" s="1" customFormat="1" x14ac:dyDescent="0.25">
      <c r="E157" s="2"/>
      <c r="G157" s="665"/>
      <c r="L157" s="665"/>
      <c r="M157" s="665"/>
      <c r="N157" s="665"/>
      <c r="O157" s="665"/>
      <c r="P157" s="665"/>
      <c r="Q157" s="665"/>
      <c r="R157" s="665"/>
      <c r="S157" s="665"/>
    </row>
    <row r="158" spans="5:19" s="1" customFormat="1" x14ac:dyDescent="0.25">
      <c r="E158" s="2"/>
      <c r="G158" s="665"/>
      <c r="L158" s="665"/>
      <c r="M158" s="665"/>
      <c r="N158" s="665"/>
      <c r="O158" s="665"/>
      <c r="P158" s="665"/>
      <c r="Q158" s="665"/>
      <c r="R158" s="665"/>
      <c r="S158" s="665"/>
    </row>
    <row r="159" spans="5:19" s="1" customFormat="1" x14ac:dyDescent="0.25">
      <c r="E159" s="2"/>
      <c r="G159" s="665"/>
      <c r="L159" s="665"/>
      <c r="M159" s="665"/>
      <c r="N159" s="665"/>
      <c r="O159" s="665"/>
      <c r="P159" s="665"/>
      <c r="Q159" s="665"/>
      <c r="R159" s="665"/>
      <c r="S159" s="665"/>
    </row>
    <row r="160" spans="5:19" s="1" customFormat="1" x14ac:dyDescent="0.25">
      <c r="E160" s="2"/>
      <c r="G160" s="665"/>
      <c r="L160" s="665"/>
      <c r="M160" s="665"/>
      <c r="N160" s="665"/>
      <c r="O160" s="665"/>
      <c r="P160" s="665"/>
      <c r="Q160" s="665"/>
      <c r="R160" s="665"/>
      <c r="S160" s="665"/>
    </row>
    <row r="161" spans="5:19" s="1" customFormat="1" x14ac:dyDescent="0.25">
      <c r="E161" s="2"/>
      <c r="G161" s="665"/>
      <c r="L161" s="665"/>
      <c r="M161" s="665"/>
      <c r="N161" s="665"/>
      <c r="O161" s="665"/>
      <c r="P161" s="665"/>
      <c r="Q161" s="665"/>
      <c r="R161" s="665"/>
      <c r="S161" s="665"/>
    </row>
    <row r="162" spans="5:19" s="1" customFormat="1" x14ac:dyDescent="0.25">
      <c r="E162" s="2"/>
      <c r="G162" s="665"/>
      <c r="L162" s="665"/>
      <c r="M162" s="665"/>
      <c r="N162" s="665"/>
      <c r="O162" s="665"/>
      <c r="P162" s="665"/>
      <c r="Q162" s="665"/>
      <c r="R162" s="665"/>
      <c r="S162" s="665"/>
    </row>
    <row r="163" spans="5:19" s="1" customFormat="1" x14ac:dyDescent="0.25">
      <c r="E163" s="2"/>
      <c r="G163" s="665"/>
      <c r="L163" s="665"/>
      <c r="M163" s="665"/>
      <c r="N163" s="665"/>
      <c r="O163" s="665"/>
      <c r="P163" s="665"/>
      <c r="Q163" s="665"/>
      <c r="R163" s="665"/>
      <c r="S163" s="665"/>
    </row>
    <row r="164" spans="5:19" s="1" customFormat="1" x14ac:dyDescent="0.25">
      <c r="E164" s="2"/>
      <c r="G164" s="665"/>
      <c r="L164" s="665"/>
      <c r="M164" s="665"/>
      <c r="N164" s="665"/>
      <c r="O164" s="665"/>
      <c r="P164" s="665"/>
      <c r="Q164" s="665"/>
      <c r="R164" s="665"/>
      <c r="S164" s="665"/>
    </row>
    <row r="165" spans="5:19" s="1" customFormat="1" x14ac:dyDescent="0.25">
      <c r="E165" s="2"/>
      <c r="G165" s="665"/>
      <c r="L165" s="665"/>
      <c r="M165" s="665"/>
      <c r="N165" s="665"/>
      <c r="O165" s="665"/>
      <c r="P165" s="665"/>
      <c r="Q165" s="665"/>
      <c r="R165" s="665"/>
      <c r="S165" s="665"/>
    </row>
    <row r="166" spans="5:19" s="1" customFormat="1" x14ac:dyDescent="0.25">
      <c r="E166" s="2"/>
      <c r="G166" s="665"/>
      <c r="L166" s="665"/>
      <c r="M166" s="665"/>
      <c r="N166" s="665"/>
      <c r="O166" s="665"/>
      <c r="P166" s="665"/>
      <c r="Q166" s="665"/>
      <c r="R166" s="665"/>
      <c r="S166" s="665"/>
    </row>
    <row r="167" spans="5:19" s="1" customFormat="1" x14ac:dyDescent="0.25">
      <c r="E167" s="2"/>
      <c r="G167" s="665"/>
      <c r="L167" s="665"/>
      <c r="M167" s="665"/>
      <c r="N167" s="665"/>
      <c r="O167" s="665"/>
      <c r="P167" s="665"/>
      <c r="Q167" s="665"/>
      <c r="R167" s="665"/>
      <c r="S167" s="665"/>
    </row>
    <row r="168" spans="5:19" s="1" customFormat="1" x14ac:dyDescent="0.25">
      <c r="E168" s="2"/>
      <c r="G168" s="665"/>
      <c r="L168" s="665"/>
      <c r="M168" s="665"/>
      <c r="N168" s="665"/>
      <c r="O168" s="665"/>
      <c r="P168" s="665"/>
      <c r="Q168" s="665"/>
      <c r="R168" s="665"/>
      <c r="S168" s="665"/>
    </row>
    <row r="169" spans="5:19" s="1" customFormat="1" x14ac:dyDescent="0.25">
      <c r="E169" s="2"/>
      <c r="G169" s="665"/>
      <c r="L169" s="665"/>
      <c r="M169" s="665"/>
      <c r="N169" s="665"/>
      <c r="O169" s="665"/>
      <c r="P169" s="665"/>
      <c r="Q169" s="665"/>
      <c r="R169" s="665"/>
      <c r="S169" s="665"/>
    </row>
    <row r="170" spans="5:19" s="1" customFormat="1" x14ac:dyDescent="0.25">
      <c r="E170" s="2"/>
      <c r="G170" s="665"/>
      <c r="L170" s="665"/>
      <c r="M170" s="665"/>
      <c r="N170" s="665"/>
      <c r="O170" s="665"/>
      <c r="P170" s="665"/>
      <c r="Q170" s="665"/>
      <c r="R170" s="665"/>
      <c r="S170" s="665"/>
    </row>
    <row r="171" spans="5:19" s="1" customFormat="1" x14ac:dyDescent="0.25">
      <c r="E171" s="2"/>
      <c r="G171" s="665"/>
      <c r="L171" s="665"/>
      <c r="M171" s="665"/>
      <c r="N171" s="665"/>
      <c r="O171" s="665"/>
      <c r="P171" s="665"/>
      <c r="Q171" s="665"/>
      <c r="R171" s="665"/>
      <c r="S171" s="665"/>
    </row>
    <row r="172" spans="5:19" s="1" customFormat="1" x14ac:dyDescent="0.25">
      <c r="E172" s="2"/>
      <c r="G172" s="665"/>
      <c r="L172" s="665"/>
      <c r="M172" s="665"/>
      <c r="N172" s="665"/>
      <c r="O172" s="665"/>
      <c r="P172" s="665"/>
      <c r="Q172" s="665"/>
      <c r="R172" s="665"/>
      <c r="S172" s="665"/>
    </row>
    <row r="173" spans="5:19" s="1" customFormat="1" x14ac:dyDescent="0.25">
      <c r="E173" s="2"/>
      <c r="G173" s="665"/>
      <c r="L173" s="665"/>
      <c r="M173" s="665"/>
      <c r="N173" s="665"/>
      <c r="O173" s="665"/>
      <c r="P173" s="665"/>
      <c r="Q173" s="665"/>
      <c r="R173" s="665"/>
      <c r="S173" s="665"/>
    </row>
    <row r="174" spans="5:19" s="1" customFormat="1" x14ac:dyDescent="0.25">
      <c r="E174" s="2"/>
      <c r="G174" s="665"/>
      <c r="L174" s="665"/>
      <c r="M174" s="665"/>
      <c r="N174" s="665"/>
      <c r="O174" s="665"/>
      <c r="P174" s="665"/>
      <c r="Q174" s="665"/>
      <c r="R174" s="665"/>
      <c r="S174" s="665"/>
    </row>
    <row r="175" spans="5:19" s="1" customFormat="1" x14ac:dyDescent="0.25">
      <c r="E175" s="2"/>
      <c r="G175" s="665"/>
      <c r="L175" s="665"/>
      <c r="M175" s="665"/>
      <c r="N175" s="665"/>
      <c r="O175" s="665"/>
      <c r="P175" s="665"/>
      <c r="Q175" s="665"/>
      <c r="R175" s="665"/>
      <c r="S175" s="665"/>
    </row>
    <row r="176" spans="5:19" s="1" customFormat="1" x14ac:dyDescent="0.25">
      <c r="E176" s="2"/>
      <c r="G176" s="665"/>
      <c r="L176" s="665"/>
      <c r="M176" s="665"/>
      <c r="N176" s="665"/>
      <c r="O176" s="665"/>
      <c r="P176" s="665"/>
      <c r="Q176" s="665"/>
      <c r="R176" s="665"/>
      <c r="S176" s="665"/>
    </row>
    <row r="177" spans="5:19" s="1" customFormat="1" x14ac:dyDescent="0.25">
      <c r="E177" s="2"/>
      <c r="G177" s="665"/>
      <c r="L177" s="665"/>
      <c r="M177" s="665"/>
      <c r="N177" s="665"/>
      <c r="O177" s="665"/>
      <c r="P177" s="665"/>
      <c r="Q177" s="665"/>
      <c r="R177" s="665"/>
      <c r="S177" s="665"/>
    </row>
    <row r="178" spans="5:19" s="1" customFormat="1" x14ac:dyDescent="0.25">
      <c r="E178" s="2"/>
      <c r="G178" s="665"/>
      <c r="L178" s="665"/>
      <c r="M178" s="665"/>
      <c r="N178" s="665"/>
      <c r="O178" s="665"/>
      <c r="P178" s="665"/>
      <c r="Q178" s="665"/>
      <c r="R178" s="665"/>
      <c r="S178" s="665"/>
    </row>
    <row r="179" spans="5:19" s="1" customFormat="1" x14ac:dyDescent="0.25">
      <c r="E179" s="2"/>
      <c r="G179" s="665"/>
      <c r="L179" s="665"/>
      <c r="M179" s="665"/>
      <c r="N179" s="665"/>
      <c r="O179" s="665"/>
      <c r="P179" s="665"/>
      <c r="Q179" s="665"/>
      <c r="R179" s="665"/>
      <c r="S179" s="665"/>
    </row>
    <row r="180" spans="5:19" s="1" customFormat="1" x14ac:dyDescent="0.25">
      <c r="E180" s="2"/>
      <c r="G180" s="665"/>
      <c r="L180" s="665"/>
      <c r="M180" s="665"/>
      <c r="N180" s="665"/>
      <c r="O180" s="665"/>
      <c r="P180" s="665"/>
      <c r="Q180" s="665"/>
      <c r="R180" s="665"/>
      <c r="S180" s="665"/>
    </row>
    <row r="181" spans="5:19" s="1" customFormat="1" x14ac:dyDescent="0.25">
      <c r="E181" s="2"/>
      <c r="G181" s="665"/>
      <c r="L181" s="665"/>
      <c r="M181" s="665"/>
      <c r="N181" s="665"/>
      <c r="O181" s="665"/>
      <c r="P181" s="665"/>
      <c r="Q181" s="665"/>
      <c r="R181" s="665"/>
      <c r="S181" s="665"/>
    </row>
    <row r="182" spans="5:19" s="1" customFormat="1" x14ac:dyDescent="0.25">
      <c r="E182" s="2"/>
      <c r="G182" s="665"/>
      <c r="L182" s="665"/>
      <c r="M182" s="665"/>
      <c r="N182" s="665"/>
      <c r="O182" s="665"/>
      <c r="P182" s="665"/>
      <c r="Q182" s="665"/>
      <c r="R182" s="665"/>
      <c r="S182" s="665"/>
    </row>
    <row r="183" spans="5:19" s="1" customFormat="1" x14ac:dyDescent="0.25">
      <c r="E183" s="2"/>
      <c r="G183" s="665"/>
      <c r="L183" s="665"/>
      <c r="M183" s="665"/>
      <c r="N183" s="665"/>
      <c r="O183" s="665"/>
      <c r="P183" s="665"/>
      <c r="Q183" s="665"/>
      <c r="R183" s="665"/>
      <c r="S183" s="665"/>
    </row>
    <row r="184" spans="5:19" s="1" customFormat="1" x14ac:dyDescent="0.25">
      <c r="E184" s="2"/>
      <c r="G184" s="665"/>
      <c r="L184" s="665"/>
      <c r="M184" s="665"/>
      <c r="N184" s="665"/>
      <c r="O184" s="665"/>
      <c r="P184" s="665"/>
      <c r="Q184" s="665"/>
      <c r="R184" s="665"/>
      <c r="S184" s="665"/>
    </row>
    <row r="185" spans="5:19" s="1" customFormat="1" x14ac:dyDescent="0.25">
      <c r="E185" s="2"/>
      <c r="G185" s="665"/>
      <c r="L185" s="665"/>
      <c r="M185" s="665"/>
      <c r="N185" s="665"/>
      <c r="O185" s="665"/>
      <c r="P185" s="665"/>
      <c r="Q185" s="665"/>
      <c r="R185" s="665"/>
      <c r="S185" s="665"/>
    </row>
    <row r="186" spans="5:19" s="1" customFormat="1" x14ac:dyDescent="0.25">
      <c r="E186" s="2"/>
      <c r="G186" s="665"/>
      <c r="L186" s="665"/>
      <c r="M186" s="665"/>
      <c r="N186" s="665"/>
      <c r="O186" s="665"/>
      <c r="P186" s="665"/>
      <c r="Q186" s="665"/>
      <c r="R186" s="665"/>
      <c r="S186" s="665"/>
    </row>
  </sheetData>
  <sheetProtection algorithmName="SHA-512" hashValue="SErCx63/sGLF56GmSCjyuWCxAQzl9sflSgD2qa+rhE5j7lNHkgqSlERG6anNn6qvoddXEcIux+hcA9bRJMpf6Q==" saltValue="jJqT9pXsUOpM+Q14Pwvifg==" spinCount="100000" sheet="1" formatCells="0"/>
  <sortState xmlns:xlrd2="http://schemas.microsoft.com/office/spreadsheetml/2017/richdata2" ref="U82:U86">
    <sortCondition ref="U82"/>
  </sortState>
  <dataConsolidate/>
  <mergeCells count="5">
    <mergeCell ref="B46:F46"/>
    <mergeCell ref="B49:F49"/>
    <mergeCell ref="B40:F40"/>
    <mergeCell ref="B35:C35"/>
    <mergeCell ref="E35:F35"/>
  </mergeCells>
  <phoneticPr fontId="22" type="noConversion"/>
  <conditionalFormatting sqref="E17 F17">
    <cfRule type="expression" dxfId="472" priority="10">
      <formula>$F$5&lt;&gt;$J$5</formula>
    </cfRule>
  </conditionalFormatting>
  <conditionalFormatting sqref="E16:F16 E17">
    <cfRule type="expression" dxfId="471" priority="128">
      <formula>$F$5&lt;&gt;$J$5</formula>
    </cfRule>
  </conditionalFormatting>
  <conditionalFormatting sqref="E19:F19">
    <cfRule type="expression" dxfId="470" priority="130">
      <formula>$F$5=$J$9</formula>
    </cfRule>
  </conditionalFormatting>
  <conditionalFormatting sqref="E22:F22">
    <cfRule type="expression" dxfId="469" priority="131">
      <formula>$F$21=$N$29</formula>
    </cfRule>
  </conditionalFormatting>
  <conditionalFormatting sqref="E14:F14">
    <cfRule type="expression" dxfId="468" priority="132">
      <formula>$F$5&lt;&gt;$J$9</formula>
    </cfRule>
  </conditionalFormatting>
  <conditionalFormatting sqref="E15:F23">
    <cfRule type="expression" dxfId="467" priority="3">
      <formula>$F$5=$T$5</formula>
    </cfRule>
  </conditionalFormatting>
  <conditionalFormatting sqref="E25:F27">
    <cfRule type="expression" dxfId="466" priority="2">
      <formula>$F$5=$T$5</formula>
    </cfRule>
  </conditionalFormatting>
  <conditionalFormatting sqref="E24:F24">
    <cfRule type="expression" dxfId="465" priority="1">
      <formula>$F$5=$T$5</formula>
    </cfRule>
  </conditionalFormatting>
  <dataValidations xWindow="982" yWindow="379" count="27">
    <dataValidation type="list" allowBlank="1" showInputMessage="1" showErrorMessage="1" sqref="M98" xr:uid="{00000000-0002-0000-0100-000000000000}">
      <formula1>$M$96:$M$97</formula1>
    </dataValidation>
    <dataValidation allowBlank="1" showErrorMessage="1" sqref="F13:F14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F8"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M43" xr:uid="{00000000-0002-0000-0100-000006000000}"/>
    <dataValidation type="list" allowBlank="1" showErrorMessage="1" error="Invalid data entry, please retry." sqref="F21" xr:uid="{00000000-0002-0000-0100-000007000000}">
      <formula1>AD_Labsize_list</formula1>
    </dataValidation>
    <dataValidation type="list" allowBlank="1" showInputMessage="1" showErrorMessage="1" error="Invalid data entry, please retry." prompt="If the building has a mixture of lab space of differeing containment levels, then select the highest contaiment level applicable. e.g. if there are level 1 and 2 category labs then select cat level 2._x000a_" sqref="F22" xr:uid="{00000000-0002-0000-0100-000008000000}">
      <formula1>$N$31:$N$33</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23 F25:F26 F18:F20" xr:uid="{00000000-0002-0000-0100-00000A000000}">
      <formula1>AD_YesNo</formula1>
    </dataValidation>
    <dataValidation type="list" allowBlank="1" showInputMessage="1" showErrorMessage="1" sqref="M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F9" xr:uid="{00000000-0002-0000-0100-00000D000000}">
      <formula1>AD_BREEAM_stage</formula1>
    </dataValidation>
    <dataValidation allowBlank="1" showInputMessage="1" showErrorMessage="1" error="Invalid data entry, please retry." sqref="F30:F32" xr:uid="{00000000-0002-0000-0100-00000E000000}"/>
    <dataValidation type="list" allowBlank="1" showErrorMessage="1" error="Please review, your data entry is invalid." sqref="F5" xr:uid="{00000000-0002-0000-0100-00000F000000}">
      <formula1>$J$5:$J$9</formula1>
    </dataValidation>
    <dataValidation type="list" allowBlank="1" showInputMessage="1" showErrorMessage="1" error="Invalid data entry, please re-try" sqref="F10" xr:uid="{00000000-0002-0000-0100-000010000000}">
      <formula1>$N$8</formula1>
    </dataValidation>
    <dataValidation allowBlank="1" showErrorMessage="1" prompt=" " sqref="F12" xr:uid="{00000000-0002-0000-0100-000011000000}"/>
    <dataValidation allowBlank="1" showInputMessage="1" showErrorMessage="1" prompt="Bruksareal (BRA) er arealet innenfor omsluttede vegger, ref NS 3940:2012" sqref="E12" xr:uid="{00000000-0002-0000-0100-000012000000}"/>
    <dataValidation allowBlank="1" showInputMessage="1" showErrorMessage="1" prompt="Bruttoareal (BTA) er arealet begrenset av ytterveggens utside eller midt i delevegg, ref NS 3940:2012" sqref="E13" xr:uid="{00000000-0002-0000-0100-000013000000}"/>
    <dataValidation allowBlank="1" showInputMessage="1" showErrorMessage="1" prompt="Det er ingen definisjon av BRAs (salgbart bruksareal) iht. NS 3940:2012. BRAs er den enkelte leilighets BRA, det vil si areal innenfor omsluttende vegger i leiligheten. " sqref="E14" xr:uid="{00000000-0002-0000-0100-000014000000}"/>
    <dataValidation type="list" allowBlank="1" showErrorMessage="1" error="Please review, your data entry is invalid." sqref="F6" xr:uid="{00000000-0002-0000-0100-000015000000}">
      <formula1>$L$5:$L$13</formula1>
    </dataValidation>
    <dataValidation type="list" allowBlank="1" showErrorMessage="1" error="Incorrect entry, please retry." sqref="F7" xr:uid="{00000000-0002-0000-0100-000016000000}">
      <formula1>$N$11:$N$14</formula1>
    </dataValidation>
    <dataValidation type="list" allowBlank="1" showInputMessage="1" showErrorMessage="1" error="Invalid data entry, please retry." prompt="This information determines the applicability of BREEAM issue Ene02a." sqref="G77 N42" xr:uid="{00000000-0002-0000-0100-000017000000}">
      <formula1>AD_YesNo</formula1>
    </dataValidation>
    <dataValidation type="list" allowBlank="1" showErrorMessage="1" error="Invalid data entry, please retry." prompt="If the answer to this question is not known, please select Yes and engage with an appropriate person(s)." sqref="F24" xr:uid="{00000000-0002-0000-0100-000018000000}">
      <formula1>$L$56:$L$59</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s>
  <printOptions horizontalCentered="1"/>
  <pageMargins left="0.43307086614173229" right="0.31496062992125984" top="0.47244094488188981" bottom="0.15748031496062992" header="0.27559055118110237" footer="0.15748031496062992"/>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5" id="{240F26BE-6750-453C-920D-0E16B2A89131}">
            <xm:f>'Manuell filtrering og justering'!$H$2='Manuell filtrering og justering'!$I$2</xm:f>
            <x14:dxf>
              <border>
                <top style="thin">
                  <color theme="0"/>
                </top>
                <vertical/>
                <horizontal/>
              </border>
            </x14:dxf>
          </x14:cfRule>
          <xm:sqref>B17</xm:sqref>
        </x14:conditionalFormatting>
        <x14:conditionalFormatting xmlns:xm="http://schemas.microsoft.com/office/excel/2006/main">
          <x14:cfRule type="expression" priority="4" id="{15BD1200-67FE-42E0-955A-22C5BFC5B389}">
            <xm:f>'Manuell filtrering og justering'!$H$2='Manuell filtrering og justering'!$I$2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259"/>
  <sheetViews>
    <sheetView zoomScaleNormal="100" zoomScalePageLayoutView="30" workbookViewId="0">
      <pane ySplit="8" topLeftCell="A9" activePane="bottomLeft" state="frozen"/>
      <selection pane="bottomLeft" activeCell="J38" sqref="J38"/>
    </sheetView>
  </sheetViews>
  <sheetFormatPr defaultColWidth="9.140625" defaultRowHeight="15" x14ac:dyDescent="0.25"/>
  <cols>
    <col min="1" max="2" width="2.28515625" style="1" customWidth="1"/>
    <col min="3" max="3" width="41.85546875" style="1" customWidth="1"/>
    <col min="4" max="4" width="9.140625" style="1" customWidth="1"/>
    <col min="5" max="5" width="7.42578125" style="1" customWidth="1"/>
    <col min="6" max="6" width="12" style="1" customWidth="1"/>
    <col min="7" max="7" width="20" style="1" customWidth="1"/>
    <col min="8" max="8" width="8.140625" style="1" customWidth="1"/>
    <col min="9" max="9" width="5.140625" style="1" customWidth="1"/>
    <col min="10" max="10" width="34.28515625" style="1" customWidth="1"/>
    <col min="11" max="11" width="1" style="24" customWidth="1"/>
    <col min="12" max="12" width="7.28515625" style="311" customWidth="1"/>
    <col min="13" max="13" width="7.7109375" style="311" customWidth="1"/>
    <col min="14" max="14" width="4.85546875" style="311" customWidth="1"/>
    <col min="15" max="15" width="8.28515625" style="311" customWidth="1"/>
    <col min="16" max="16" width="23.140625" style="311" customWidth="1"/>
    <col min="17" max="17" width="1" style="161" customWidth="1"/>
    <col min="18" max="18" width="7" style="311" customWidth="1"/>
    <col min="19" max="19" width="7.7109375" style="311" customWidth="1"/>
    <col min="20" max="20" width="4.85546875" style="311" customWidth="1"/>
    <col min="21" max="21" width="8.140625" style="311" customWidth="1"/>
    <col min="22" max="22" width="23.42578125" style="311" customWidth="1"/>
    <col min="23" max="23" width="1" style="24" customWidth="1"/>
    <col min="24" max="24" width="22.28515625" style="24" customWidth="1"/>
    <col min="25" max="25" width="6.42578125" style="161" hidden="1" customWidth="1"/>
    <col min="26" max="26" width="15.7109375" style="311" hidden="1" customWidth="1"/>
    <col min="27" max="28" width="9.140625" style="311" hidden="1" customWidth="1"/>
    <col min="29" max="30" width="9.140625" style="1" hidden="1" customWidth="1"/>
    <col min="31" max="31" width="7.140625" style="1" hidden="1" customWidth="1"/>
    <col min="32" max="32" width="43" style="1" hidden="1" customWidth="1"/>
    <col min="33" max="33" width="11.85546875" style="1" hidden="1" customWidth="1"/>
    <col min="34" max="34" width="27" style="1" hidden="1" customWidth="1"/>
    <col min="35" max="38" width="8.5703125" style="1" hidden="1" customWidth="1"/>
    <col min="39" max="47" width="9.140625" style="1" hidden="1" customWidth="1"/>
    <col min="48" max="48" width="7" style="1" hidden="1" customWidth="1"/>
    <col min="49" max="49" width="9.140625" style="1" hidden="1" customWidth="1"/>
    <col min="50" max="82" width="9.140625" style="1" customWidth="1"/>
    <col min="83" max="16384" width="9.140625" style="1"/>
  </cols>
  <sheetData>
    <row r="1" spans="1:54" ht="42" customHeight="1" x14ac:dyDescent="0.35">
      <c r="A1" s="104"/>
      <c r="B1" s="104"/>
      <c r="C1" s="317" t="s">
        <v>325</v>
      </c>
      <c r="D1" s="318"/>
      <c r="E1" s="318"/>
      <c r="F1" s="317"/>
      <c r="G1" s="318"/>
      <c r="H1" s="318"/>
      <c r="I1" s="318"/>
      <c r="J1" s="477"/>
      <c r="K1" s="318"/>
      <c r="L1" s="318"/>
      <c r="M1" s="318"/>
      <c r="N1" s="318"/>
      <c r="O1" s="318"/>
      <c r="P1" s="318"/>
      <c r="Q1" s="318"/>
      <c r="R1" s="318"/>
      <c r="S1" s="318"/>
      <c r="T1" s="318"/>
      <c r="U1" s="318"/>
      <c r="V1" s="816" t="str">
        <f>IF('Manuell filtrering og justering'!H2='Manuell filtrering og justering'!I2,"Bespoke","")</f>
        <v/>
      </c>
      <c r="W1" s="318"/>
      <c r="X1" s="318"/>
      <c r="Y1" s="318"/>
      <c r="Z1" s="1"/>
      <c r="AA1" s="1"/>
      <c r="AB1" s="1"/>
      <c r="AE1" s="851" t="s">
        <v>546</v>
      </c>
      <c r="AF1" s="850"/>
      <c r="AG1" s="850"/>
      <c r="AH1" s="850"/>
      <c r="AI1" s="850"/>
      <c r="AJ1" s="850"/>
      <c r="AK1" s="850"/>
      <c r="AL1" s="850"/>
      <c r="AM1" s="850"/>
      <c r="AN1" s="850"/>
      <c r="AO1" s="850"/>
      <c r="AP1" s="850"/>
      <c r="AQ1" s="850"/>
      <c r="AR1" s="850"/>
      <c r="AS1" s="850"/>
      <c r="AT1" s="850"/>
      <c r="AU1" s="850"/>
      <c r="AV1" s="850"/>
      <c r="AW1" s="850"/>
    </row>
    <row r="2" spans="1:54" s="68" customFormat="1" ht="6" customHeight="1" x14ac:dyDescent="0.25">
      <c r="C2" s="110">
        <v>1</v>
      </c>
      <c r="D2" s="111">
        <v>2</v>
      </c>
      <c r="E2" s="110">
        <v>3</v>
      </c>
      <c r="F2" s="111">
        <v>4</v>
      </c>
      <c r="G2" s="110">
        <v>5</v>
      </c>
      <c r="H2" s="111">
        <v>6</v>
      </c>
      <c r="I2" s="110">
        <v>7</v>
      </c>
      <c r="J2" s="111">
        <v>8</v>
      </c>
      <c r="K2" s="110">
        <v>9</v>
      </c>
      <c r="L2" s="111">
        <v>10</v>
      </c>
      <c r="M2" s="110">
        <v>11</v>
      </c>
      <c r="N2" s="111">
        <v>12</v>
      </c>
      <c r="O2" s="110">
        <v>13</v>
      </c>
      <c r="P2" s="111">
        <v>14</v>
      </c>
      <c r="Q2" s="110">
        <v>15</v>
      </c>
      <c r="R2" s="111">
        <v>16</v>
      </c>
      <c r="S2" s="110">
        <v>17</v>
      </c>
      <c r="T2" s="111">
        <v>18</v>
      </c>
      <c r="U2" s="110">
        <v>19</v>
      </c>
      <c r="V2" s="111">
        <v>20</v>
      </c>
      <c r="W2" s="111">
        <v>21</v>
      </c>
      <c r="X2" s="111">
        <v>22</v>
      </c>
      <c r="Y2" s="111">
        <v>23</v>
      </c>
      <c r="Z2" s="111">
        <v>24</v>
      </c>
      <c r="AA2" s="111">
        <v>25</v>
      </c>
      <c r="AB2" s="111">
        <v>26</v>
      </c>
      <c r="AC2" s="111">
        <v>27</v>
      </c>
      <c r="AD2" s="111">
        <v>28</v>
      </c>
      <c r="AE2" s="111">
        <v>29</v>
      </c>
      <c r="AF2" s="111">
        <v>30</v>
      </c>
      <c r="AG2" s="111">
        <v>31</v>
      </c>
      <c r="AH2" s="111">
        <v>32</v>
      </c>
      <c r="AI2" s="111">
        <v>33</v>
      </c>
      <c r="AJ2" s="111">
        <v>34</v>
      </c>
      <c r="AK2" s="111">
        <v>35</v>
      </c>
      <c r="AL2" s="111">
        <v>36</v>
      </c>
      <c r="AM2" s="111">
        <v>37</v>
      </c>
      <c r="AN2" s="111">
        <v>38</v>
      </c>
      <c r="AO2" s="111">
        <v>39</v>
      </c>
      <c r="AP2" s="111">
        <v>40</v>
      </c>
      <c r="AQ2" s="111">
        <v>41</v>
      </c>
      <c r="AR2" s="111">
        <v>42</v>
      </c>
      <c r="AS2" s="111">
        <v>43</v>
      </c>
      <c r="AT2" s="111">
        <v>44</v>
      </c>
      <c r="AU2" s="111">
        <v>45</v>
      </c>
      <c r="AV2" s="111">
        <v>46</v>
      </c>
      <c r="AW2" s="111">
        <v>47</v>
      </c>
    </row>
    <row r="3" spans="1:54" ht="20.25" customHeight="1" x14ac:dyDescent="0.4">
      <c r="A3" s="3"/>
      <c r="B3" s="3"/>
      <c r="C3" s="347"/>
      <c r="D3" s="112"/>
      <c r="E3" s="895" t="s">
        <v>233</v>
      </c>
      <c r="F3" s="896"/>
      <c r="G3" s="896"/>
      <c r="H3" s="896"/>
      <c r="I3" s="896"/>
      <c r="J3" s="349"/>
      <c r="K3" s="326"/>
      <c r="L3" s="895" t="s">
        <v>238</v>
      </c>
      <c r="M3" s="896"/>
      <c r="N3" s="896"/>
      <c r="O3" s="896"/>
      <c r="P3" s="897"/>
      <c r="Q3" s="857"/>
      <c r="R3" s="895" t="s">
        <v>239</v>
      </c>
      <c r="S3" s="896"/>
      <c r="T3" s="896"/>
      <c r="U3" s="896"/>
      <c r="V3" s="897"/>
      <c r="W3" s="857"/>
      <c r="X3" s="868" t="s">
        <v>544</v>
      </c>
      <c r="Y3" s="817"/>
      <c r="Z3" s="817"/>
      <c r="AA3" s="817"/>
      <c r="AB3" s="818"/>
      <c r="AF3" s="3" t="s">
        <v>523</v>
      </c>
      <c r="AG3" s="1" t="str">
        <f>ADPT</f>
        <v>New Construction (fully fitted)</v>
      </c>
    </row>
    <row r="4" spans="1:54" s="2" customFormat="1" ht="15" customHeight="1" x14ac:dyDescent="0.25">
      <c r="A4" s="3"/>
      <c r="B4" s="3"/>
      <c r="C4" s="113" t="s">
        <v>22</v>
      </c>
      <c r="D4" s="108"/>
      <c r="E4" s="114" t="s">
        <v>356</v>
      </c>
      <c r="F4" s="115"/>
      <c r="G4" s="113"/>
      <c r="H4" s="116" t="str">
        <f>BP_BREEAMRating</f>
        <v>Unclassified</v>
      </c>
      <c r="I4" s="117"/>
      <c r="J4" s="320" t="s">
        <v>331</v>
      </c>
      <c r="K4" s="118"/>
      <c r="L4" s="119" t="str">
        <f>IF(P7=Poeng!C124,Poeng!D124,Poeng!E124)</f>
        <v>To activate select YES in cell P7</v>
      </c>
      <c r="M4" s="120"/>
      <c r="N4" s="120"/>
      <c r="O4" s="113"/>
      <c r="P4" s="121" t="str">
        <f>Poeng!AV112</f>
        <v>Unclassified</v>
      </c>
      <c r="Q4" s="122"/>
      <c r="R4" s="119" t="str">
        <f>IF(V7=Poeng!C124,Poeng!D125,Poeng!E125)</f>
        <v>To activate select YES in cell V7</v>
      </c>
      <c r="S4" s="120"/>
      <c r="T4" s="120"/>
      <c r="U4" s="113"/>
      <c r="V4" s="121" t="str">
        <f>Poeng!AY112</f>
        <v>Unclassified</v>
      </c>
      <c r="W4" s="108"/>
      <c r="X4" s="898" t="s">
        <v>581</v>
      </c>
      <c r="Y4" s="122"/>
      <c r="Z4" s="38"/>
      <c r="AA4" s="38"/>
      <c r="AB4" s="38"/>
      <c r="AC4" s="38"/>
      <c r="AF4" s="50" t="str">
        <f>IF(OR(AG3=AG4,AG3=AG5),ais_yes,ais_no)</f>
        <v>Nei</v>
      </c>
      <c r="AG4" s="2" t="str">
        <f>ADPT02</f>
        <v xml:space="preserve">New Construction (shell only) </v>
      </c>
      <c r="AQ4" s="21"/>
      <c r="AR4" s="21"/>
      <c r="AS4" s="21"/>
      <c r="AT4" s="21"/>
    </row>
    <row r="5" spans="1:54" s="2" customFormat="1" ht="15" customHeight="1" x14ac:dyDescent="0.25">
      <c r="A5" s="3"/>
      <c r="B5" s="3"/>
      <c r="C5" s="123" t="str">
        <f>IF(ISBLANK(ADBN),"",ADBN)</f>
        <v/>
      </c>
      <c r="D5" s="108"/>
      <c r="E5" s="124" t="s">
        <v>89</v>
      </c>
      <c r="F5" s="125"/>
      <c r="G5" s="126"/>
      <c r="H5" s="327">
        <f>Score_Initial</f>
        <v>0</v>
      </c>
      <c r="I5" s="127"/>
      <c r="J5" s="320" t="s">
        <v>332</v>
      </c>
      <c r="K5" s="118"/>
      <c r="L5" s="128" t="s">
        <v>89</v>
      </c>
      <c r="M5" s="129"/>
      <c r="N5" s="129"/>
      <c r="O5" s="126"/>
      <c r="P5" s="328">
        <f>Score_design</f>
        <v>0</v>
      </c>
      <c r="Q5" s="122"/>
      <c r="R5" s="128" t="s">
        <v>89</v>
      </c>
      <c r="S5" s="129"/>
      <c r="T5" s="129"/>
      <c r="U5" s="126"/>
      <c r="V5" s="328">
        <f>Score_const</f>
        <v>0</v>
      </c>
      <c r="W5" s="108"/>
      <c r="X5" s="899"/>
      <c r="Y5" s="122"/>
      <c r="Z5" s="330"/>
      <c r="AA5" s="330"/>
      <c r="AB5" s="330"/>
      <c r="AC5" s="330"/>
      <c r="AF5" s="786"/>
      <c r="AG5" s="822" t="str">
        <f>ADPT04</f>
        <v>Major Refurbishment (shell only)</v>
      </c>
    </row>
    <row r="6" spans="1:54" s="2" customFormat="1" ht="15" customHeight="1" thickBot="1" x14ac:dyDescent="0.3">
      <c r="A6" s="3"/>
      <c r="B6" s="3"/>
      <c r="C6" s="130" t="str">
        <f>"Pre-Assessment Estimator Version: "&amp;TVC_current_version</f>
        <v>Pre-Assessment Estimator Version: 1.08</v>
      </c>
      <c r="D6" s="108"/>
      <c r="E6" s="124" t="s">
        <v>84</v>
      </c>
      <c r="F6" s="125"/>
      <c r="G6" s="126"/>
      <c r="H6" s="131" t="str">
        <f>BP_MinStandards</f>
        <v>Unclassified</v>
      </c>
      <c r="I6" s="132"/>
      <c r="J6" s="320" t="s">
        <v>333</v>
      </c>
      <c r="K6" s="118"/>
      <c r="L6" s="128" t="s">
        <v>84</v>
      </c>
      <c r="M6" s="129"/>
      <c r="N6" s="129"/>
      <c r="O6" s="126"/>
      <c r="P6" s="133" t="str">
        <f>BP_MinStandards_design</f>
        <v>Unclassified</v>
      </c>
      <c r="Q6" s="122"/>
      <c r="R6" s="128" t="s">
        <v>84</v>
      </c>
      <c r="S6" s="129"/>
      <c r="T6" s="129"/>
      <c r="U6" s="126"/>
      <c r="V6" s="133" t="str">
        <f>BP_MinStandards_const</f>
        <v>Unclassified</v>
      </c>
      <c r="W6" s="108"/>
      <c r="X6" s="899"/>
      <c r="Y6" s="122"/>
      <c r="Z6" s="330"/>
      <c r="AA6" s="330"/>
      <c r="AB6" s="330"/>
      <c r="AC6" s="330"/>
      <c r="AF6" s="786" t="s">
        <v>529</v>
      </c>
      <c r="AG6" s="484"/>
      <c r="AH6" s="484"/>
      <c r="AI6" s="484"/>
      <c r="AJ6" s="484"/>
      <c r="AK6" s="484"/>
      <c r="AL6" s="484"/>
      <c r="AM6" s="24"/>
      <c r="AN6" s="24"/>
      <c r="AO6" s="24"/>
      <c r="AP6" s="24"/>
      <c r="AQ6" s="24"/>
      <c r="AR6" s="24"/>
      <c r="AS6" s="24"/>
      <c r="AT6" s="24"/>
      <c r="AU6" s="24"/>
      <c r="AV6" s="24"/>
      <c r="AW6" s="24"/>
      <c r="AX6" s="24"/>
      <c r="AY6" s="24"/>
      <c r="AZ6" s="554"/>
      <c r="BA6" s="554"/>
      <c r="BB6" s="554"/>
    </row>
    <row r="7" spans="1:54" s="2" customFormat="1" ht="15" customHeight="1" x14ac:dyDescent="0.25">
      <c r="C7" s="106" t="str">
        <f>IF(OR(Poeng!AT112=1,Poeng!AW112=1,Poeng!AZ112=1),Poeng!AL117,"")</f>
        <v/>
      </c>
      <c r="D7" s="108"/>
      <c r="E7" s="134"/>
      <c r="F7" s="135"/>
      <c r="G7" s="136"/>
      <c r="H7" s="136"/>
      <c r="I7" s="136"/>
      <c r="J7" s="344"/>
      <c r="K7" s="118"/>
      <c r="L7" s="128" t="s">
        <v>336</v>
      </c>
      <c r="M7" s="129"/>
      <c r="N7" s="129"/>
      <c r="O7" s="126"/>
      <c r="P7" s="885" t="s">
        <v>14</v>
      </c>
      <c r="Q7" s="122"/>
      <c r="R7" s="128" t="s">
        <v>336</v>
      </c>
      <c r="S7" s="129"/>
      <c r="T7" s="129"/>
      <c r="U7" s="126"/>
      <c r="V7" s="885" t="s">
        <v>14</v>
      </c>
      <c r="W7" s="108"/>
      <c r="X7" s="899"/>
      <c r="Y7" s="122"/>
      <c r="Z7" s="893" t="s">
        <v>274</v>
      </c>
      <c r="AA7" s="894"/>
      <c r="AB7" s="894"/>
      <c r="AC7" s="330"/>
      <c r="AF7" s="826" t="str">
        <f>IF(ADBT0=ADBT12,ais_no,ais_yes)</f>
        <v>Ja</v>
      </c>
      <c r="AG7" s="823"/>
      <c r="AH7" s="823"/>
      <c r="AI7" s="823"/>
      <c r="AJ7" s="829"/>
      <c r="AK7" s="829"/>
      <c r="AL7" s="829"/>
      <c r="AM7" s="24"/>
      <c r="AN7" s="24"/>
      <c r="AO7" s="24"/>
      <c r="AP7" s="24"/>
      <c r="AQ7" s="24"/>
      <c r="AR7" s="24"/>
      <c r="AS7" s="24"/>
      <c r="AT7" s="24"/>
      <c r="AU7" s="24"/>
      <c r="AV7" s="24"/>
      <c r="AW7" s="24"/>
      <c r="AX7" s="24"/>
      <c r="AY7" s="24"/>
      <c r="AZ7" s="38"/>
      <c r="BA7" s="38"/>
      <c r="BB7" s="38"/>
    </row>
    <row r="8" spans="1:54" ht="30.75" x14ac:dyDescent="0.3">
      <c r="A8" s="338" t="s">
        <v>235</v>
      </c>
      <c r="B8" s="338" t="s">
        <v>236</v>
      </c>
      <c r="C8" s="137" t="s">
        <v>232</v>
      </c>
      <c r="D8" s="321" t="s">
        <v>105</v>
      </c>
      <c r="E8" s="138" t="s">
        <v>46</v>
      </c>
      <c r="F8" s="139" t="s">
        <v>106</v>
      </c>
      <c r="G8" s="140" t="s">
        <v>53</v>
      </c>
      <c r="H8" s="319" t="s">
        <v>334</v>
      </c>
      <c r="I8" s="345" t="s">
        <v>279</v>
      </c>
      <c r="J8" s="346" t="s">
        <v>240</v>
      </c>
      <c r="K8" s="141"/>
      <c r="L8" s="142" t="s">
        <v>46</v>
      </c>
      <c r="M8" s="143" t="s">
        <v>334</v>
      </c>
      <c r="N8" s="143" t="s">
        <v>279</v>
      </c>
      <c r="O8" s="144" t="s">
        <v>278</v>
      </c>
      <c r="P8" s="145" t="s">
        <v>280</v>
      </c>
      <c r="Q8" s="146"/>
      <c r="R8" s="142" t="s">
        <v>46</v>
      </c>
      <c r="S8" s="143" t="s">
        <v>334</v>
      </c>
      <c r="T8" s="143" t="s">
        <v>279</v>
      </c>
      <c r="U8" s="144" t="s">
        <v>278</v>
      </c>
      <c r="V8" s="145" t="s">
        <v>280</v>
      </c>
      <c r="W8" s="122"/>
      <c r="X8" s="884" t="str">
        <f>IF(AF4=ais_yes,"Shell/core compliance?","")</f>
        <v/>
      </c>
      <c r="Y8" s="122"/>
      <c r="Z8" s="79" t="s">
        <v>275</v>
      </c>
      <c r="AA8" s="78" t="s">
        <v>276</v>
      </c>
      <c r="AB8" s="78" t="s">
        <v>277</v>
      </c>
      <c r="AE8" s="77" t="s">
        <v>547</v>
      </c>
      <c r="AU8" s="24"/>
      <c r="AV8" s="24"/>
      <c r="AW8" s="24"/>
      <c r="AX8" s="24"/>
      <c r="AY8" s="24"/>
      <c r="AZ8" s="18"/>
      <c r="BA8" s="18"/>
      <c r="BB8" s="18"/>
    </row>
    <row r="9" spans="1:54" ht="18.75" customHeight="1" x14ac:dyDescent="0.25">
      <c r="A9" s="398">
        <v>1</v>
      </c>
      <c r="B9" s="399" t="s">
        <v>66</v>
      </c>
      <c r="C9" s="400" t="s">
        <v>12</v>
      </c>
      <c r="D9" s="401"/>
      <c r="E9" s="402"/>
      <c r="F9" s="401"/>
      <c r="G9" s="401"/>
      <c r="H9" s="84"/>
      <c r="I9" s="76"/>
      <c r="J9" s="403"/>
      <c r="K9" s="404"/>
      <c r="L9" s="405"/>
      <c r="M9" s="84"/>
      <c r="N9" s="84"/>
      <c r="O9" s="424"/>
      <c r="P9" s="511"/>
      <c r="Q9" s="408"/>
      <c r="R9" s="405"/>
      <c r="S9" s="84"/>
      <c r="T9" s="84"/>
      <c r="U9" s="406"/>
      <c r="V9" s="407"/>
      <c r="W9" s="161"/>
      <c r="X9" s="825"/>
      <c r="Y9" s="122">
        <f t="shared" ref="Y9:Y40" si="0">IF(D9="",1,IF(D9=0,2,1))</f>
        <v>1</v>
      </c>
      <c r="Z9" s="331">
        <v>0</v>
      </c>
      <c r="AA9" s="331">
        <v>0</v>
      </c>
      <c r="AB9" s="331">
        <v>0</v>
      </c>
      <c r="AE9" s="77"/>
      <c r="AF9" s="852" t="s">
        <v>12</v>
      </c>
      <c r="AG9" s="824"/>
      <c r="AH9" s="824"/>
      <c r="AI9" s="824"/>
      <c r="AJ9" s="824"/>
      <c r="AK9" s="824"/>
      <c r="AL9" s="824"/>
      <c r="AN9" s="824"/>
      <c r="AO9" s="824"/>
      <c r="AP9" s="824"/>
      <c r="AQ9" s="824"/>
      <c r="AR9" s="828"/>
      <c r="AS9" s="828"/>
      <c r="AT9" s="828"/>
      <c r="AU9" s="24"/>
      <c r="AV9" s="403"/>
      <c r="AW9" s="24"/>
      <c r="AX9" s="24"/>
      <c r="AY9" s="24"/>
      <c r="AZ9" s="18"/>
      <c r="BA9" s="18"/>
      <c r="BB9" s="18"/>
    </row>
    <row r="10" spans="1:54" x14ac:dyDescent="0.25">
      <c r="A10" s="398">
        <v>2</v>
      </c>
      <c r="B10" s="322" t="s">
        <v>66</v>
      </c>
      <c r="C10" s="409" t="str">
        <f>Man_01</f>
        <v>Man 01 Project brief and design</v>
      </c>
      <c r="D10" s="147">
        <f>Man01_credits</f>
        <v>4</v>
      </c>
      <c r="E10" s="45"/>
      <c r="F10" s="148">
        <f>Man01_39</f>
        <v>0</v>
      </c>
      <c r="G10" s="149" t="str">
        <f>Man01_37</f>
        <v>N/A</v>
      </c>
      <c r="H10" s="88"/>
      <c r="I10" s="339" t="s">
        <v>0</v>
      </c>
      <c r="J10" s="341"/>
      <c r="K10" s="410"/>
      <c r="L10" s="48"/>
      <c r="M10" s="89"/>
      <c r="N10" s="88"/>
      <c r="O10" s="88"/>
      <c r="P10" s="341"/>
      <c r="Q10" s="411"/>
      <c r="R10" s="91"/>
      <c r="S10" s="89"/>
      <c r="T10" s="88"/>
      <c r="U10" s="88"/>
      <c r="V10" s="341"/>
      <c r="W10" s="162"/>
      <c r="X10" s="819" t="s">
        <v>14</v>
      </c>
      <c r="Y10" s="122">
        <f t="shared" si="0"/>
        <v>1</v>
      </c>
      <c r="Z10" s="3">
        <f>VLOOKUP(I10,'Assessment Details'!$L$45:$M$48,2,FALSE)</f>
        <v>4</v>
      </c>
      <c r="AA10" s="3" t="e">
        <f>VLOOKUP(N10,'Assessment Details'!$L$45:$M$48,2,FALSE)</f>
        <v>#N/A</v>
      </c>
      <c r="AB10" s="3" t="e">
        <f>VLOOKUP(T10,'Assessment Details'!$L$45:$M$48,2,FALSE)</f>
        <v>#N/A</v>
      </c>
      <c r="AE10" s="77"/>
      <c r="AF10" s="852" t="s">
        <v>341</v>
      </c>
      <c r="AG10" s="827" t="s">
        <v>14</v>
      </c>
      <c r="AH10" s="831" t="s">
        <v>13</v>
      </c>
      <c r="AI10" s="77"/>
      <c r="AJ10" s="77"/>
      <c r="AK10" s="77"/>
      <c r="AL10" s="77"/>
      <c r="AO10" s="24" t="str">
        <f t="shared" ref="AO10:AO41" si="1">IF($AF$4=ais_no,AIS_NA,IF(AG10="",AIS_NA,AG10))</f>
        <v>N/A</v>
      </c>
      <c r="AP10" s="24" t="str">
        <f t="shared" ref="AP10:AP41" si="2">IF($AF$4=ais_no,AIS_NA,IF(AH10="",AIS_NA,AH10))</f>
        <v>N/A</v>
      </c>
      <c r="AQ10" s="24" t="str">
        <f t="shared" ref="AQ10:AQ41" si="3">IF($AF$4=ais_no,AIS_NA,IF(AI10="",AIS_NA,AI10))</f>
        <v>N/A</v>
      </c>
      <c r="AR10" s="24"/>
      <c r="AS10" s="24"/>
      <c r="AT10" s="24"/>
      <c r="AU10" s="24"/>
      <c r="AV10" s="819"/>
      <c r="AW10" s="24"/>
      <c r="AX10" s="24"/>
      <c r="AY10" s="24"/>
      <c r="AZ10" s="18"/>
      <c r="BA10" s="18"/>
      <c r="BB10" s="18"/>
    </row>
    <row r="11" spans="1:54" x14ac:dyDescent="0.25">
      <c r="A11" s="398">
        <v>3</v>
      </c>
      <c r="B11" s="322" t="s">
        <v>66</v>
      </c>
      <c r="C11" s="409" t="str">
        <f>Man_02</f>
        <v>Man 02 Life cycle cost and service life planning</v>
      </c>
      <c r="D11" s="147">
        <f>Man02_credits</f>
        <v>4</v>
      </c>
      <c r="E11" s="45"/>
      <c r="F11" s="148">
        <f>Man02_12</f>
        <v>0</v>
      </c>
      <c r="G11" s="150" t="str">
        <f>Man02_minstd</f>
        <v>N/A</v>
      </c>
      <c r="H11" s="88"/>
      <c r="I11" s="339"/>
      <c r="J11" s="341"/>
      <c r="K11" s="412"/>
      <c r="L11" s="48"/>
      <c r="M11" s="89"/>
      <c r="N11" s="88"/>
      <c r="O11" s="88"/>
      <c r="P11" s="341"/>
      <c r="Q11" s="411"/>
      <c r="R11" s="91"/>
      <c r="S11" s="89"/>
      <c r="T11" s="88"/>
      <c r="U11" s="88"/>
      <c r="V11" s="341"/>
      <c r="W11" s="162"/>
      <c r="X11" s="819" t="s">
        <v>14</v>
      </c>
      <c r="Y11" s="122">
        <f t="shared" si="0"/>
        <v>1</v>
      </c>
      <c r="Z11" s="3" t="e">
        <f>VLOOKUP(I11,'Assessment Details'!$L$45:$M$48,2,FALSE)</f>
        <v>#N/A</v>
      </c>
      <c r="AA11" s="3" t="e">
        <f>VLOOKUP(N11,'Assessment Details'!$L$45:$M$48,2,FALSE)</f>
        <v>#N/A</v>
      </c>
      <c r="AB11" s="3" t="e">
        <f>VLOOKUP(T11,'Assessment Details'!$L$45:$M$48,2,FALSE)</f>
        <v>#N/A</v>
      </c>
      <c r="AE11" s="77"/>
      <c r="AF11" s="852" t="s">
        <v>342</v>
      </c>
      <c r="AG11" s="827" t="s">
        <v>14</v>
      </c>
      <c r="AH11" s="831" t="s">
        <v>13</v>
      </c>
      <c r="AI11" s="77"/>
      <c r="AJ11" s="77"/>
      <c r="AK11" s="77"/>
      <c r="AL11" s="77"/>
      <c r="AO11" s="24" t="str">
        <f t="shared" si="1"/>
        <v>N/A</v>
      </c>
      <c r="AP11" s="24" t="str">
        <f t="shared" si="2"/>
        <v>N/A</v>
      </c>
      <c r="AQ11" s="24" t="str">
        <f t="shared" si="3"/>
        <v>N/A</v>
      </c>
      <c r="AR11" s="24"/>
      <c r="AS11" s="24"/>
      <c r="AT11" s="24"/>
      <c r="AU11" s="18"/>
      <c r="AV11" s="819"/>
      <c r="AW11" s="18"/>
      <c r="AX11" s="18"/>
      <c r="AY11" s="18"/>
      <c r="AZ11" s="18"/>
      <c r="BA11" s="18"/>
      <c r="BB11" s="18"/>
    </row>
    <row r="12" spans="1:54" x14ac:dyDescent="0.25">
      <c r="A12" s="398">
        <v>4</v>
      </c>
      <c r="B12" s="322" t="s">
        <v>66</v>
      </c>
      <c r="C12" s="409" t="str">
        <f>Man_03</f>
        <v>Man 03 Responsible construction practices</v>
      </c>
      <c r="D12" s="147">
        <f>Man03_credits</f>
        <v>6</v>
      </c>
      <c r="E12" s="45"/>
      <c r="F12" s="148">
        <f>Man03_18</f>
        <v>0</v>
      </c>
      <c r="G12" s="150" t="str">
        <f>Man03_minstd</f>
        <v>Very Good</v>
      </c>
      <c r="H12" s="88"/>
      <c r="I12" s="339"/>
      <c r="J12" s="341"/>
      <c r="K12" s="410"/>
      <c r="L12" s="48"/>
      <c r="M12" s="89"/>
      <c r="N12" s="88"/>
      <c r="O12" s="88"/>
      <c r="P12" s="341"/>
      <c r="Q12" s="411"/>
      <c r="R12" s="91"/>
      <c r="S12" s="89"/>
      <c r="T12" s="88"/>
      <c r="U12" s="867" t="s">
        <v>564</v>
      </c>
      <c r="V12" s="341"/>
      <c r="W12" s="162"/>
      <c r="X12" s="819" t="s">
        <v>15</v>
      </c>
      <c r="Y12" s="122">
        <f t="shared" si="0"/>
        <v>1</v>
      </c>
      <c r="Z12" s="3" t="e">
        <f>VLOOKUP(I12,'Assessment Details'!$L$45:$M$48,2,FALSE)</f>
        <v>#N/A</v>
      </c>
      <c r="AA12" s="3" t="e">
        <f>VLOOKUP(N12,'Assessment Details'!$L$45:$M$48,2,FALSE)</f>
        <v>#N/A</v>
      </c>
      <c r="AB12" s="3" t="e">
        <f>VLOOKUP(T12,'Assessment Details'!$L$45:$M$48,2,FALSE)</f>
        <v>#N/A</v>
      </c>
      <c r="AE12" s="77"/>
      <c r="AF12" s="852" t="s">
        <v>343</v>
      </c>
      <c r="AG12" s="77"/>
      <c r="AH12" s="77"/>
      <c r="AI12" s="77"/>
      <c r="AJ12" s="77"/>
      <c r="AK12" s="77"/>
      <c r="AL12" s="77"/>
      <c r="AO12" s="24" t="str">
        <f t="shared" si="1"/>
        <v>N/A</v>
      </c>
      <c r="AP12" s="24" t="str">
        <f t="shared" si="2"/>
        <v>N/A</v>
      </c>
      <c r="AQ12" s="24" t="str">
        <f t="shared" si="3"/>
        <v>N/A</v>
      </c>
      <c r="AR12" s="24"/>
      <c r="AS12" s="24"/>
      <c r="AT12" s="24"/>
      <c r="AU12" s="18"/>
      <c r="AV12" s="819"/>
      <c r="AW12" s="18"/>
      <c r="AX12" s="18"/>
      <c r="AY12" s="18"/>
      <c r="AZ12" s="18"/>
      <c r="BA12" s="18"/>
      <c r="BB12" s="18"/>
    </row>
    <row r="13" spans="1:54" x14ac:dyDescent="0.25">
      <c r="A13" s="398">
        <v>5</v>
      </c>
      <c r="B13" s="322" t="s">
        <v>66</v>
      </c>
      <c r="C13" s="409" t="str">
        <f>Man_04</f>
        <v>Man 04 Commissioning and handover</v>
      </c>
      <c r="D13" s="147">
        <f>Man04_credits</f>
        <v>3</v>
      </c>
      <c r="E13" s="45"/>
      <c r="F13" s="148">
        <f>Man04_cont</f>
        <v>0</v>
      </c>
      <c r="G13" s="150" t="str">
        <f>Man04_minstd</f>
        <v>Unclassified</v>
      </c>
      <c r="H13" s="88"/>
      <c r="I13" s="339"/>
      <c r="J13" s="341"/>
      <c r="K13" s="412"/>
      <c r="L13" s="48"/>
      <c r="M13" s="89"/>
      <c r="N13" s="88"/>
      <c r="O13" s="88"/>
      <c r="P13" s="341"/>
      <c r="Q13" s="411"/>
      <c r="R13" s="91"/>
      <c r="S13" s="89"/>
      <c r="T13" s="88"/>
      <c r="U13" s="88"/>
      <c r="V13" s="341"/>
      <c r="W13" s="162"/>
      <c r="X13" s="819" t="s">
        <v>14</v>
      </c>
      <c r="Y13" s="122">
        <f t="shared" si="0"/>
        <v>1</v>
      </c>
      <c r="Z13" s="3" t="e">
        <f>VLOOKUP(I13,'Assessment Details'!$L$45:$M$48,2,FALSE)</f>
        <v>#N/A</v>
      </c>
      <c r="AA13" s="3" t="e">
        <f>VLOOKUP(N13,'Assessment Details'!$L$45:$M$48,2,FALSE)</f>
        <v>#N/A</v>
      </c>
      <c r="AB13" s="3" t="e">
        <f>VLOOKUP(T13,'Assessment Details'!$L$45:$M$48,2,FALSE)</f>
        <v>#N/A</v>
      </c>
      <c r="AE13" s="77"/>
      <c r="AF13" s="852" t="s">
        <v>505</v>
      </c>
      <c r="AG13" s="827" t="s">
        <v>526</v>
      </c>
      <c r="AH13" s="827" t="s">
        <v>527</v>
      </c>
      <c r="AI13" s="827" t="s">
        <v>528</v>
      </c>
      <c r="AJ13" s="77"/>
      <c r="AK13" s="77"/>
      <c r="AL13" s="77"/>
      <c r="AN13" s="1" t="s">
        <v>14</v>
      </c>
      <c r="AO13" s="24" t="str">
        <f t="shared" si="1"/>
        <v>N/A</v>
      </c>
      <c r="AP13" s="24" t="str">
        <f t="shared" si="2"/>
        <v>N/A</v>
      </c>
      <c r="AQ13" s="24" t="str">
        <f t="shared" si="3"/>
        <v>N/A</v>
      </c>
      <c r="AR13" s="24"/>
      <c r="AS13" s="24"/>
      <c r="AT13" s="24"/>
      <c r="AU13" s="18"/>
      <c r="AV13" s="819"/>
      <c r="AW13" s="18"/>
      <c r="AX13" s="18"/>
      <c r="AY13" s="18"/>
      <c r="AZ13" s="18"/>
      <c r="BA13" s="18"/>
      <c r="BB13" s="18"/>
    </row>
    <row r="14" spans="1:54" x14ac:dyDescent="0.25">
      <c r="A14" s="398">
        <v>6</v>
      </c>
      <c r="B14" s="322" t="s">
        <v>66</v>
      </c>
      <c r="C14" s="409" t="str">
        <f>Man_05</f>
        <v>Man 05 Aftercare</v>
      </c>
      <c r="D14" s="147">
        <f>Man05_credits</f>
        <v>3</v>
      </c>
      <c r="E14" s="45"/>
      <c r="F14" s="148">
        <f>Man05_cont</f>
        <v>0</v>
      </c>
      <c r="G14" s="150" t="str">
        <f>Man05_minstd</f>
        <v>Very Good</v>
      </c>
      <c r="H14" s="88"/>
      <c r="I14" s="339"/>
      <c r="J14" s="341"/>
      <c r="K14" s="412"/>
      <c r="L14" s="48"/>
      <c r="M14" s="89"/>
      <c r="N14" s="88"/>
      <c r="O14" s="88"/>
      <c r="P14" s="341"/>
      <c r="Q14" s="411"/>
      <c r="R14" s="91"/>
      <c r="S14" s="89"/>
      <c r="T14" s="88"/>
      <c r="U14" s="88"/>
      <c r="V14" s="341"/>
      <c r="W14" s="162"/>
      <c r="X14" s="819" t="s">
        <v>14</v>
      </c>
      <c r="Y14" s="122">
        <f t="shared" si="0"/>
        <v>1</v>
      </c>
      <c r="Z14" s="1" t="e">
        <f>VLOOKUP(I14,'Assessment Details'!$L$45:$M$48,2,FALSE)</f>
        <v>#N/A</v>
      </c>
      <c r="AA14" s="1" t="e">
        <f>VLOOKUP(N14,'Assessment Details'!$L$45:$M$48,2,FALSE)</f>
        <v>#N/A</v>
      </c>
      <c r="AB14" s="1" t="e">
        <f>VLOOKUP(T14,'Assessment Details'!$L$45:$M$48,2,FALSE)</f>
        <v>#N/A</v>
      </c>
      <c r="AC14" s="28"/>
      <c r="AE14" s="77"/>
      <c r="AF14" s="852" t="s">
        <v>345</v>
      </c>
      <c r="AG14" s="827" t="s">
        <v>526</v>
      </c>
      <c r="AH14" s="827" t="s">
        <v>528</v>
      </c>
      <c r="AI14" s="77"/>
      <c r="AJ14" s="77"/>
      <c r="AK14" s="77"/>
      <c r="AL14" s="77"/>
      <c r="AN14" s="1" t="s">
        <v>14</v>
      </c>
      <c r="AO14" s="24" t="str">
        <f t="shared" si="1"/>
        <v>N/A</v>
      </c>
      <c r="AP14" s="24" t="str">
        <f t="shared" si="2"/>
        <v>N/A</v>
      </c>
      <c r="AQ14" s="24" t="str">
        <f t="shared" si="3"/>
        <v>N/A</v>
      </c>
      <c r="AR14" s="24"/>
      <c r="AS14" s="24"/>
      <c r="AT14" s="24"/>
      <c r="AU14" s="18"/>
      <c r="AV14" s="819"/>
      <c r="AW14" s="18"/>
      <c r="AX14" s="18"/>
      <c r="AY14" s="18"/>
      <c r="AZ14" s="18"/>
      <c r="BA14" s="18"/>
      <c r="BB14" s="18"/>
    </row>
    <row r="15" spans="1:54" ht="15.75" thickBot="1" x14ac:dyDescent="0.3">
      <c r="A15" s="398">
        <v>7</v>
      </c>
      <c r="B15" s="322" t="s">
        <v>66</v>
      </c>
      <c r="C15" s="413" t="s">
        <v>107</v>
      </c>
      <c r="D15" s="151">
        <f>Man_Credits</f>
        <v>20</v>
      </c>
      <c r="E15" s="160"/>
      <c r="F15" s="152">
        <f>Man_cont_tot</f>
        <v>0</v>
      </c>
      <c r="G15" s="153" t="str">
        <f>"Credits achieved: "&amp;Man_tot_user</f>
        <v>Credits achieved: 0</v>
      </c>
      <c r="H15" s="163"/>
      <c r="I15" s="340"/>
      <c r="J15" s="342"/>
      <c r="K15" s="410"/>
      <c r="L15" s="515"/>
      <c r="M15" s="510"/>
      <c r="N15" s="164"/>
      <c r="O15" s="510"/>
      <c r="P15" s="342"/>
      <c r="Q15" s="411"/>
      <c r="R15" s="516"/>
      <c r="S15" s="510"/>
      <c r="T15" s="164"/>
      <c r="U15" s="510"/>
      <c r="V15" s="342"/>
      <c r="W15" s="162"/>
      <c r="X15" s="820"/>
      <c r="Y15" s="122">
        <f t="shared" si="0"/>
        <v>1</v>
      </c>
      <c r="Z15" s="333">
        <v>0</v>
      </c>
      <c r="AA15" s="333">
        <v>0</v>
      </c>
      <c r="AB15" s="333">
        <v>0</v>
      </c>
      <c r="AC15" s="28"/>
      <c r="AE15" s="77"/>
      <c r="AF15" s="852" t="s">
        <v>107</v>
      </c>
      <c r="AG15" s="77"/>
      <c r="AH15" s="77"/>
      <c r="AI15" s="77"/>
      <c r="AJ15" s="77"/>
      <c r="AK15" s="77"/>
      <c r="AL15" s="77"/>
      <c r="AO15" s="24" t="str">
        <f t="shared" si="1"/>
        <v>N/A</v>
      </c>
      <c r="AP15" s="24" t="str">
        <f t="shared" si="2"/>
        <v>N/A</v>
      </c>
      <c r="AQ15" s="24" t="str">
        <f t="shared" si="3"/>
        <v>N/A</v>
      </c>
      <c r="AR15" s="24"/>
      <c r="AS15" s="24"/>
      <c r="AT15" s="24"/>
      <c r="AU15" s="18"/>
      <c r="AV15" s="820"/>
      <c r="AW15" s="18"/>
      <c r="AX15" s="18"/>
      <c r="AY15" s="18"/>
      <c r="AZ15" s="18"/>
      <c r="BA15" s="18"/>
      <c r="BB15" s="18"/>
    </row>
    <row r="16" spans="1:54" x14ac:dyDescent="0.25">
      <c r="A16" s="398">
        <v>8</v>
      </c>
      <c r="B16" s="322" t="s">
        <v>66</v>
      </c>
      <c r="C16" s="414"/>
      <c r="D16" s="415"/>
      <c r="E16" s="416"/>
      <c r="F16" s="415"/>
      <c r="G16" s="415"/>
      <c r="H16" s="417"/>
      <c r="I16" s="416"/>
      <c r="J16" s="417"/>
      <c r="K16" s="410"/>
      <c r="L16" s="416"/>
      <c r="M16" s="417"/>
      <c r="N16" s="418"/>
      <c r="O16" s="417"/>
      <c r="P16" s="417"/>
      <c r="Q16" s="419"/>
      <c r="R16" s="418"/>
      <c r="S16" s="417"/>
      <c r="T16" s="418"/>
      <c r="U16" s="417"/>
      <c r="V16" s="417"/>
      <c r="W16" s="962"/>
      <c r="X16" s="417"/>
      <c r="Y16" s="122">
        <f t="shared" si="0"/>
        <v>1</v>
      </c>
      <c r="Z16" s="335">
        <v>0</v>
      </c>
      <c r="AA16" s="335">
        <v>0</v>
      </c>
      <c r="AB16" s="335">
        <v>0</v>
      </c>
      <c r="AE16" s="77"/>
      <c r="AF16" s="853"/>
      <c r="AG16" s="77"/>
      <c r="AH16" s="77"/>
      <c r="AI16" s="77"/>
      <c r="AJ16" s="77"/>
      <c r="AK16" s="77"/>
      <c r="AL16" s="77"/>
      <c r="AO16" s="24" t="str">
        <f t="shared" si="1"/>
        <v>N/A</v>
      </c>
      <c r="AP16" s="24" t="str">
        <f t="shared" si="2"/>
        <v>N/A</v>
      </c>
      <c r="AQ16" s="24" t="str">
        <f t="shared" si="3"/>
        <v>N/A</v>
      </c>
      <c r="AR16" s="24"/>
      <c r="AS16" s="24"/>
      <c r="AT16" s="24"/>
      <c r="AV16" s="417"/>
    </row>
    <row r="17" spans="1:48" ht="18.75" x14ac:dyDescent="0.25">
      <c r="A17" s="398">
        <v>9</v>
      </c>
      <c r="B17" s="322" t="s">
        <v>69</v>
      </c>
      <c r="C17" s="420" t="s">
        <v>49</v>
      </c>
      <c r="D17" s="401"/>
      <c r="E17" s="402"/>
      <c r="F17" s="401"/>
      <c r="G17" s="401"/>
      <c r="H17" s="421"/>
      <c r="I17" s="422"/>
      <c r="J17" s="423"/>
      <c r="K17" s="412"/>
      <c r="L17" s="405"/>
      <c r="M17" s="424"/>
      <c r="N17" s="425"/>
      <c r="O17" s="424"/>
      <c r="P17" s="511"/>
      <c r="Q17" s="411"/>
      <c r="R17" s="426"/>
      <c r="S17" s="424"/>
      <c r="T17" s="425"/>
      <c r="U17" s="424"/>
      <c r="V17" s="511"/>
      <c r="W17" s="162"/>
      <c r="X17" s="423"/>
      <c r="Y17" s="122">
        <f t="shared" si="0"/>
        <v>1</v>
      </c>
      <c r="Z17" s="331">
        <v>0</v>
      </c>
      <c r="AA17" s="331">
        <v>0</v>
      </c>
      <c r="AB17" s="331">
        <v>0</v>
      </c>
      <c r="AE17" s="77"/>
      <c r="AF17" s="853" t="s">
        <v>49</v>
      </c>
      <c r="AG17" s="77"/>
      <c r="AH17" s="77"/>
      <c r="AI17" s="77"/>
      <c r="AJ17" s="77"/>
      <c r="AK17" s="77"/>
      <c r="AL17" s="77"/>
      <c r="AO17" s="24" t="str">
        <f t="shared" si="1"/>
        <v>N/A</v>
      </c>
      <c r="AP17" s="24" t="str">
        <f t="shared" si="2"/>
        <v>N/A</v>
      </c>
      <c r="AQ17" s="24" t="str">
        <f t="shared" si="3"/>
        <v>N/A</v>
      </c>
      <c r="AR17" s="24"/>
      <c r="AS17" s="24"/>
      <c r="AT17" s="24"/>
      <c r="AV17" s="423"/>
    </row>
    <row r="18" spans="1:48" ht="15" customHeight="1" x14ac:dyDescent="0.25">
      <c r="A18" s="398">
        <v>10</v>
      </c>
      <c r="B18" s="322" t="s">
        <v>69</v>
      </c>
      <c r="C18" s="409" t="str">
        <f>Hea_01</f>
        <v>Hea 01 Visual comfort</v>
      </c>
      <c r="D18" s="147">
        <f>Hea01_credits</f>
        <v>4</v>
      </c>
      <c r="E18" s="45"/>
      <c r="F18" s="148">
        <f>Hea01_27</f>
        <v>0</v>
      </c>
      <c r="G18" s="154" t="str">
        <f>Hea01_minstd</f>
        <v>Unclassified</v>
      </c>
      <c r="H18" s="88"/>
      <c r="I18" s="339"/>
      <c r="J18" s="341"/>
      <c r="K18" s="412"/>
      <c r="L18" s="48"/>
      <c r="M18" s="89"/>
      <c r="N18" s="88" t="s">
        <v>0</v>
      </c>
      <c r="O18" s="512"/>
      <c r="P18" s="341"/>
      <c r="Q18" s="411"/>
      <c r="R18" s="91"/>
      <c r="S18" s="89"/>
      <c r="T18" s="88" t="s">
        <v>0</v>
      </c>
      <c r="U18" s="512"/>
      <c r="V18" s="341"/>
      <c r="W18" s="162"/>
      <c r="X18" s="865" t="s">
        <v>14</v>
      </c>
      <c r="Y18" s="122">
        <f t="shared" si="0"/>
        <v>1</v>
      </c>
      <c r="Z18" s="3" t="e">
        <f>VLOOKUP(I18,'Assessment Details'!$L$45:$M$48,2,FALSE)</f>
        <v>#N/A</v>
      </c>
      <c r="AA18" s="3">
        <f>VLOOKUP(N18,'Assessment Details'!$L$45:$M$48,2,FALSE)</f>
        <v>4</v>
      </c>
      <c r="AB18" s="3">
        <f>VLOOKUP(T18,'Assessment Details'!$L$45:$M$48,2,FALSE)</f>
        <v>4</v>
      </c>
      <c r="AE18" s="77" t="str">
        <f>ais_yes</f>
        <v>Ja</v>
      </c>
      <c r="AF18" s="853" t="s">
        <v>122</v>
      </c>
      <c r="AG18" s="830" t="s">
        <v>563</v>
      </c>
      <c r="AH18" s="830" t="s">
        <v>561</v>
      </c>
      <c r="AI18" s="830" t="s">
        <v>562</v>
      </c>
      <c r="AJ18" s="830" t="s">
        <v>577</v>
      </c>
      <c r="AK18" s="830" t="s">
        <v>576</v>
      </c>
      <c r="AL18" s="830" t="s">
        <v>578</v>
      </c>
      <c r="AN18" s="1" t="str">
        <f>IF($AF$7=ais_no,AIS_NA,"No")</f>
        <v>No</v>
      </c>
      <c r="AO18" s="24" t="str">
        <f t="shared" ref="AO18:AT18" si="4">IF(OR($AF$4=ais_no,$AF$7=ais_no),AIS_NA,IF(AG18="",AIS_NA,AG18))</f>
        <v>N/A</v>
      </c>
      <c r="AP18" s="24" t="str">
        <f t="shared" si="4"/>
        <v>N/A</v>
      </c>
      <c r="AQ18" s="24" t="str">
        <f t="shared" si="4"/>
        <v>N/A</v>
      </c>
      <c r="AR18" s="24" t="str">
        <f t="shared" si="4"/>
        <v>N/A</v>
      </c>
      <c r="AS18" s="24" t="str">
        <f t="shared" si="4"/>
        <v>N/A</v>
      </c>
      <c r="AT18" s="24" t="str">
        <f t="shared" si="4"/>
        <v>N/A</v>
      </c>
      <c r="AV18" s="819"/>
    </row>
    <row r="19" spans="1:48" x14ac:dyDescent="0.25">
      <c r="A19" s="398">
        <v>11</v>
      </c>
      <c r="B19" s="322" t="s">
        <v>69</v>
      </c>
      <c r="C19" s="409" t="str">
        <f>Hea01_Crit1</f>
        <v>Hea 01 Visual comfort - Criteria 1</v>
      </c>
      <c r="D19" s="147" t="str">
        <f>Hea01_Crit1_credits</f>
        <v>Yes/No</v>
      </c>
      <c r="E19" s="45"/>
      <c r="F19" s="148" t="str">
        <f>Hea01_Crit1_cont</f>
        <v>-</v>
      </c>
      <c r="G19" s="154" t="str">
        <f>Hea01_minstd</f>
        <v>Unclassified</v>
      </c>
      <c r="H19" s="88"/>
      <c r="I19" s="339"/>
      <c r="J19" s="341"/>
      <c r="K19" s="410"/>
      <c r="L19" s="48"/>
      <c r="M19" s="89"/>
      <c r="N19" s="88" t="s">
        <v>0</v>
      </c>
      <c r="O19" s="512"/>
      <c r="P19" s="341"/>
      <c r="Q19" s="411"/>
      <c r="R19" s="91"/>
      <c r="S19" s="89"/>
      <c r="T19" s="88"/>
      <c r="U19" s="512"/>
      <c r="V19" s="341"/>
      <c r="W19" s="162"/>
      <c r="X19" s="819" t="s">
        <v>15</v>
      </c>
      <c r="Y19" s="122">
        <f t="shared" si="0"/>
        <v>1</v>
      </c>
      <c r="Z19" s="3" t="e">
        <f>VLOOKUP(I19,'Assessment Details'!$L$45:$M$48,2,FALSE)</f>
        <v>#N/A</v>
      </c>
      <c r="AA19" s="3">
        <f>VLOOKUP(N19,'Assessment Details'!$L$45:$M$48,2,FALSE)</f>
        <v>4</v>
      </c>
      <c r="AB19" s="3" t="e">
        <f>VLOOKUP(T19,'Assessment Details'!$L$45:$M$48,2,FALSE)</f>
        <v>#N/A</v>
      </c>
      <c r="AE19" s="77"/>
      <c r="AF19" s="853" t="s">
        <v>281</v>
      </c>
      <c r="AG19" s="77"/>
      <c r="AH19" s="77"/>
      <c r="AI19" s="77"/>
      <c r="AJ19" s="77"/>
      <c r="AK19" s="77"/>
      <c r="AL19" s="77"/>
      <c r="AO19" s="24" t="str">
        <f t="shared" si="1"/>
        <v>N/A</v>
      </c>
      <c r="AP19" s="24" t="str">
        <f t="shared" si="2"/>
        <v>N/A</v>
      </c>
      <c r="AQ19" s="24" t="str">
        <f t="shared" si="3"/>
        <v>N/A</v>
      </c>
      <c r="AR19" s="24"/>
      <c r="AS19" s="24"/>
      <c r="AT19" s="24"/>
      <c r="AV19" s="819"/>
    </row>
    <row r="20" spans="1:48" x14ac:dyDescent="0.25">
      <c r="A20" s="398">
        <v>12</v>
      </c>
      <c r="B20" s="322" t="s">
        <v>69</v>
      </c>
      <c r="C20" s="409" t="str">
        <f>Hea_02</f>
        <v>Hea 02 Indoor air quality</v>
      </c>
      <c r="D20" s="147">
        <f>Hea02_credits</f>
        <v>5</v>
      </c>
      <c r="E20" s="45"/>
      <c r="F20" s="148">
        <f>Hea02_26</f>
        <v>0</v>
      </c>
      <c r="G20" s="155" t="str">
        <f>Hea02_minstd</f>
        <v>Good</v>
      </c>
      <c r="H20" s="88"/>
      <c r="I20" s="339"/>
      <c r="J20" s="341"/>
      <c r="K20" s="412"/>
      <c r="L20" s="48"/>
      <c r="M20" s="89"/>
      <c r="N20" s="88"/>
      <c r="O20" s="512"/>
      <c r="P20" s="341"/>
      <c r="Q20" s="411"/>
      <c r="R20" s="91"/>
      <c r="S20" s="89"/>
      <c r="T20" s="88" t="s">
        <v>0</v>
      </c>
      <c r="U20" s="512"/>
      <c r="V20" s="341"/>
      <c r="W20" s="162"/>
      <c r="X20" s="819" t="s">
        <v>567</v>
      </c>
      <c r="Y20" s="122">
        <f t="shared" si="0"/>
        <v>1</v>
      </c>
      <c r="Z20" s="3" t="e">
        <f>VLOOKUP(I20,'Assessment Details'!$L$45:$M$48,2,FALSE)</f>
        <v>#N/A</v>
      </c>
      <c r="AA20" s="3" t="e">
        <f>VLOOKUP(N20,'Assessment Details'!$L$45:$M$48,2,FALSE)</f>
        <v>#N/A</v>
      </c>
      <c r="AB20" s="3">
        <f>VLOOKUP(T20,'Assessment Details'!$L$45:$M$48,2,FALSE)</f>
        <v>4</v>
      </c>
      <c r="AE20" s="77" t="str">
        <f>ais_yes</f>
        <v>Ja</v>
      </c>
      <c r="AF20" s="853" t="s">
        <v>116</v>
      </c>
      <c r="AG20" s="830" t="s">
        <v>565</v>
      </c>
      <c r="AH20" s="830" t="s">
        <v>566</v>
      </c>
      <c r="AI20" s="830" t="s">
        <v>567</v>
      </c>
      <c r="AJ20" s="830" t="s">
        <v>568</v>
      </c>
      <c r="AK20" s="830" t="s">
        <v>558</v>
      </c>
      <c r="AL20" s="830"/>
      <c r="AN20" s="1" t="s">
        <v>14</v>
      </c>
      <c r="AO20" s="24" t="str">
        <f t="shared" si="1"/>
        <v>N/A</v>
      </c>
      <c r="AP20" s="24" t="str">
        <f t="shared" si="2"/>
        <v>N/A</v>
      </c>
      <c r="AQ20" s="24" t="str">
        <f t="shared" si="3"/>
        <v>N/A</v>
      </c>
      <c r="AR20" s="24" t="str">
        <f t="shared" ref="AR20" si="5">IF($AF$4=ais_no,AIS_NA,IF(AJ20="",AIS_NA,AJ20))</f>
        <v>N/A</v>
      </c>
      <c r="AS20" s="24" t="str">
        <f t="shared" ref="AS20" si="6">IF($AF$4=ais_no,AIS_NA,IF(AK20="",AIS_NA,AK20))</f>
        <v>N/A</v>
      </c>
      <c r="AT20" s="24"/>
      <c r="AV20" s="819"/>
    </row>
    <row r="21" spans="1:48" x14ac:dyDescent="0.25">
      <c r="A21" s="398">
        <v>13</v>
      </c>
      <c r="B21" s="322" t="s">
        <v>69</v>
      </c>
      <c r="C21" s="409" t="str">
        <f>Hea_03</f>
        <v>Hea 03 Thermal comfort</v>
      </c>
      <c r="D21" s="147">
        <f>Hea03_credits</f>
        <v>2</v>
      </c>
      <c r="E21" s="45"/>
      <c r="F21" s="148">
        <f>Hea03_contr</f>
        <v>0</v>
      </c>
      <c r="G21" s="155" t="str">
        <f>Hea03_11</f>
        <v>N/A</v>
      </c>
      <c r="H21" s="88"/>
      <c r="I21" s="339" t="s">
        <v>0</v>
      </c>
      <c r="J21" s="341"/>
      <c r="K21" s="410"/>
      <c r="L21" s="48"/>
      <c r="M21" s="89"/>
      <c r="N21" s="88"/>
      <c r="O21" s="512"/>
      <c r="P21" s="341"/>
      <c r="Q21" s="411"/>
      <c r="R21" s="91"/>
      <c r="S21" s="89"/>
      <c r="T21" s="88"/>
      <c r="U21" s="512"/>
      <c r="V21" s="341"/>
      <c r="W21" s="162"/>
      <c r="X21" s="819" t="s">
        <v>14</v>
      </c>
      <c r="Y21" s="122">
        <f t="shared" si="0"/>
        <v>1</v>
      </c>
      <c r="Z21" s="3">
        <f>VLOOKUP(I21,'Assessment Details'!$L$45:$M$48,2,FALSE)</f>
        <v>4</v>
      </c>
      <c r="AA21" s="3" t="e">
        <f>VLOOKUP(N21,'Assessment Details'!$L$45:$M$48,2,FALSE)</f>
        <v>#N/A</v>
      </c>
      <c r="AB21" s="3" t="e">
        <f>VLOOKUP(T21,'Assessment Details'!$L$45:$M$48,2,FALSE)</f>
        <v>#N/A</v>
      </c>
      <c r="AE21" s="77" t="str">
        <f>ais_yes</f>
        <v>Ja</v>
      </c>
      <c r="AF21" s="853" t="s">
        <v>117</v>
      </c>
      <c r="AG21" s="827" t="s">
        <v>526</v>
      </c>
      <c r="AH21" s="827" t="s">
        <v>530</v>
      </c>
      <c r="AI21" s="827" t="s">
        <v>528</v>
      </c>
      <c r="AJ21" s="77"/>
      <c r="AK21" s="77"/>
      <c r="AL21" s="77"/>
      <c r="AN21" s="1" t="s">
        <v>14</v>
      </c>
      <c r="AO21" s="24" t="str">
        <f t="shared" si="1"/>
        <v>N/A</v>
      </c>
      <c r="AP21" s="24" t="str">
        <f t="shared" si="2"/>
        <v>N/A</v>
      </c>
      <c r="AQ21" s="24" t="str">
        <f t="shared" si="3"/>
        <v>N/A</v>
      </c>
      <c r="AR21" s="24"/>
      <c r="AS21" s="24"/>
      <c r="AT21" s="24"/>
      <c r="AV21" s="819"/>
    </row>
    <row r="22" spans="1:48" x14ac:dyDescent="0.25">
      <c r="A22" s="398">
        <v>14</v>
      </c>
      <c r="B22" s="322" t="s">
        <v>69</v>
      </c>
      <c r="C22" s="409" t="str">
        <f>Hea_04</f>
        <v>Hea 04 Microbial contamination</v>
      </c>
      <c r="D22" s="147">
        <f>Hea04_credits</f>
        <v>1</v>
      </c>
      <c r="E22" s="45"/>
      <c r="F22" s="148">
        <f>Hea04_13</f>
        <v>0</v>
      </c>
      <c r="G22" s="155" t="str">
        <f>Hea04_11</f>
        <v>N/A</v>
      </c>
      <c r="H22" s="88"/>
      <c r="I22" s="339"/>
      <c r="J22" s="341"/>
      <c r="K22" s="412"/>
      <c r="L22" s="48"/>
      <c r="M22" s="89"/>
      <c r="N22" s="88"/>
      <c r="O22" s="512"/>
      <c r="P22" s="341"/>
      <c r="Q22" s="411"/>
      <c r="R22" s="91"/>
      <c r="S22" s="89"/>
      <c r="T22" s="88"/>
      <c r="U22" s="512"/>
      <c r="V22" s="341"/>
      <c r="W22" s="162"/>
      <c r="X22" s="819" t="s">
        <v>14</v>
      </c>
      <c r="Y22" s="122">
        <f t="shared" si="0"/>
        <v>1</v>
      </c>
      <c r="Z22" s="3" t="e">
        <f>VLOOKUP(I22,'Assessment Details'!$L$45:$M$48,2,FALSE)</f>
        <v>#N/A</v>
      </c>
      <c r="AA22" s="3" t="e">
        <f>VLOOKUP(N22,'Assessment Details'!$L$45:$M$48,2,FALSE)</f>
        <v>#N/A</v>
      </c>
      <c r="AB22" s="3" t="e">
        <f>VLOOKUP(T22,'Assessment Details'!$L$45:$M$48,2,FALSE)</f>
        <v>#N/A</v>
      </c>
      <c r="AE22" s="77" t="str">
        <f>ais_yes</f>
        <v>Ja</v>
      </c>
      <c r="AF22" s="853" t="s">
        <v>118</v>
      </c>
      <c r="AG22" s="827" t="s">
        <v>526</v>
      </c>
      <c r="AH22" s="827" t="s">
        <v>530</v>
      </c>
      <c r="AI22" s="827" t="s">
        <v>528</v>
      </c>
      <c r="AJ22" s="77"/>
      <c r="AK22" s="77"/>
      <c r="AL22" s="77"/>
      <c r="AN22" s="1" t="s">
        <v>14</v>
      </c>
      <c r="AO22" s="24" t="str">
        <f t="shared" si="1"/>
        <v>N/A</v>
      </c>
      <c r="AP22" s="24" t="str">
        <f t="shared" si="2"/>
        <v>N/A</v>
      </c>
      <c r="AQ22" s="24" t="str">
        <f t="shared" si="3"/>
        <v>N/A</v>
      </c>
      <c r="AR22" s="24"/>
      <c r="AS22" s="24"/>
      <c r="AT22" s="24"/>
      <c r="AV22" s="819"/>
    </row>
    <row r="23" spans="1:48" x14ac:dyDescent="0.25">
      <c r="A23" s="398">
        <v>15</v>
      </c>
      <c r="B23" s="322" t="s">
        <v>69</v>
      </c>
      <c r="C23" s="409" t="str">
        <f>Hea_05</f>
        <v>Hea 05 Acoustic performance</v>
      </c>
      <c r="D23" s="147">
        <f>Hea05_credits</f>
        <v>2</v>
      </c>
      <c r="E23" s="45"/>
      <c r="F23" s="148">
        <f>Hea05_08</f>
        <v>0</v>
      </c>
      <c r="G23" s="155" t="str">
        <f>Hea05_minstd</f>
        <v>N/A</v>
      </c>
      <c r="H23" s="88"/>
      <c r="I23" s="339"/>
      <c r="J23" s="341"/>
      <c r="K23" s="412"/>
      <c r="L23" s="48"/>
      <c r="M23" s="89"/>
      <c r="N23" s="88"/>
      <c r="O23" s="512"/>
      <c r="P23" s="341"/>
      <c r="Q23" s="411"/>
      <c r="R23" s="91"/>
      <c r="S23" s="89"/>
      <c r="T23" s="88"/>
      <c r="U23" s="512"/>
      <c r="V23" s="341"/>
      <c r="W23" s="162"/>
      <c r="X23" s="819" t="s">
        <v>14</v>
      </c>
      <c r="Y23" s="122">
        <f t="shared" si="0"/>
        <v>1</v>
      </c>
      <c r="Z23" s="3" t="e">
        <f>VLOOKUP(I23,'Assessment Details'!$L$45:$M$48,2,FALSE)</f>
        <v>#N/A</v>
      </c>
      <c r="AA23" s="3" t="e">
        <f>VLOOKUP(N23,'Assessment Details'!$L$45:$M$48,2,FALSE)</f>
        <v>#N/A</v>
      </c>
      <c r="AB23" s="3" t="e">
        <f>VLOOKUP(T23,'Assessment Details'!$L$45:$M$48,2,FALSE)</f>
        <v>#N/A</v>
      </c>
      <c r="AE23" s="77"/>
      <c r="AF23" s="853" t="s">
        <v>134</v>
      </c>
      <c r="AG23" s="827" t="s">
        <v>14</v>
      </c>
      <c r="AH23" s="831" t="s">
        <v>13</v>
      </c>
      <c r="AI23" s="77"/>
      <c r="AJ23" s="77"/>
      <c r="AK23" s="77"/>
      <c r="AL23" s="77"/>
      <c r="AO23" s="24" t="str">
        <f t="shared" si="1"/>
        <v>N/A</v>
      </c>
      <c r="AP23" s="24" t="str">
        <f t="shared" si="2"/>
        <v>N/A</v>
      </c>
      <c r="AQ23" s="24" t="str">
        <f t="shared" si="3"/>
        <v>N/A</v>
      </c>
      <c r="AR23" s="24"/>
      <c r="AS23" s="24"/>
      <c r="AT23" s="24"/>
      <c r="AV23" s="819"/>
    </row>
    <row r="24" spans="1:48" x14ac:dyDescent="0.25">
      <c r="A24" s="398">
        <v>16</v>
      </c>
      <c r="B24" s="322" t="s">
        <v>69</v>
      </c>
      <c r="C24" s="409" t="str">
        <f>Hea_06</f>
        <v>Hea 06 Safe access</v>
      </c>
      <c r="D24" s="147">
        <f>Hea06_credits</f>
        <v>2</v>
      </c>
      <c r="E24" s="45"/>
      <c r="F24" s="148">
        <f>Hea06_contr</f>
        <v>0</v>
      </c>
      <c r="G24" s="155" t="str">
        <f>Hea06_minstd</f>
        <v>N/A</v>
      </c>
      <c r="H24" s="88"/>
      <c r="I24" s="339"/>
      <c r="J24" s="341"/>
      <c r="K24" s="410"/>
      <c r="L24" s="48"/>
      <c r="M24" s="89"/>
      <c r="N24" s="88"/>
      <c r="O24" s="512"/>
      <c r="P24" s="341"/>
      <c r="Q24" s="411"/>
      <c r="R24" s="91"/>
      <c r="S24" s="89"/>
      <c r="T24" s="88"/>
      <c r="U24" s="512"/>
      <c r="V24" s="341"/>
      <c r="W24" s="162"/>
      <c r="X24" s="819" t="s">
        <v>15</v>
      </c>
      <c r="Y24" s="122">
        <f t="shared" si="0"/>
        <v>1</v>
      </c>
      <c r="Z24" s="3" t="e">
        <f>VLOOKUP(I24,'Assessment Details'!$L$45:$M$48,2,FALSE)</f>
        <v>#N/A</v>
      </c>
      <c r="AA24" s="3" t="e">
        <f>VLOOKUP(N24,'Assessment Details'!$L$45:$M$48,2,FALSE)</f>
        <v>#N/A</v>
      </c>
      <c r="AB24" s="3" t="e">
        <f>VLOOKUP(T24,'Assessment Details'!$L$45:$M$48,2,FALSE)</f>
        <v>#N/A</v>
      </c>
      <c r="AE24" s="77"/>
      <c r="AF24" s="853" t="s">
        <v>119</v>
      </c>
      <c r="AG24" s="77"/>
      <c r="AH24" s="77"/>
      <c r="AI24" s="77"/>
      <c r="AJ24" s="77"/>
      <c r="AK24" s="77"/>
      <c r="AL24" s="77"/>
      <c r="AO24" s="24" t="str">
        <f t="shared" si="1"/>
        <v>N/A</v>
      </c>
      <c r="AP24" s="24" t="str">
        <f t="shared" si="2"/>
        <v>N/A</v>
      </c>
      <c r="AQ24" s="24" t="str">
        <f t="shared" si="3"/>
        <v>N/A</v>
      </c>
      <c r="AR24" s="24"/>
      <c r="AS24" s="24"/>
      <c r="AT24" s="24"/>
      <c r="AV24" s="819"/>
    </row>
    <row r="25" spans="1:48" x14ac:dyDescent="0.25">
      <c r="A25" s="398">
        <v>17</v>
      </c>
      <c r="B25" s="322" t="s">
        <v>69</v>
      </c>
      <c r="C25" s="409" t="str">
        <f>Hea_07</f>
        <v>Hea 07 Natural Hazards</v>
      </c>
      <c r="D25" s="147">
        <f>Hea07_Credits</f>
        <v>1</v>
      </c>
      <c r="E25" s="45"/>
      <c r="F25" s="148">
        <f>Hea07_contr</f>
        <v>0</v>
      </c>
      <c r="G25" s="155" t="str">
        <f>Hea07_minstd</f>
        <v>N/A</v>
      </c>
      <c r="H25" s="88"/>
      <c r="I25" s="339"/>
      <c r="J25" s="341"/>
      <c r="K25" s="412"/>
      <c r="L25" s="48"/>
      <c r="M25" s="89"/>
      <c r="N25" s="88"/>
      <c r="O25" s="512"/>
      <c r="P25" s="341"/>
      <c r="Q25" s="411"/>
      <c r="R25" s="91"/>
      <c r="S25" s="89"/>
      <c r="T25" s="88"/>
      <c r="U25" s="512"/>
      <c r="V25" s="341"/>
      <c r="W25" s="162"/>
      <c r="X25" s="819" t="s">
        <v>15</v>
      </c>
      <c r="Y25" s="122">
        <f t="shared" si="0"/>
        <v>1</v>
      </c>
      <c r="Z25" s="3" t="e">
        <f>VLOOKUP(I25,'Assessment Details'!$L$45:$M$48,2,FALSE)</f>
        <v>#N/A</v>
      </c>
      <c r="AA25" s="3" t="e">
        <f>VLOOKUP(N25,'Assessment Details'!$L$45:$M$48,2,FALSE)</f>
        <v>#N/A</v>
      </c>
      <c r="AB25" s="3" t="e">
        <f>VLOOKUP(T25,'Assessment Details'!$L$45:$M$48,2,FALSE)</f>
        <v>#N/A</v>
      </c>
      <c r="AE25" s="77"/>
      <c r="AF25" s="853" t="s">
        <v>120</v>
      </c>
      <c r="AG25" s="77"/>
      <c r="AH25" s="77"/>
      <c r="AI25" s="77"/>
      <c r="AJ25" s="77"/>
      <c r="AK25" s="77"/>
      <c r="AL25" s="77"/>
      <c r="AO25" s="24" t="str">
        <f t="shared" si="1"/>
        <v>N/A</v>
      </c>
      <c r="AP25" s="24" t="str">
        <f t="shared" si="2"/>
        <v>N/A</v>
      </c>
      <c r="AQ25" s="24" t="str">
        <f t="shared" si="3"/>
        <v>N/A</v>
      </c>
      <c r="AR25" s="24"/>
      <c r="AS25" s="24"/>
      <c r="AT25" s="24"/>
      <c r="AV25" s="819"/>
    </row>
    <row r="26" spans="1:48" x14ac:dyDescent="0.25">
      <c r="A26" s="398">
        <v>18</v>
      </c>
      <c r="B26" s="322" t="s">
        <v>69</v>
      </c>
      <c r="C26" s="409" t="str">
        <f>Hea_08</f>
        <v>Hea 08 Private space</v>
      </c>
      <c r="D26" s="147">
        <f>Hea08_Credits</f>
        <v>0</v>
      </c>
      <c r="E26" s="45"/>
      <c r="F26" s="148">
        <f>Hea08_contr</f>
        <v>0</v>
      </c>
      <c r="G26" s="156" t="str">
        <f>Hea08_minstd</f>
        <v>N/A</v>
      </c>
      <c r="H26" s="88"/>
      <c r="I26" s="339"/>
      <c r="J26" s="341"/>
      <c r="K26" s="410"/>
      <c r="L26" s="48"/>
      <c r="M26" s="89"/>
      <c r="N26" s="88"/>
      <c r="O26" s="512"/>
      <c r="P26" s="341"/>
      <c r="Q26" s="411"/>
      <c r="R26" s="91"/>
      <c r="S26" s="89"/>
      <c r="T26" s="88"/>
      <c r="U26" s="512"/>
      <c r="V26" s="341"/>
      <c r="W26" s="162"/>
      <c r="X26" s="819" t="s">
        <v>15</v>
      </c>
      <c r="Y26" s="122">
        <f t="shared" si="0"/>
        <v>2</v>
      </c>
      <c r="Z26" s="1" t="e">
        <f>VLOOKUP(I26,'Assessment Details'!$L$45:$M$48,2,FALSE)</f>
        <v>#N/A</v>
      </c>
      <c r="AA26" s="1" t="e">
        <f>VLOOKUP(N26,'Assessment Details'!$L$45:$M$48,2,FALSE)</f>
        <v>#N/A</v>
      </c>
      <c r="AB26" s="1" t="e">
        <f>VLOOKUP(T26,'Assessment Details'!$L$45:$M$48,2,FALSE)</f>
        <v>#N/A</v>
      </c>
      <c r="AE26" s="77"/>
      <c r="AF26" s="853" t="s">
        <v>123</v>
      </c>
      <c r="AG26" s="77"/>
      <c r="AH26" s="77"/>
      <c r="AI26" s="77"/>
      <c r="AJ26" s="77"/>
      <c r="AK26" s="77"/>
      <c r="AL26" s="77"/>
      <c r="AO26" s="24" t="str">
        <f t="shared" si="1"/>
        <v>N/A</v>
      </c>
      <c r="AP26" s="24" t="str">
        <f t="shared" si="2"/>
        <v>N/A</v>
      </c>
      <c r="AQ26" s="24" t="str">
        <f t="shared" si="3"/>
        <v>N/A</v>
      </c>
      <c r="AR26" s="24"/>
      <c r="AS26" s="24"/>
      <c r="AT26" s="24"/>
      <c r="AV26" s="819"/>
    </row>
    <row r="27" spans="1:48" x14ac:dyDescent="0.25">
      <c r="A27" s="398">
        <v>19</v>
      </c>
      <c r="B27" s="322" t="s">
        <v>69</v>
      </c>
      <c r="C27" s="409" t="str">
        <f>Hea_09</f>
        <v>Hea 09 Moisture protection</v>
      </c>
      <c r="D27" s="147">
        <f>Hea09_Credits</f>
        <v>3</v>
      </c>
      <c r="E27" s="45"/>
      <c r="F27" s="148">
        <f>Hea09_cont</f>
        <v>0</v>
      </c>
      <c r="G27" s="155" t="str">
        <f>Hea09_minstd</f>
        <v>Good</v>
      </c>
      <c r="H27" s="88"/>
      <c r="I27" s="339"/>
      <c r="J27" s="341"/>
      <c r="K27" s="412"/>
      <c r="L27" s="48"/>
      <c r="M27" s="89"/>
      <c r="N27" s="88"/>
      <c r="O27" s="512"/>
      <c r="P27" s="341"/>
      <c r="Q27" s="411"/>
      <c r="R27" s="91"/>
      <c r="S27" s="89"/>
      <c r="T27" s="88"/>
      <c r="U27" s="512"/>
      <c r="V27" s="341"/>
      <c r="W27" s="162"/>
      <c r="X27" s="819" t="s">
        <v>15</v>
      </c>
      <c r="Y27" s="122">
        <f t="shared" si="0"/>
        <v>1</v>
      </c>
      <c r="Z27" s="3" t="e">
        <f>VLOOKUP(I27,'Assessment Details'!$L$45:$M$48,2,FALSE)</f>
        <v>#N/A</v>
      </c>
      <c r="AA27" s="3" t="e">
        <f>VLOOKUP(N27,'Assessment Details'!$L$45:$M$48,2,FALSE)</f>
        <v>#N/A</v>
      </c>
      <c r="AB27" s="3" t="e">
        <f>VLOOKUP(T27,'Assessment Details'!$L$45:$M$48,2,FALSE)</f>
        <v>#N/A</v>
      </c>
      <c r="AE27" s="77"/>
      <c r="AF27" s="853" t="s">
        <v>121</v>
      </c>
      <c r="AG27" s="77"/>
      <c r="AH27" s="77"/>
      <c r="AI27" s="77"/>
      <c r="AJ27" s="77"/>
      <c r="AK27" s="77"/>
      <c r="AL27" s="77"/>
      <c r="AO27" s="24" t="str">
        <f t="shared" si="1"/>
        <v>N/A</v>
      </c>
      <c r="AP27" s="24" t="str">
        <f t="shared" si="2"/>
        <v>N/A</v>
      </c>
      <c r="AQ27" s="24" t="str">
        <f t="shared" si="3"/>
        <v>N/A</v>
      </c>
      <c r="AR27" s="24"/>
      <c r="AS27" s="24"/>
      <c r="AT27" s="24"/>
      <c r="AV27" s="819"/>
    </row>
    <row r="28" spans="1:48" ht="15.75" thickBot="1" x14ac:dyDescent="0.3">
      <c r="A28" s="398">
        <v>20</v>
      </c>
      <c r="B28" s="322" t="s">
        <v>69</v>
      </c>
      <c r="C28" s="413" t="s">
        <v>108</v>
      </c>
      <c r="D28" s="151">
        <f>Hea_Credits</f>
        <v>20</v>
      </c>
      <c r="E28" s="160"/>
      <c r="F28" s="152">
        <f>Hea_cont_tot</f>
        <v>0</v>
      </c>
      <c r="G28" s="153" t="str">
        <f>"Credits achieved: "&amp;HW_tot_user</f>
        <v>Credits achieved: 0</v>
      </c>
      <c r="H28" s="163"/>
      <c r="I28" s="340"/>
      <c r="J28" s="342"/>
      <c r="K28" s="412"/>
      <c r="L28" s="515"/>
      <c r="M28" s="510"/>
      <c r="N28" s="165"/>
      <c r="O28" s="163"/>
      <c r="P28" s="513"/>
      <c r="Q28" s="411"/>
      <c r="R28" s="516"/>
      <c r="S28" s="510"/>
      <c r="T28" s="165"/>
      <c r="U28" s="163"/>
      <c r="V28" s="513"/>
      <c r="W28" s="162"/>
      <c r="X28" s="820"/>
      <c r="Y28" s="122">
        <f t="shared" si="0"/>
        <v>1</v>
      </c>
      <c r="Z28" s="333">
        <v>0</v>
      </c>
      <c r="AA28" s="333">
        <v>0</v>
      </c>
      <c r="AB28" s="333">
        <v>0</v>
      </c>
      <c r="AE28" s="77"/>
      <c r="AF28" s="853" t="s">
        <v>108</v>
      </c>
      <c r="AG28" s="77"/>
      <c r="AH28" s="77"/>
      <c r="AI28" s="77"/>
      <c r="AJ28" s="77"/>
      <c r="AK28" s="77"/>
      <c r="AL28" s="77"/>
      <c r="AO28" s="24" t="str">
        <f t="shared" si="1"/>
        <v>N/A</v>
      </c>
      <c r="AP28" s="24" t="str">
        <f t="shared" si="2"/>
        <v>N/A</v>
      </c>
      <c r="AQ28" s="24" t="str">
        <f t="shared" si="3"/>
        <v>N/A</v>
      </c>
      <c r="AR28" s="24"/>
      <c r="AS28" s="24"/>
      <c r="AT28" s="24"/>
      <c r="AV28" s="820"/>
    </row>
    <row r="29" spans="1:48" x14ac:dyDescent="0.25">
      <c r="A29" s="398">
        <v>21</v>
      </c>
      <c r="B29" s="322" t="s">
        <v>69</v>
      </c>
      <c r="C29" s="427"/>
      <c r="D29" s="415"/>
      <c r="E29" s="416"/>
      <c r="F29" s="415"/>
      <c r="G29" s="415"/>
      <c r="H29" s="417"/>
      <c r="I29" s="416"/>
      <c r="J29" s="417"/>
      <c r="K29" s="410"/>
      <c r="L29" s="416"/>
      <c r="M29" s="417"/>
      <c r="N29" s="418"/>
      <c r="O29" s="417"/>
      <c r="P29" s="417"/>
      <c r="Q29" s="419"/>
      <c r="R29" s="418"/>
      <c r="S29" s="417"/>
      <c r="T29" s="418"/>
      <c r="U29" s="417"/>
      <c r="V29" s="417"/>
      <c r="W29" s="962"/>
      <c r="X29" s="417"/>
      <c r="Y29" s="122">
        <f t="shared" si="0"/>
        <v>1</v>
      </c>
      <c r="Z29" s="335">
        <v>0</v>
      </c>
      <c r="AA29" s="335">
        <v>0</v>
      </c>
      <c r="AB29" s="335">
        <v>0</v>
      </c>
      <c r="AE29" s="77"/>
      <c r="AF29" s="853"/>
      <c r="AG29" s="77"/>
      <c r="AH29" s="77"/>
      <c r="AI29" s="77"/>
      <c r="AJ29" s="77"/>
      <c r="AK29" s="77"/>
      <c r="AL29" s="77"/>
      <c r="AO29" s="24" t="str">
        <f t="shared" si="1"/>
        <v>N/A</v>
      </c>
      <c r="AP29" s="24" t="str">
        <f t="shared" si="2"/>
        <v>N/A</v>
      </c>
      <c r="AQ29" s="24" t="str">
        <f t="shared" si="3"/>
        <v>N/A</v>
      </c>
      <c r="AR29" s="24"/>
      <c r="AS29" s="24"/>
      <c r="AT29" s="24"/>
      <c r="AV29" s="417"/>
    </row>
    <row r="30" spans="1:48" ht="18.75" x14ac:dyDescent="0.25">
      <c r="A30" s="398">
        <v>22</v>
      </c>
      <c r="B30" s="322" t="s">
        <v>70</v>
      </c>
      <c r="C30" s="428" t="s">
        <v>48</v>
      </c>
      <c r="D30" s="401"/>
      <c r="E30" s="402"/>
      <c r="F30" s="429"/>
      <c r="G30" s="401"/>
      <c r="H30" s="421"/>
      <c r="I30" s="422"/>
      <c r="J30" s="430"/>
      <c r="K30" s="410"/>
      <c r="L30" s="431"/>
      <c r="M30" s="421"/>
      <c r="N30" s="432"/>
      <c r="O30" s="421"/>
      <c r="P30" s="514"/>
      <c r="Q30" s="411"/>
      <c r="R30" s="433"/>
      <c r="S30" s="421"/>
      <c r="T30" s="432"/>
      <c r="U30" s="421"/>
      <c r="V30" s="514"/>
      <c r="W30" s="162"/>
      <c r="X30" s="430"/>
      <c r="Y30" s="122">
        <f t="shared" si="0"/>
        <v>1</v>
      </c>
      <c r="Z30" s="331">
        <v>0</v>
      </c>
      <c r="AA30" s="331">
        <v>0</v>
      </c>
      <c r="AB30" s="331">
        <v>0</v>
      </c>
      <c r="AE30" s="77"/>
      <c r="AF30" s="853" t="s">
        <v>48</v>
      </c>
      <c r="AG30" s="77"/>
      <c r="AH30" s="77"/>
      <c r="AI30" s="77"/>
      <c r="AJ30" s="77"/>
      <c r="AK30" s="77"/>
      <c r="AL30" s="77"/>
      <c r="AO30" s="24" t="str">
        <f t="shared" si="1"/>
        <v>N/A</v>
      </c>
      <c r="AP30" s="24" t="str">
        <f t="shared" si="2"/>
        <v>N/A</v>
      </c>
      <c r="AQ30" s="24" t="str">
        <f t="shared" si="3"/>
        <v>N/A</v>
      </c>
      <c r="AR30" s="24"/>
      <c r="AS30" s="24"/>
      <c r="AT30" s="24"/>
      <c r="AV30" s="430"/>
    </row>
    <row r="31" spans="1:48" x14ac:dyDescent="0.25">
      <c r="A31" s="398">
        <v>23</v>
      </c>
      <c r="B31" s="322" t="s">
        <v>70</v>
      </c>
      <c r="C31" s="409" t="str">
        <f>Ene_01</f>
        <v>Ene 01 Energy efficiency</v>
      </c>
      <c r="D31" s="147">
        <f>Ene01_credits</f>
        <v>12</v>
      </c>
      <c r="E31" s="45"/>
      <c r="F31" s="148">
        <f>Ene01_42</f>
        <v>0</v>
      </c>
      <c r="G31" s="156" t="str">
        <f>Ene01_28</f>
        <v>Very Good</v>
      </c>
      <c r="H31" s="88"/>
      <c r="I31" s="339"/>
      <c r="J31" s="341"/>
      <c r="K31" s="412"/>
      <c r="L31" s="48"/>
      <c r="M31" s="89"/>
      <c r="N31" s="88"/>
      <c r="O31" s="512"/>
      <c r="P31" s="341"/>
      <c r="Q31" s="411"/>
      <c r="R31" s="91"/>
      <c r="S31" s="89"/>
      <c r="T31" s="88"/>
      <c r="U31" s="512"/>
      <c r="V31" s="341"/>
      <c r="W31" s="162"/>
      <c r="X31" s="819" t="s">
        <v>14</v>
      </c>
      <c r="Y31" s="122">
        <f t="shared" si="0"/>
        <v>1</v>
      </c>
      <c r="Z31" s="3" t="e">
        <f>VLOOKUP(I31,'Assessment Details'!$L$45:$M$48,2,FALSE)</f>
        <v>#N/A</v>
      </c>
      <c r="AA31" s="3" t="e">
        <f>VLOOKUP(N31,'Assessment Details'!$L$45:$M$48,2,FALSE)</f>
        <v>#N/A</v>
      </c>
      <c r="AB31" s="3" t="e">
        <f>VLOOKUP(T31,'Assessment Details'!$L$45:$M$48,2,FALSE)</f>
        <v>#N/A</v>
      </c>
      <c r="AE31" s="77"/>
      <c r="AF31" s="853" t="s">
        <v>135</v>
      </c>
      <c r="AG31" s="827" t="s">
        <v>526</v>
      </c>
      <c r="AH31" s="827" t="s">
        <v>528</v>
      </c>
      <c r="AI31" s="77"/>
      <c r="AJ31" s="77"/>
      <c r="AK31" s="77"/>
      <c r="AL31" s="77"/>
      <c r="AN31" s="1" t="s">
        <v>14</v>
      </c>
      <c r="AO31" s="24" t="str">
        <f t="shared" si="1"/>
        <v>N/A</v>
      </c>
      <c r="AP31" s="24" t="str">
        <f t="shared" si="2"/>
        <v>N/A</v>
      </c>
      <c r="AQ31" s="24" t="str">
        <f t="shared" si="3"/>
        <v>N/A</v>
      </c>
      <c r="AR31" s="24"/>
      <c r="AS31" s="24"/>
      <c r="AT31" s="24"/>
      <c r="AV31" s="819"/>
    </row>
    <row r="32" spans="1:48" x14ac:dyDescent="0.25">
      <c r="A32" s="398">
        <v>24</v>
      </c>
      <c r="B32" s="322" t="s">
        <v>70</v>
      </c>
      <c r="C32" s="409" t="str">
        <f>Ene_02</f>
        <v>Ene 02 Energy monitoring</v>
      </c>
      <c r="D32" s="147">
        <f>Ene02_credits</f>
        <v>3</v>
      </c>
      <c r="E32" s="45"/>
      <c r="F32" s="148">
        <f>Ene02_13</f>
        <v>0</v>
      </c>
      <c r="G32" s="155" t="str">
        <f>Ene02_12</f>
        <v>Good</v>
      </c>
      <c r="H32" s="88"/>
      <c r="I32" s="339"/>
      <c r="J32" s="341"/>
      <c r="K32" s="412"/>
      <c r="L32" s="48"/>
      <c r="M32" s="89"/>
      <c r="N32" s="88"/>
      <c r="O32" s="512"/>
      <c r="P32" s="341"/>
      <c r="Q32" s="411"/>
      <c r="R32" s="91"/>
      <c r="S32" s="89"/>
      <c r="T32" s="88"/>
      <c r="U32" s="512"/>
      <c r="V32" s="341"/>
      <c r="W32" s="162"/>
      <c r="X32" s="866" t="s">
        <v>574</v>
      </c>
      <c r="Y32" s="122">
        <f t="shared" si="0"/>
        <v>1</v>
      </c>
      <c r="Z32" s="1" t="e">
        <f>VLOOKUP(I32,'Assessment Details'!$L$45:$M$48,2,FALSE)</f>
        <v>#N/A</v>
      </c>
      <c r="AA32" s="1" t="e">
        <f>VLOOKUP(N32,'Assessment Details'!$L$45:$M$48,2,FALSE)</f>
        <v>#N/A</v>
      </c>
      <c r="AB32" s="1" t="e">
        <f>VLOOKUP(T32,'Assessment Details'!$L$45:$M$48,2,FALSE)</f>
        <v>#N/A</v>
      </c>
      <c r="AE32" s="77" t="str">
        <f>ais_yes</f>
        <v>Ja</v>
      </c>
      <c r="AF32" s="853" t="s">
        <v>144</v>
      </c>
      <c r="AG32" s="832" t="s">
        <v>572</v>
      </c>
      <c r="AH32" s="832" t="s">
        <v>573</v>
      </c>
      <c r="AI32" s="832" t="s">
        <v>574</v>
      </c>
      <c r="AJ32" s="832" t="s">
        <v>575</v>
      </c>
      <c r="AK32" s="832" t="s">
        <v>559</v>
      </c>
      <c r="AL32" s="77"/>
      <c r="AN32" s="1" t="str">
        <f>IF($AF$7=ais_no,AIS_NA,"No")</f>
        <v>No</v>
      </c>
      <c r="AO32" s="24" t="str">
        <f t="shared" ref="AO32:AT32" si="7">IF(OR($AF$4=ais_no,$AF$7=ais_no),AIS_NA,IF(AG32="",AIS_NA,AG32))</f>
        <v>N/A</v>
      </c>
      <c r="AP32" s="24" t="str">
        <f t="shared" si="7"/>
        <v>N/A</v>
      </c>
      <c r="AQ32" s="24" t="str">
        <f t="shared" si="7"/>
        <v>N/A</v>
      </c>
      <c r="AR32" s="24" t="str">
        <f t="shared" si="7"/>
        <v>N/A</v>
      </c>
      <c r="AS32" s="24" t="str">
        <f t="shared" si="7"/>
        <v>N/A</v>
      </c>
      <c r="AT32" s="24" t="str">
        <f t="shared" si="7"/>
        <v>N/A</v>
      </c>
      <c r="AU32" s="1" t="s">
        <v>13</v>
      </c>
      <c r="AV32" s="819"/>
    </row>
    <row r="33" spans="1:48" x14ac:dyDescent="0.25">
      <c r="A33" s="398">
        <v>25</v>
      </c>
      <c r="B33" s="322" t="s">
        <v>70</v>
      </c>
      <c r="C33" s="409" t="str">
        <f>Ene_03</f>
        <v>Ene 03 External lighting</v>
      </c>
      <c r="D33" s="147">
        <f>Ene03_credits</f>
        <v>1</v>
      </c>
      <c r="E33" s="45"/>
      <c r="F33" s="148">
        <f>Ene03_06</f>
        <v>0</v>
      </c>
      <c r="G33" s="155" t="str">
        <f>Ene03_minstd</f>
        <v>N/A</v>
      </c>
      <c r="H33" s="88"/>
      <c r="I33" s="339"/>
      <c r="J33" s="341"/>
      <c r="K33" s="412"/>
      <c r="L33" s="48"/>
      <c r="M33" s="89"/>
      <c r="N33" s="88"/>
      <c r="O33" s="512"/>
      <c r="P33" s="341"/>
      <c r="Q33" s="411"/>
      <c r="R33" s="91"/>
      <c r="S33" s="89"/>
      <c r="T33" s="88"/>
      <c r="U33" s="512"/>
      <c r="V33" s="341"/>
      <c r="W33" s="162"/>
      <c r="X33" s="819" t="s">
        <v>14</v>
      </c>
      <c r="Y33" s="122">
        <f t="shared" si="0"/>
        <v>1</v>
      </c>
      <c r="Z33" s="3" t="e">
        <f>VLOOKUP(I33,'Assessment Details'!$L$45:$M$48,2,FALSE)</f>
        <v>#N/A</v>
      </c>
      <c r="AA33" s="3" t="e">
        <f>VLOOKUP(N33,'Assessment Details'!$L$45:$M$48,2,FALSE)</f>
        <v>#N/A</v>
      </c>
      <c r="AB33" s="3" t="e">
        <f>VLOOKUP(T33,'Assessment Details'!$L$45:$M$48,2,FALSE)</f>
        <v>#N/A</v>
      </c>
      <c r="AE33" s="77" t="str">
        <f>ais_yes</f>
        <v>Ja</v>
      </c>
      <c r="AF33" s="853" t="s">
        <v>136</v>
      </c>
      <c r="AG33" s="827" t="s">
        <v>526</v>
      </c>
      <c r="AH33" s="827" t="s">
        <v>530</v>
      </c>
      <c r="AI33" s="827" t="s">
        <v>528</v>
      </c>
      <c r="AJ33" s="77"/>
      <c r="AK33" s="77"/>
      <c r="AL33" s="77"/>
      <c r="AN33" s="1" t="s">
        <v>14</v>
      </c>
      <c r="AO33" s="24" t="str">
        <f t="shared" si="1"/>
        <v>N/A</v>
      </c>
      <c r="AP33" s="24" t="str">
        <f t="shared" si="2"/>
        <v>N/A</v>
      </c>
      <c r="AQ33" s="24" t="str">
        <f t="shared" si="3"/>
        <v>N/A</v>
      </c>
      <c r="AR33" s="24"/>
      <c r="AS33" s="24"/>
      <c r="AT33" s="24"/>
      <c r="AV33" s="819"/>
    </row>
    <row r="34" spans="1:48" x14ac:dyDescent="0.25">
      <c r="A34" s="398">
        <v>26</v>
      </c>
      <c r="B34" s="322" t="s">
        <v>70</v>
      </c>
      <c r="C34" s="409" t="str">
        <f>Ene_04</f>
        <v>Ene 04 Low and zero carbon technologies</v>
      </c>
      <c r="D34" s="147">
        <f>Ene04_credits</f>
        <v>2</v>
      </c>
      <c r="E34" s="45"/>
      <c r="F34" s="148">
        <f>Ene04_20</f>
        <v>0</v>
      </c>
      <c r="G34" s="155" t="str">
        <f>Ene04_16</f>
        <v>Very Good</v>
      </c>
      <c r="H34" s="88"/>
      <c r="I34" s="339"/>
      <c r="J34" s="341"/>
      <c r="K34" s="412"/>
      <c r="L34" s="48"/>
      <c r="M34" s="89"/>
      <c r="N34" s="88"/>
      <c r="O34" s="512"/>
      <c r="P34" s="341"/>
      <c r="Q34" s="411"/>
      <c r="R34" s="91"/>
      <c r="S34" s="89"/>
      <c r="T34" s="88"/>
      <c r="U34" s="512"/>
      <c r="V34" s="341"/>
      <c r="W34" s="162"/>
      <c r="X34" s="819" t="s">
        <v>14</v>
      </c>
      <c r="Y34" s="122">
        <f t="shared" si="0"/>
        <v>1</v>
      </c>
      <c r="Z34" s="1" t="e">
        <f>VLOOKUP(I34,'Assessment Details'!$L$45:$M$48,2,FALSE)</f>
        <v>#N/A</v>
      </c>
      <c r="AA34" s="1" t="e">
        <f>VLOOKUP(N34,'Assessment Details'!$L$45:$M$48,2,FALSE)</f>
        <v>#N/A</v>
      </c>
      <c r="AB34" s="1" t="e">
        <f>VLOOKUP(T34,'Assessment Details'!$L$45:$M$48,2,FALSE)</f>
        <v>#N/A</v>
      </c>
      <c r="AE34" s="77"/>
      <c r="AF34" s="853" t="s">
        <v>137</v>
      </c>
      <c r="AG34" s="827" t="s">
        <v>526</v>
      </c>
      <c r="AH34" s="827" t="s">
        <v>528</v>
      </c>
      <c r="AI34" s="77"/>
      <c r="AJ34" s="77"/>
      <c r="AK34" s="77"/>
      <c r="AL34" s="77"/>
      <c r="AN34" s="1" t="s">
        <v>14</v>
      </c>
      <c r="AO34" s="24" t="str">
        <f t="shared" si="1"/>
        <v>N/A</v>
      </c>
      <c r="AP34" s="24" t="str">
        <f t="shared" si="2"/>
        <v>N/A</v>
      </c>
      <c r="AQ34" s="24" t="str">
        <f t="shared" si="3"/>
        <v>N/A</v>
      </c>
      <c r="AR34" s="24"/>
      <c r="AS34" s="24"/>
      <c r="AT34" s="24"/>
      <c r="AV34" s="819"/>
    </row>
    <row r="35" spans="1:48" x14ac:dyDescent="0.25">
      <c r="A35" s="398">
        <v>27</v>
      </c>
      <c r="B35" s="322" t="s">
        <v>70</v>
      </c>
      <c r="C35" s="409" t="str">
        <f>Ene_05</f>
        <v>Ene 05 Energy efficient cold storage</v>
      </c>
      <c r="D35" s="147">
        <f>Ene05_credits</f>
        <v>0</v>
      </c>
      <c r="E35" s="45"/>
      <c r="F35" s="148">
        <f>Ene05_21</f>
        <v>0</v>
      </c>
      <c r="G35" s="155" t="str">
        <f>Ene05_15</f>
        <v>N/A</v>
      </c>
      <c r="H35" s="88"/>
      <c r="I35" s="339"/>
      <c r="J35" s="341"/>
      <c r="K35" s="412"/>
      <c r="L35" s="48"/>
      <c r="M35" s="89"/>
      <c r="N35" s="88"/>
      <c r="O35" s="512"/>
      <c r="P35" s="341"/>
      <c r="Q35" s="411"/>
      <c r="R35" s="91"/>
      <c r="S35" s="89"/>
      <c r="T35" s="88"/>
      <c r="U35" s="512"/>
      <c r="V35" s="341"/>
      <c r="W35" s="162"/>
      <c r="X35" s="819" t="s">
        <v>14</v>
      </c>
      <c r="Y35" s="122">
        <f t="shared" si="0"/>
        <v>2</v>
      </c>
      <c r="Z35" s="3" t="e">
        <f>VLOOKUP(I35,'Assessment Details'!$L$45:$M$48,2,FALSE)</f>
        <v>#N/A</v>
      </c>
      <c r="AA35" s="3" t="e">
        <f>VLOOKUP(N35,'Assessment Details'!$L$45:$M$48,2,FALSE)</f>
        <v>#N/A</v>
      </c>
      <c r="AB35" s="3" t="e">
        <f>VLOOKUP(T35,'Assessment Details'!$L$45:$M$48,2,FALSE)</f>
        <v>#N/A</v>
      </c>
      <c r="AE35" s="77" t="str">
        <f>ais_yes</f>
        <v>Ja</v>
      </c>
      <c r="AF35" s="853" t="s">
        <v>138</v>
      </c>
      <c r="AG35" s="827" t="s">
        <v>526</v>
      </c>
      <c r="AH35" s="827" t="s">
        <v>530</v>
      </c>
      <c r="AI35" s="827" t="s">
        <v>528</v>
      </c>
      <c r="AJ35" s="77"/>
      <c r="AK35" s="77"/>
      <c r="AL35" s="77"/>
      <c r="AN35" s="1" t="s">
        <v>14</v>
      </c>
      <c r="AO35" s="24" t="str">
        <f t="shared" si="1"/>
        <v>N/A</v>
      </c>
      <c r="AP35" s="24" t="str">
        <f t="shared" si="2"/>
        <v>N/A</v>
      </c>
      <c r="AQ35" s="24" t="str">
        <f t="shared" si="3"/>
        <v>N/A</v>
      </c>
      <c r="AR35" s="24"/>
      <c r="AS35" s="24"/>
      <c r="AT35" s="24"/>
      <c r="AV35" s="819"/>
    </row>
    <row r="36" spans="1:48" x14ac:dyDescent="0.25">
      <c r="A36" s="398">
        <v>28</v>
      </c>
      <c r="B36" s="322" t="s">
        <v>70</v>
      </c>
      <c r="C36" s="409" t="str">
        <f>Ene_06</f>
        <v>Ene 06 Energy efficient transportation systems</v>
      </c>
      <c r="D36" s="147">
        <f>Ene06_credits</f>
        <v>0</v>
      </c>
      <c r="E36" s="45"/>
      <c r="F36" s="148">
        <f>Ene06_12</f>
        <v>0</v>
      </c>
      <c r="G36" s="155" t="str">
        <f>Ene06_minstd</f>
        <v>N/A</v>
      </c>
      <c r="H36" s="88"/>
      <c r="I36" s="339"/>
      <c r="J36" s="341"/>
      <c r="K36" s="412"/>
      <c r="L36" s="48"/>
      <c r="M36" s="89"/>
      <c r="N36" s="88"/>
      <c r="O36" s="512"/>
      <c r="P36" s="341"/>
      <c r="Q36" s="411"/>
      <c r="R36" s="91"/>
      <c r="S36" s="89"/>
      <c r="T36" s="88"/>
      <c r="U36" s="512"/>
      <c r="V36" s="341"/>
      <c r="W36" s="162"/>
      <c r="X36" s="819" t="s">
        <v>14</v>
      </c>
      <c r="Y36" s="122">
        <f t="shared" si="0"/>
        <v>2</v>
      </c>
      <c r="Z36" s="3" t="e">
        <f>VLOOKUP(I36,'Assessment Details'!$L$45:$M$48,2,FALSE)</f>
        <v>#N/A</v>
      </c>
      <c r="AA36" s="3" t="e">
        <f>VLOOKUP(N36,'Assessment Details'!$L$45:$M$48,2,FALSE)</f>
        <v>#N/A</v>
      </c>
      <c r="AB36" s="3" t="e">
        <f>VLOOKUP(T36,'Assessment Details'!$L$45:$M$48,2,FALSE)</f>
        <v>#N/A</v>
      </c>
      <c r="AE36" s="77"/>
      <c r="AF36" s="853" t="s">
        <v>139</v>
      </c>
      <c r="AG36" s="827" t="s">
        <v>526</v>
      </c>
      <c r="AH36" s="827" t="s">
        <v>528</v>
      </c>
      <c r="AI36" s="77"/>
      <c r="AJ36" s="77"/>
      <c r="AK36" s="77"/>
      <c r="AL36" s="77"/>
      <c r="AN36" s="1" t="s">
        <v>14</v>
      </c>
      <c r="AO36" s="24" t="str">
        <f t="shared" si="1"/>
        <v>N/A</v>
      </c>
      <c r="AP36" s="24" t="str">
        <f t="shared" si="2"/>
        <v>N/A</v>
      </c>
      <c r="AQ36" s="24" t="str">
        <f t="shared" si="3"/>
        <v>N/A</v>
      </c>
      <c r="AR36" s="24"/>
      <c r="AS36" s="24"/>
      <c r="AT36" s="24"/>
      <c r="AV36" s="819"/>
    </row>
    <row r="37" spans="1:48" x14ac:dyDescent="0.25">
      <c r="A37" s="398">
        <v>29</v>
      </c>
      <c r="B37" s="322" t="s">
        <v>70</v>
      </c>
      <c r="C37" s="409" t="str">
        <f>Ene_07</f>
        <v>Ene 07 Energy Efficient Laboratory Systems</v>
      </c>
      <c r="D37" s="147">
        <f>Ene07_credits</f>
        <v>0</v>
      </c>
      <c r="E37" s="45"/>
      <c r="F37" s="148">
        <f>Ene07_25</f>
        <v>0</v>
      </c>
      <c r="G37" s="155" t="str">
        <f>Ene07_minstd</f>
        <v>N/A</v>
      </c>
      <c r="H37" s="88"/>
      <c r="I37" s="339"/>
      <c r="J37" s="341"/>
      <c r="K37" s="412"/>
      <c r="L37" s="48"/>
      <c r="M37" s="89"/>
      <c r="N37" s="88"/>
      <c r="O37" s="512"/>
      <c r="P37" s="341"/>
      <c r="Q37" s="411"/>
      <c r="R37" s="91"/>
      <c r="S37" s="89"/>
      <c r="T37" s="88"/>
      <c r="U37" s="512"/>
      <c r="V37" s="341"/>
      <c r="W37" s="162"/>
      <c r="X37" s="819" t="s">
        <v>15</v>
      </c>
      <c r="Y37" s="122">
        <f t="shared" si="0"/>
        <v>2</v>
      </c>
      <c r="Z37" s="3" t="e">
        <f>VLOOKUP(I37,'Assessment Details'!$L$45:$M$48,2,FALSE)</f>
        <v>#N/A</v>
      </c>
      <c r="AA37" s="3" t="e">
        <f>VLOOKUP(N37,'Assessment Details'!$L$45:$M$48,2,FALSE)</f>
        <v>#N/A</v>
      </c>
      <c r="AB37" s="3" t="e">
        <f>VLOOKUP(T37,'Assessment Details'!$L$45:$M$48,2,FALSE)</f>
        <v>#N/A</v>
      </c>
      <c r="AE37" s="77"/>
      <c r="AF37" s="853" t="s">
        <v>140</v>
      </c>
      <c r="AG37" s="77"/>
      <c r="AH37" s="77"/>
      <c r="AI37" s="77"/>
      <c r="AJ37" s="77"/>
      <c r="AK37" s="77"/>
      <c r="AL37" s="77"/>
      <c r="AO37" s="24" t="str">
        <f t="shared" si="1"/>
        <v>N/A</v>
      </c>
      <c r="AP37" s="24" t="str">
        <f t="shared" si="2"/>
        <v>N/A</v>
      </c>
      <c r="AQ37" s="24" t="str">
        <f t="shared" si="3"/>
        <v>N/A</v>
      </c>
      <c r="AR37" s="24"/>
      <c r="AS37" s="24"/>
      <c r="AT37" s="24"/>
      <c r="AV37" s="819"/>
    </row>
    <row r="38" spans="1:48" x14ac:dyDescent="0.25">
      <c r="A38" s="398">
        <v>30</v>
      </c>
      <c r="B38" s="322" t="s">
        <v>70</v>
      </c>
      <c r="C38" s="409" t="str">
        <f>Ene_08</f>
        <v>Ene 08 Energy efficient equipment</v>
      </c>
      <c r="D38" s="147">
        <f>Ene08_credits</f>
        <v>2</v>
      </c>
      <c r="E38" s="45"/>
      <c r="F38" s="148">
        <f>Ene08_29</f>
        <v>0</v>
      </c>
      <c r="G38" s="156" t="str">
        <f>Ene08_minstd</f>
        <v>N/A</v>
      </c>
      <c r="H38" s="88"/>
      <c r="I38" s="339"/>
      <c r="J38" s="341"/>
      <c r="K38" s="412"/>
      <c r="L38" s="48"/>
      <c r="M38" s="89"/>
      <c r="N38" s="88"/>
      <c r="O38" s="512"/>
      <c r="P38" s="341"/>
      <c r="Q38" s="411"/>
      <c r="R38" s="91"/>
      <c r="S38" s="89"/>
      <c r="T38" s="88"/>
      <c r="U38" s="512"/>
      <c r="V38" s="341"/>
      <c r="W38" s="162"/>
      <c r="X38" s="819" t="s">
        <v>14</v>
      </c>
      <c r="Y38" s="122">
        <f t="shared" si="0"/>
        <v>1</v>
      </c>
      <c r="Z38" s="1" t="e">
        <f>VLOOKUP(I38,'Assessment Details'!$L$45:$M$48,2,FALSE)</f>
        <v>#N/A</v>
      </c>
      <c r="AA38" s="1" t="e">
        <f>VLOOKUP(N38,'Assessment Details'!$L$45:$M$48,2,FALSE)</f>
        <v>#N/A</v>
      </c>
      <c r="AB38" s="1" t="e">
        <f>VLOOKUP(T38,'Assessment Details'!$L$45:$M$48,2,FALSE)</f>
        <v>#N/A</v>
      </c>
      <c r="AE38" s="77" t="str">
        <f>ais_yes</f>
        <v>Ja</v>
      </c>
      <c r="AF38" s="853" t="s">
        <v>141</v>
      </c>
      <c r="AG38" s="827" t="s">
        <v>526</v>
      </c>
      <c r="AH38" s="827" t="s">
        <v>530</v>
      </c>
      <c r="AI38" s="827" t="s">
        <v>528</v>
      </c>
      <c r="AJ38" s="77"/>
      <c r="AK38" s="77"/>
      <c r="AL38" s="77"/>
      <c r="AN38" s="1" t="s">
        <v>14</v>
      </c>
      <c r="AO38" s="24" t="str">
        <f t="shared" si="1"/>
        <v>N/A</v>
      </c>
      <c r="AP38" s="24" t="str">
        <f t="shared" si="2"/>
        <v>N/A</v>
      </c>
      <c r="AQ38" s="24" t="str">
        <f t="shared" si="3"/>
        <v>N/A</v>
      </c>
      <c r="AR38" s="24"/>
      <c r="AS38" s="24"/>
      <c r="AT38" s="24"/>
      <c r="AV38" s="819"/>
    </row>
    <row r="39" spans="1:48" x14ac:dyDescent="0.25">
      <c r="A39" s="398">
        <v>31</v>
      </c>
      <c r="B39" s="322" t="s">
        <v>70</v>
      </c>
      <c r="C39" s="409" t="str">
        <f>Ene_09</f>
        <v>Ene 09 Drying space</v>
      </c>
      <c r="D39" s="147">
        <f>Ene09_credits</f>
        <v>0</v>
      </c>
      <c r="E39" s="45"/>
      <c r="F39" s="148">
        <f>Ene09_10</f>
        <v>0</v>
      </c>
      <c r="G39" s="155" t="str">
        <f>Ene09_minstd</f>
        <v>N/A</v>
      </c>
      <c r="H39" s="88"/>
      <c r="I39" s="339"/>
      <c r="J39" s="341"/>
      <c r="K39" s="412"/>
      <c r="L39" s="48"/>
      <c r="M39" s="89"/>
      <c r="N39" s="88"/>
      <c r="O39" s="512"/>
      <c r="P39" s="341"/>
      <c r="Q39" s="411"/>
      <c r="R39" s="91"/>
      <c r="S39" s="89"/>
      <c r="T39" s="88"/>
      <c r="U39" s="512"/>
      <c r="V39" s="341"/>
      <c r="W39" s="162"/>
      <c r="X39" s="819" t="s">
        <v>14</v>
      </c>
      <c r="Y39" s="122">
        <f t="shared" si="0"/>
        <v>2</v>
      </c>
      <c r="Z39" s="1" t="e">
        <f>VLOOKUP(I39,'Assessment Details'!$L$45:$M$48,2,FALSE)</f>
        <v>#N/A</v>
      </c>
      <c r="AA39" s="1" t="e">
        <f>VLOOKUP(N39,'Assessment Details'!$L$45:$M$48,2,FALSE)</f>
        <v>#N/A</v>
      </c>
      <c r="AB39" s="1" t="e">
        <f>VLOOKUP(T39,'Assessment Details'!$L$45:$M$48,2,FALSE)</f>
        <v>#N/A</v>
      </c>
      <c r="AE39" s="77" t="str">
        <f>ais_yes</f>
        <v>Ja</v>
      </c>
      <c r="AF39" s="853" t="s">
        <v>142</v>
      </c>
      <c r="AG39" s="827" t="s">
        <v>526</v>
      </c>
      <c r="AH39" s="827" t="s">
        <v>530</v>
      </c>
      <c r="AI39" s="827" t="s">
        <v>528</v>
      </c>
      <c r="AJ39" s="77"/>
      <c r="AK39" s="77"/>
      <c r="AL39" s="77"/>
      <c r="AN39" s="1" t="s">
        <v>14</v>
      </c>
      <c r="AO39" s="24" t="str">
        <f t="shared" si="1"/>
        <v>N/A</v>
      </c>
      <c r="AP39" s="24" t="str">
        <f t="shared" si="2"/>
        <v>N/A</v>
      </c>
      <c r="AQ39" s="24" t="str">
        <f t="shared" si="3"/>
        <v>N/A</v>
      </c>
      <c r="AR39" s="24"/>
      <c r="AS39" s="24"/>
      <c r="AT39" s="24"/>
      <c r="AV39" s="819"/>
    </row>
    <row r="40" spans="1:48" ht="30" x14ac:dyDescent="0.25">
      <c r="A40" s="398">
        <v>32</v>
      </c>
      <c r="B40" s="322" t="s">
        <v>70</v>
      </c>
      <c r="C40" s="434" t="str">
        <f>Ene_23</f>
        <v>Ene 23 Energy performance of building structure and installations</v>
      </c>
      <c r="D40" s="147">
        <f>Ene23_credits</f>
        <v>2</v>
      </c>
      <c r="E40" s="45"/>
      <c r="F40" s="157">
        <f>Ene23_cont</f>
        <v>0</v>
      </c>
      <c r="G40" s="158" t="str">
        <f>Ene23_minstd</f>
        <v>Excellent</v>
      </c>
      <c r="H40" s="88"/>
      <c r="I40" s="339"/>
      <c r="J40" s="341"/>
      <c r="K40" s="412"/>
      <c r="L40" s="48"/>
      <c r="M40" s="89"/>
      <c r="N40" s="88"/>
      <c r="O40" s="512"/>
      <c r="P40" s="341"/>
      <c r="Q40" s="411"/>
      <c r="R40" s="91"/>
      <c r="S40" s="89"/>
      <c r="T40" s="88"/>
      <c r="U40" s="512"/>
      <c r="V40" s="341"/>
      <c r="W40" s="162"/>
      <c r="X40" s="819" t="s">
        <v>14</v>
      </c>
      <c r="Y40" s="122">
        <f t="shared" si="0"/>
        <v>1</v>
      </c>
      <c r="Z40" s="3" t="e">
        <f>VLOOKUP(I40,'Assessment Details'!$L$45:$M$48,2,FALSE)</f>
        <v>#N/A</v>
      </c>
      <c r="AA40" s="3" t="e">
        <f>VLOOKUP(N40,'Assessment Details'!$L$45:$M$48,2,FALSE)</f>
        <v>#N/A</v>
      </c>
      <c r="AB40" s="3" t="e">
        <f>VLOOKUP(T40,'Assessment Details'!$L$45:$M$48,2,FALSE)</f>
        <v>#N/A</v>
      </c>
      <c r="AE40" s="77"/>
      <c r="AF40" s="853" t="s">
        <v>143</v>
      </c>
      <c r="AG40" s="827" t="s">
        <v>526</v>
      </c>
      <c r="AH40" s="827" t="s">
        <v>528</v>
      </c>
      <c r="AI40" s="77"/>
      <c r="AJ40" s="77"/>
      <c r="AK40" s="77"/>
      <c r="AL40" s="77"/>
      <c r="AN40" s="1" t="s">
        <v>14</v>
      </c>
      <c r="AO40" s="24" t="str">
        <f t="shared" si="1"/>
        <v>N/A</v>
      </c>
      <c r="AP40" s="24" t="str">
        <f t="shared" si="2"/>
        <v>N/A</v>
      </c>
      <c r="AQ40" s="24" t="str">
        <f t="shared" si="3"/>
        <v>N/A</v>
      </c>
      <c r="AR40" s="24"/>
      <c r="AS40" s="24"/>
      <c r="AT40" s="24"/>
      <c r="AV40" s="819"/>
    </row>
    <row r="41" spans="1:48" ht="15.75" thickBot="1" x14ac:dyDescent="0.3">
      <c r="A41" s="398">
        <v>33</v>
      </c>
      <c r="B41" s="322" t="s">
        <v>70</v>
      </c>
      <c r="C41" s="413" t="s">
        <v>109</v>
      </c>
      <c r="D41" s="151">
        <f>Ene_Credits</f>
        <v>22</v>
      </c>
      <c r="E41" s="160"/>
      <c r="F41" s="152">
        <f>Ene_cont_tot</f>
        <v>0</v>
      </c>
      <c r="G41" s="153" t="str">
        <f>"Credits achieved: "&amp;Ene_tot_user</f>
        <v>Credits achieved: 0</v>
      </c>
      <c r="H41" s="163"/>
      <c r="I41" s="340"/>
      <c r="J41" s="342"/>
      <c r="K41" s="412"/>
      <c r="L41" s="515"/>
      <c r="M41" s="510"/>
      <c r="N41" s="165"/>
      <c r="O41" s="163"/>
      <c r="P41" s="513"/>
      <c r="Q41" s="411"/>
      <c r="R41" s="516"/>
      <c r="S41" s="510"/>
      <c r="T41" s="165"/>
      <c r="U41" s="163"/>
      <c r="V41" s="513"/>
      <c r="W41" s="162"/>
      <c r="X41" s="820"/>
      <c r="Y41" s="122">
        <f t="shared" ref="Y41:Y72" si="8">IF(D41="",1,IF(D41=0,2,1))</f>
        <v>1</v>
      </c>
      <c r="Z41" s="333">
        <v>0</v>
      </c>
      <c r="AA41" s="333">
        <v>0</v>
      </c>
      <c r="AB41" s="333">
        <v>0</v>
      </c>
      <c r="AE41" s="77"/>
      <c r="AF41" s="853" t="s">
        <v>109</v>
      </c>
      <c r="AG41" s="77"/>
      <c r="AH41" s="77"/>
      <c r="AI41" s="77"/>
      <c r="AJ41" s="77"/>
      <c r="AK41" s="77"/>
      <c r="AL41" s="77"/>
      <c r="AO41" s="24" t="str">
        <f t="shared" si="1"/>
        <v>N/A</v>
      </c>
      <c r="AP41" s="24" t="str">
        <f t="shared" si="2"/>
        <v>N/A</v>
      </c>
      <c r="AQ41" s="24" t="str">
        <f t="shared" si="3"/>
        <v>N/A</v>
      </c>
      <c r="AR41" s="24"/>
      <c r="AS41" s="24"/>
      <c r="AT41" s="24"/>
      <c r="AV41" s="820"/>
    </row>
    <row r="42" spans="1:48" x14ac:dyDescent="0.25">
      <c r="A42" s="398">
        <v>34</v>
      </c>
      <c r="B42" s="322" t="s">
        <v>70</v>
      </c>
      <c r="C42" s="414"/>
      <c r="D42" s="415"/>
      <c r="E42" s="416"/>
      <c r="F42" s="415"/>
      <c r="G42" s="415"/>
      <c r="H42" s="417"/>
      <c r="I42" s="416"/>
      <c r="J42" s="417"/>
      <c r="K42" s="410"/>
      <c r="L42" s="416"/>
      <c r="M42" s="417"/>
      <c r="N42" s="418"/>
      <c r="O42" s="417"/>
      <c r="P42" s="417"/>
      <c r="Q42" s="419"/>
      <c r="R42" s="418"/>
      <c r="S42" s="417"/>
      <c r="T42" s="418"/>
      <c r="U42" s="417"/>
      <c r="V42" s="417"/>
      <c r="W42" s="962"/>
      <c r="X42" s="417"/>
      <c r="Y42" s="122">
        <f t="shared" si="8"/>
        <v>1</v>
      </c>
      <c r="Z42" s="335">
        <v>0</v>
      </c>
      <c r="AA42" s="335">
        <v>0</v>
      </c>
      <c r="AB42" s="335">
        <v>0</v>
      </c>
      <c r="AE42" s="77"/>
      <c r="AF42" s="853"/>
      <c r="AG42" s="77"/>
      <c r="AH42" s="77"/>
      <c r="AI42" s="77"/>
      <c r="AJ42" s="77"/>
      <c r="AK42" s="77"/>
      <c r="AL42" s="77"/>
      <c r="AO42" s="24" t="str">
        <f t="shared" ref="AO42:AO73" si="9">IF($AF$4=ais_no,AIS_NA,IF(AG42="",AIS_NA,AG42))</f>
        <v>N/A</v>
      </c>
      <c r="AP42" s="24" t="str">
        <f t="shared" ref="AP42:AP73" si="10">IF($AF$4=ais_no,AIS_NA,IF(AH42="",AIS_NA,AH42))</f>
        <v>N/A</v>
      </c>
      <c r="AQ42" s="24" t="str">
        <f t="shared" ref="AQ42:AR73" si="11">IF($AF$4=ais_no,AIS_NA,IF(AI42="",AIS_NA,AI42))</f>
        <v>N/A</v>
      </c>
      <c r="AR42" s="24"/>
      <c r="AS42" s="24"/>
      <c r="AT42" s="24"/>
      <c r="AV42" s="417"/>
    </row>
    <row r="43" spans="1:48" ht="18.75" x14ac:dyDescent="0.25">
      <c r="A43" s="398">
        <v>35</v>
      </c>
      <c r="B43" s="322" t="s">
        <v>71</v>
      </c>
      <c r="C43" s="420" t="s">
        <v>57</v>
      </c>
      <c r="D43" s="401"/>
      <c r="E43" s="402"/>
      <c r="F43" s="429"/>
      <c r="G43" s="401"/>
      <c r="H43" s="421"/>
      <c r="I43" s="422"/>
      <c r="J43" s="430"/>
      <c r="K43" s="412"/>
      <c r="L43" s="431"/>
      <c r="M43" s="421"/>
      <c r="N43" s="432"/>
      <c r="O43" s="421"/>
      <c r="P43" s="514"/>
      <c r="Q43" s="411"/>
      <c r="R43" s="433"/>
      <c r="S43" s="421"/>
      <c r="T43" s="432"/>
      <c r="U43" s="421"/>
      <c r="V43" s="514"/>
      <c r="W43" s="162"/>
      <c r="X43" s="430"/>
      <c r="Y43" s="122">
        <f t="shared" si="8"/>
        <v>1</v>
      </c>
      <c r="Z43" s="331">
        <v>0</v>
      </c>
      <c r="AA43" s="331">
        <v>0</v>
      </c>
      <c r="AB43" s="331">
        <v>0</v>
      </c>
      <c r="AE43" s="77"/>
      <c r="AF43" s="853" t="s">
        <v>57</v>
      </c>
      <c r="AG43" s="77"/>
      <c r="AH43" s="77"/>
      <c r="AI43" s="77"/>
      <c r="AJ43" s="77"/>
      <c r="AK43" s="77"/>
      <c r="AL43" s="77"/>
      <c r="AO43" s="24" t="str">
        <f t="shared" si="9"/>
        <v>N/A</v>
      </c>
      <c r="AP43" s="24" t="str">
        <f t="shared" si="10"/>
        <v>N/A</v>
      </c>
      <c r="AQ43" s="24" t="str">
        <f t="shared" si="11"/>
        <v>N/A</v>
      </c>
      <c r="AR43" s="24"/>
      <c r="AS43" s="24"/>
      <c r="AT43" s="24"/>
      <c r="AV43" s="430"/>
    </row>
    <row r="44" spans="1:48" x14ac:dyDescent="0.25">
      <c r="A44" s="398">
        <v>36</v>
      </c>
      <c r="B44" s="322" t="s">
        <v>71</v>
      </c>
      <c r="C44" s="409" t="str">
        <f>Tra_01</f>
        <v>Tra 01 Public transport accessibility</v>
      </c>
      <c r="D44" s="147">
        <f>Tra01_credits</f>
        <v>3</v>
      </c>
      <c r="E44" s="45"/>
      <c r="F44" s="148">
        <f>TRa01_08</f>
        <v>0</v>
      </c>
      <c r="G44" s="156" t="str">
        <f>Tra01_minstd</f>
        <v>N/A</v>
      </c>
      <c r="H44" s="88"/>
      <c r="I44" s="339"/>
      <c r="J44" s="341"/>
      <c r="K44" s="412"/>
      <c r="L44" s="48"/>
      <c r="M44" s="89"/>
      <c r="N44" s="88"/>
      <c r="O44" s="512"/>
      <c r="P44" s="341"/>
      <c r="Q44" s="411"/>
      <c r="R44" s="91"/>
      <c r="S44" s="89"/>
      <c r="T44" s="88"/>
      <c r="U44" s="512"/>
      <c r="V44" s="341"/>
      <c r="W44" s="162"/>
      <c r="X44" s="819" t="s">
        <v>15</v>
      </c>
      <c r="Y44" s="122">
        <f t="shared" si="8"/>
        <v>1</v>
      </c>
      <c r="Z44" s="3" t="e">
        <f>VLOOKUP(I44,'Assessment Details'!$L$45:$M$48,2,FALSE)</f>
        <v>#N/A</v>
      </c>
      <c r="AA44" s="3" t="e">
        <f>VLOOKUP(N44,'Assessment Details'!$L$45:$M$48,2,FALSE)</f>
        <v>#N/A</v>
      </c>
      <c r="AB44" s="3" t="e">
        <f>VLOOKUP(T44,'Assessment Details'!$L$45:$M$48,2,FALSE)</f>
        <v>#N/A</v>
      </c>
      <c r="AE44" s="77"/>
      <c r="AF44" s="853" t="s">
        <v>155</v>
      </c>
      <c r="AG44" s="77"/>
      <c r="AH44" s="77"/>
      <c r="AI44" s="77"/>
      <c r="AJ44" s="77"/>
      <c r="AK44" s="77"/>
      <c r="AL44" s="77"/>
      <c r="AO44" s="24" t="str">
        <f t="shared" si="9"/>
        <v>N/A</v>
      </c>
      <c r="AP44" s="24" t="str">
        <f t="shared" si="10"/>
        <v>N/A</v>
      </c>
      <c r="AQ44" s="24" t="str">
        <f t="shared" si="11"/>
        <v>N/A</v>
      </c>
      <c r="AR44" s="24"/>
      <c r="AS44" s="24"/>
      <c r="AT44" s="24"/>
      <c r="AV44" s="819"/>
    </row>
    <row r="45" spans="1:48" x14ac:dyDescent="0.25">
      <c r="A45" s="398">
        <v>37</v>
      </c>
      <c r="B45" s="322" t="s">
        <v>71</v>
      </c>
      <c r="C45" s="409" t="str">
        <f>Tra_02</f>
        <v>Tra 02 Proximity to amenities</v>
      </c>
      <c r="D45" s="147">
        <f>Tra02_credits</f>
        <v>1</v>
      </c>
      <c r="E45" s="45"/>
      <c r="F45" s="148">
        <f>Tra02_07</f>
        <v>0</v>
      </c>
      <c r="G45" s="155" t="str">
        <f>Tra02_minstd</f>
        <v>N/A</v>
      </c>
      <c r="H45" s="88"/>
      <c r="I45" s="339"/>
      <c r="J45" s="341"/>
      <c r="K45" s="412"/>
      <c r="L45" s="48"/>
      <c r="M45" s="89"/>
      <c r="N45" s="88"/>
      <c r="O45" s="512"/>
      <c r="P45" s="341"/>
      <c r="Q45" s="411"/>
      <c r="R45" s="91"/>
      <c r="S45" s="89"/>
      <c r="T45" s="88"/>
      <c r="U45" s="512"/>
      <c r="V45" s="341"/>
      <c r="W45" s="162"/>
      <c r="X45" s="819" t="s">
        <v>15</v>
      </c>
      <c r="Y45" s="122">
        <f t="shared" si="8"/>
        <v>1</v>
      </c>
      <c r="Z45" s="3" t="e">
        <f>VLOOKUP(I45,'Assessment Details'!$L$45:$M$48,2,FALSE)</f>
        <v>#N/A</v>
      </c>
      <c r="AA45" s="3" t="e">
        <f>VLOOKUP(N45,'Assessment Details'!$L$45:$M$48,2,FALSE)</f>
        <v>#N/A</v>
      </c>
      <c r="AB45" s="3" t="e">
        <f>VLOOKUP(T45,'Assessment Details'!$L$45:$M$48,2,FALSE)</f>
        <v>#N/A</v>
      </c>
      <c r="AE45" s="77"/>
      <c r="AF45" s="853" t="s">
        <v>156</v>
      </c>
      <c r="AG45" s="77"/>
      <c r="AH45" s="77"/>
      <c r="AI45" s="77"/>
      <c r="AJ45" s="77"/>
      <c r="AK45" s="77"/>
      <c r="AL45" s="77"/>
      <c r="AO45" s="24" t="str">
        <f t="shared" si="9"/>
        <v>N/A</v>
      </c>
      <c r="AP45" s="24" t="str">
        <f t="shared" si="10"/>
        <v>N/A</v>
      </c>
      <c r="AQ45" s="24" t="str">
        <f t="shared" si="11"/>
        <v>N/A</v>
      </c>
      <c r="AR45" s="24"/>
      <c r="AS45" s="24"/>
      <c r="AT45" s="24"/>
      <c r="AV45" s="819"/>
    </row>
    <row r="46" spans="1:48" x14ac:dyDescent="0.25">
      <c r="A46" s="398">
        <v>38</v>
      </c>
      <c r="B46" s="322" t="s">
        <v>71</v>
      </c>
      <c r="C46" s="409" t="str">
        <f>Tra_03</f>
        <v>Tra 03 Alternative modes of transport</v>
      </c>
      <c r="D46" s="147">
        <f>Tra03_credits</f>
        <v>2</v>
      </c>
      <c r="E46" s="45"/>
      <c r="F46" s="148">
        <f>Tra03_14</f>
        <v>0</v>
      </c>
      <c r="G46" s="155" t="str">
        <f>Tra03_minstd</f>
        <v>N/A</v>
      </c>
      <c r="H46" s="88"/>
      <c r="I46" s="339" t="s">
        <v>0</v>
      </c>
      <c r="J46" s="341"/>
      <c r="K46" s="412"/>
      <c r="L46" s="48"/>
      <c r="M46" s="89"/>
      <c r="N46" s="88"/>
      <c r="O46" s="512"/>
      <c r="P46" s="341"/>
      <c r="Q46" s="411"/>
      <c r="R46" s="91"/>
      <c r="S46" s="89"/>
      <c r="T46" s="88"/>
      <c r="U46" s="512"/>
      <c r="V46" s="341"/>
      <c r="W46" s="162"/>
      <c r="X46" s="819" t="s">
        <v>15</v>
      </c>
      <c r="Y46" s="122">
        <f t="shared" si="8"/>
        <v>1</v>
      </c>
      <c r="Z46" s="3">
        <f>VLOOKUP(I46,'Assessment Details'!$L$45:$M$48,2,FALSE)</f>
        <v>4</v>
      </c>
      <c r="AA46" s="3" t="e">
        <f>VLOOKUP(N46,'Assessment Details'!$L$45:$M$48,2,FALSE)</f>
        <v>#N/A</v>
      </c>
      <c r="AB46" s="3" t="e">
        <f>VLOOKUP(T46,'Assessment Details'!$L$45:$M$48,2,FALSE)</f>
        <v>#N/A</v>
      </c>
      <c r="AE46" s="77"/>
      <c r="AF46" s="853" t="s">
        <v>158</v>
      </c>
      <c r="AG46" s="77"/>
      <c r="AH46" s="77"/>
      <c r="AI46" s="77"/>
      <c r="AJ46" s="77"/>
      <c r="AK46" s="77"/>
      <c r="AL46" s="77"/>
      <c r="AO46" s="24" t="str">
        <f t="shared" si="9"/>
        <v>N/A</v>
      </c>
      <c r="AP46" s="24" t="str">
        <f t="shared" si="10"/>
        <v>N/A</v>
      </c>
      <c r="AQ46" s="24" t="str">
        <f t="shared" si="11"/>
        <v>N/A</v>
      </c>
      <c r="AR46" s="24"/>
      <c r="AS46" s="24"/>
      <c r="AT46" s="24"/>
      <c r="AV46" s="819"/>
    </row>
    <row r="47" spans="1:48" x14ac:dyDescent="0.25">
      <c r="A47" s="398">
        <v>39</v>
      </c>
      <c r="B47" s="322" t="s">
        <v>71</v>
      </c>
      <c r="C47" s="409" t="str">
        <f>Tra_04</f>
        <v>Tra 04 Maximum car parking capacity</v>
      </c>
      <c r="D47" s="147">
        <f>Tra04_credits</f>
        <v>2</v>
      </c>
      <c r="E47" s="45"/>
      <c r="F47" s="148">
        <f>Tra04_10</f>
        <v>0</v>
      </c>
      <c r="G47" s="155" t="str">
        <f>Tra04_minstd</f>
        <v>N/A</v>
      </c>
      <c r="H47" s="88"/>
      <c r="I47" s="339"/>
      <c r="J47" s="341"/>
      <c r="K47" s="412"/>
      <c r="L47" s="48"/>
      <c r="M47" s="89"/>
      <c r="N47" s="88" t="s">
        <v>0</v>
      </c>
      <c r="O47" s="512"/>
      <c r="P47" s="341"/>
      <c r="Q47" s="411"/>
      <c r="R47" s="91"/>
      <c r="S47" s="89"/>
      <c r="T47" s="88"/>
      <c r="U47" s="512"/>
      <c r="V47" s="341"/>
      <c r="W47" s="162"/>
      <c r="X47" s="819" t="s">
        <v>15</v>
      </c>
      <c r="Y47" s="122">
        <f t="shared" si="8"/>
        <v>1</v>
      </c>
      <c r="Z47" s="3" t="e">
        <f>VLOOKUP(I47,'Assessment Details'!$L$45:$M$48,2,FALSE)</f>
        <v>#N/A</v>
      </c>
      <c r="AA47" s="3">
        <f>VLOOKUP(N47,'Assessment Details'!$L$45:$M$48,2,FALSE)</f>
        <v>4</v>
      </c>
      <c r="AB47" s="3" t="e">
        <f>VLOOKUP(T47,'Assessment Details'!$L$45:$M$48,2,FALSE)</f>
        <v>#N/A</v>
      </c>
      <c r="AE47" s="77"/>
      <c r="AF47" s="853" t="s">
        <v>157</v>
      </c>
      <c r="AG47" s="77"/>
      <c r="AH47" s="77"/>
      <c r="AI47" s="77"/>
      <c r="AJ47" s="77"/>
      <c r="AK47" s="77"/>
      <c r="AL47" s="77"/>
      <c r="AO47" s="24" t="str">
        <f t="shared" si="9"/>
        <v>N/A</v>
      </c>
      <c r="AP47" s="24" t="str">
        <f t="shared" si="10"/>
        <v>N/A</v>
      </c>
      <c r="AQ47" s="24" t="str">
        <f t="shared" si="11"/>
        <v>N/A</v>
      </c>
      <c r="AR47" s="24"/>
      <c r="AS47" s="24"/>
      <c r="AT47" s="24"/>
      <c r="AV47" s="819"/>
    </row>
    <row r="48" spans="1:48" x14ac:dyDescent="0.25">
      <c r="A48" s="398">
        <v>40</v>
      </c>
      <c r="B48" s="322" t="s">
        <v>71</v>
      </c>
      <c r="C48" s="409" t="str">
        <f>Tra_05</f>
        <v>Tra 05 Travel plan</v>
      </c>
      <c r="D48" s="147">
        <f>Tra05_credits</f>
        <v>1</v>
      </c>
      <c r="E48" s="45"/>
      <c r="F48" s="148">
        <f>Tra05_05</f>
        <v>0</v>
      </c>
      <c r="G48" s="155" t="str">
        <f>Tra05_minstd</f>
        <v>N/A</v>
      </c>
      <c r="H48" s="88"/>
      <c r="I48" s="339" t="s">
        <v>0</v>
      </c>
      <c r="J48" s="341"/>
      <c r="K48" s="410"/>
      <c r="L48" s="48"/>
      <c r="M48" s="89"/>
      <c r="N48" s="88"/>
      <c r="O48" s="512"/>
      <c r="P48" s="341"/>
      <c r="Q48" s="411"/>
      <c r="R48" s="91"/>
      <c r="S48" s="89"/>
      <c r="T48" s="88"/>
      <c r="U48" s="512"/>
      <c r="V48" s="341"/>
      <c r="W48" s="162"/>
      <c r="X48" s="819" t="s">
        <v>15</v>
      </c>
      <c r="Y48" s="122">
        <f t="shared" si="8"/>
        <v>1</v>
      </c>
      <c r="Z48" s="1">
        <f>VLOOKUP(I48,'Assessment Details'!$L$45:$M$48,2,FALSE)</f>
        <v>4</v>
      </c>
      <c r="AA48" s="1" t="e">
        <f>VLOOKUP(N48,'Assessment Details'!$L$45:$M$48,2,FALSE)</f>
        <v>#N/A</v>
      </c>
      <c r="AB48" s="1" t="e">
        <f>VLOOKUP(T48,'Assessment Details'!$L$45:$M$48,2,FALSE)</f>
        <v>#N/A</v>
      </c>
      <c r="AE48" s="77"/>
      <c r="AF48" s="853" t="s">
        <v>159</v>
      </c>
      <c r="AG48" s="77"/>
      <c r="AH48" s="77"/>
      <c r="AI48" s="77"/>
      <c r="AJ48" s="77"/>
      <c r="AK48" s="77"/>
      <c r="AL48" s="77"/>
      <c r="AO48" s="24" t="str">
        <f t="shared" si="9"/>
        <v>N/A</v>
      </c>
      <c r="AP48" s="24" t="str">
        <f t="shared" si="10"/>
        <v>N/A</v>
      </c>
      <c r="AQ48" s="24" t="str">
        <f t="shared" si="11"/>
        <v>N/A</v>
      </c>
      <c r="AR48" s="24"/>
      <c r="AS48" s="24"/>
      <c r="AT48" s="24"/>
      <c r="AV48" s="819"/>
    </row>
    <row r="49" spans="1:48" x14ac:dyDescent="0.25">
      <c r="A49" s="398">
        <v>41</v>
      </c>
      <c r="B49" s="322" t="s">
        <v>71</v>
      </c>
      <c r="C49" s="409" t="str">
        <f>Tra_06</f>
        <v>Tra 06 Home office</v>
      </c>
      <c r="D49" s="147">
        <f>Tra06_credits</f>
        <v>0</v>
      </c>
      <c r="E49" s="45"/>
      <c r="F49" s="148">
        <f>Tra06_05</f>
        <v>0</v>
      </c>
      <c r="G49" s="155" t="str">
        <f>Tra06_minstd</f>
        <v>N/A</v>
      </c>
      <c r="H49" s="88"/>
      <c r="I49" s="339"/>
      <c r="J49" s="341"/>
      <c r="K49" s="410"/>
      <c r="L49" s="48"/>
      <c r="M49" s="89"/>
      <c r="N49" s="88"/>
      <c r="O49" s="512"/>
      <c r="P49" s="341"/>
      <c r="Q49" s="411"/>
      <c r="R49" s="91"/>
      <c r="S49" s="89"/>
      <c r="T49" s="88"/>
      <c r="U49" s="512"/>
      <c r="V49" s="341"/>
      <c r="W49" s="162"/>
      <c r="X49" s="819" t="s">
        <v>15</v>
      </c>
      <c r="Y49" s="122">
        <f t="shared" si="8"/>
        <v>2</v>
      </c>
      <c r="Z49" s="3" t="e">
        <f>VLOOKUP(I49,'Assessment Details'!$L$45:$M$48,2,FALSE)</f>
        <v>#N/A</v>
      </c>
      <c r="AA49" s="3" t="e">
        <f>VLOOKUP(N49,'Assessment Details'!$L$45:$M$48,2,FALSE)</f>
        <v>#N/A</v>
      </c>
      <c r="AB49" s="3" t="e">
        <f>VLOOKUP(T49,'Assessment Details'!$L$45:$M$48,2,FALSE)</f>
        <v>#N/A</v>
      </c>
      <c r="AE49" s="77"/>
      <c r="AF49" s="853" t="s">
        <v>358</v>
      </c>
      <c r="AG49" s="77"/>
      <c r="AH49" s="77"/>
      <c r="AI49" s="77"/>
      <c r="AJ49" s="77"/>
      <c r="AK49" s="77"/>
      <c r="AL49" s="77"/>
      <c r="AO49" s="24" t="str">
        <f t="shared" si="9"/>
        <v>N/A</v>
      </c>
      <c r="AP49" s="24" t="str">
        <f t="shared" si="10"/>
        <v>N/A</v>
      </c>
      <c r="AQ49" s="24" t="str">
        <f t="shared" si="11"/>
        <v>N/A</v>
      </c>
      <c r="AR49" s="24"/>
      <c r="AS49" s="24"/>
      <c r="AT49" s="24"/>
      <c r="AV49" s="819"/>
    </row>
    <row r="50" spans="1:48" ht="15.75" thickBot="1" x14ac:dyDescent="0.3">
      <c r="A50" s="398">
        <v>42</v>
      </c>
      <c r="B50" s="322" t="s">
        <v>71</v>
      </c>
      <c r="C50" s="413" t="s">
        <v>110</v>
      </c>
      <c r="D50" s="151">
        <f>Tra_Credits</f>
        <v>9</v>
      </c>
      <c r="E50" s="160"/>
      <c r="F50" s="152">
        <f>Tra_cont_tot</f>
        <v>0</v>
      </c>
      <c r="G50" s="153" t="str">
        <f>"Credits achieved: "&amp;Tra_tot_user</f>
        <v>Credits achieved: 0</v>
      </c>
      <c r="H50" s="163"/>
      <c r="I50" s="340"/>
      <c r="J50" s="342"/>
      <c r="K50" s="412"/>
      <c r="L50" s="515"/>
      <c r="M50" s="510"/>
      <c r="N50" s="165"/>
      <c r="O50" s="163"/>
      <c r="P50" s="513"/>
      <c r="Q50" s="411"/>
      <c r="R50" s="516"/>
      <c r="S50" s="510"/>
      <c r="T50" s="165"/>
      <c r="U50" s="163"/>
      <c r="V50" s="513"/>
      <c r="W50" s="162"/>
      <c r="X50" s="820"/>
      <c r="Y50" s="122">
        <f t="shared" si="8"/>
        <v>1</v>
      </c>
      <c r="Z50" s="333">
        <v>0</v>
      </c>
      <c r="AA50" s="333">
        <v>0</v>
      </c>
      <c r="AB50" s="333">
        <v>0</v>
      </c>
      <c r="AE50" s="77"/>
      <c r="AF50" s="853" t="s">
        <v>110</v>
      </c>
      <c r="AG50" s="77"/>
      <c r="AH50" s="77"/>
      <c r="AI50" s="77"/>
      <c r="AJ50" s="77"/>
      <c r="AK50" s="77"/>
      <c r="AL50" s="77"/>
      <c r="AO50" s="24" t="str">
        <f t="shared" si="9"/>
        <v>N/A</v>
      </c>
      <c r="AP50" s="24" t="str">
        <f t="shared" si="10"/>
        <v>N/A</v>
      </c>
      <c r="AQ50" s="24" t="str">
        <f t="shared" si="11"/>
        <v>N/A</v>
      </c>
      <c r="AR50" s="24"/>
      <c r="AS50" s="24"/>
      <c r="AT50" s="24"/>
      <c r="AV50" s="820"/>
    </row>
    <row r="51" spans="1:48" x14ac:dyDescent="0.25">
      <c r="A51" s="398">
        <v>43</v>
      </c>
      <c r="B51" s="322" t="s">
        <v>71</v>
      </c>
      <c r="C51" s="414"/>
      <c r="D51" s="415"/>
      <c r="E51" s="416"/>
      <c r="F51" s="415"/>
      <c r="G51" s="415"/>
      <c r="H51" s="417"/>
      <c r="I51" s="416"/>
      <c r="J51" s="417"/>
      <c r="K51" s="410"/>
      <c r="L51" s="416"/>
      <c r="M51" s="417"/>
      <c r="N51" s="418"/>
      <c r="O51" s="417"/>
      <c r="P51" s="417"/>
      <c r="Q51" s="419"/>
      <c r="R51" s="418"/>
      <c r="S51" s="417"/>
      <c r="T51" s="418"/>
      <c r="U51" s="417"/>
      <c r="V51" s="417"/>
      <c r="W51" s="962"/>
      <c r="X51" s="417"/>
      <c r="Y51" s="122">
        <f t="shared" si="8"/>
        <v>1</v>
      </c>
      <c r="Z51" s="335">
        <v>0</v>
      </c>
      <c r="AA51" s="335">
        <v>0</v>
      </c>
      <c r="AB51" s="335">
        <v>0</v>
      </c>
      <c r="AE51" s="77"/>
      <c r="AF51" s="853"/>
      <c r="AG51" s="77"/>
      <c r="AH51" s="77"/>
      <c r="AI51" s="77"/>
      <c r="AJ51" s="77"/>
      <c r="AK51" s="77"/>
      <c r="AL51" s="77"/>
      <c r="AO51" s="24" t="str">
        <f t="shared" si="9"/>
        <v>N/A</v>
      </c>
      <c r="AP51" s="24" t="str">
        <f t="shared" si="10"/>
        <v>N/A</v>
      </c>
      <c r="AQ51" s="24" t="str">
        <f t="shared" si="11"/>
        <v>N/A</v>
      </c>
      <c r="AR51" s="24"/>
      <c r="AS51" s="24"/>
      <c r="AT51" s="24"/>
      <c r="AV51" s="417"/>
    </row>
    <row r="52" spans="1:48" ht="18.75" x14ac:dyDescent="0.25">
      <c r="A52" s="398">
        <v>44</v>
      </c>
      <c r="B52" s="399" t="s">
        <v>63</v>
      </c>
      <c r="C52" s="420" t="s">
        <v>58</v>
      </c>
      <c r="D52" s="401"/>
      <c r="E52" s="402"/>
      <c r="F52" s="429"/>
      <c r="G52" s="401"/>
      <c r="H52" s="421"/>
      <c r="I52" s="422"/>
      <c r="J52" s="430"/>
      <c r="K52" s="412"/>
      <c r="L52" s="431"/>
      <c r="M52" s="421"/>
      <c r="N52" s="432"/>
      <c r="O52" s="421"/>
      <c r="P52" s="514"/>
      <c r="Q52" s="411"/>
      <c r="R52" s="433"/>
      <c r="S52" s="421"/>
      <c r="T52" s="432"/>
      <c r="U52" s="421"/>
      <c r="V52" s="514"/>
      <c r="W52" s="162"/>
      <c r="X52" s="430"/>
      <c r="Y52" s="122">
        <f t="shared" si="8"/>
        <v>1</v>
      </c>
      <c r="Z52" s="331">
        <v>0</v>
      </c>
      <c r="AA52" s="331">
        <v>0</v>
      </c>
      <c r="AB52" s="331">
        <v>0</v>
      </c>
      <c r="AE52" s="77"/>
      <c r="AF52" s="853" t="s">
        <v>58</v>
      </c>
      <c r="AG52" s="77"/>
      <c r="AH52" s="77"/>
      <c r="AI52" s="77"/>
      <c r="AJ52" s="77"/>
      <c r="AK52" s="77"/>
      <c r="AL52" s="77"/>
      <c r="AO52" s="24" t="str">
        <f t="shared" si="9"/>
        <v>N/A</v>
      </c>
      <c r="AP52" s="24" t="str">
        <f t="shared" si="10"/>
        <v>N/A</v>
      </c>
      <c r="AQ52" s="24" t="str">
        <f t="shared" si="11"/>
        <v>N/A</v>
      </c>
      <c r="AR52" s="24"/>
      <c r="AS52" s="24"/>
      <c r="AT52" s="24"/>
      <c r="AV52" s="430"/>
    </row>
    <row r="53" spans="1:48" x14ac:dyDescent="0.25">
      <c r="A53" s="398">
        <v>45</v>
      </c>
      <c r="B53" s="322" t="s">
        <v>63</v>
      </c>
      <c r="C53" s="409" t="str">
        <f>Wat_01</f>
        <v>Wat 01 Water consumption</v>
      </c>
      <c r="D53" s="147">
        <f>Wat01_credits</f>
        <v>5</v>
      </c>
      <c r="E53" s="45"/>
      <c r="F53" s="148">
        <f>Wat01_15</f>
        <v>0</v>
      </c>
      <c r="G53" s="156" t="str">
        <f>Wat01_09</f>
        <v>Very Good</v>
      </c>
      <c r="H53" s="88"/>
      <c r="I53" s="339"/>
      <c r="J53" s="341"/>
      <c r="K53" s="412"/>
      <c r="L53" s="48"/>
      <c r="M53" s="89"/>
      <c r="N53" s="88"/>
      <c r="O53" s="512"/>
      <c r="P53" s="341"/>
      <c r="Q53" s="411"/>
      <c r="R53" s="91"/>
      <c r="S53" s="89"/>
      <c r="T53" s="88"/>
      <c r="U53" s="512"/>
      <c r="V53" s="341"/>
      <c r="W53" s="162"/>
      <c r="X53" s="819" t="s">
        <v>14</v>
      </c>
      <c r="Y53" s="122">
        <f t="shared" si="8"/>
        <v>1</v>
      </c>
      <c r="Z53" s="3" t="e">
        <f>VLOOKUP(I53,'Assessment Details'!$L$45:$M$48,2,FALSE)</f>
        <v>#N/A</v>
      </c>
      <c r="AA53" s="3" t="e">
        <f>VLOOKUP(N53,'Assessment Details'!$L$45:$M$48,2,FALSE)</f>
        <v>#N/A</v>
      </c>
      <c r="AB53" s="3" t="e">
        <f>VLOOKUP(T53,'Assessment Details'!$L$45:$M$48,2,FALSE)</f>
        <v>#N/A</v>
      </c>
      <c r="AE53" s="77"/>
      <c r="AF53" s="853" t="s">
        <v>165</v>
      </c>
      <c r="AG53" s="827" t="s">
        <v>526</v>
      </c>
      <c r="AH53" s="827" t="s">
        <v>528</v>
      </c>
      <c r="AI53" s="77"/>
      <c r="AJ53" s="77"/>
      <c r="AK53" s="77"/>
      <c r="AL53" s="77"/>
      <c r="AN53" s="1" t="s">
        <v>14</v>
      </c>
      <c r="AO53" s="24" t="str">
        <f t="shared" si="9"/>
        <v>N/A</v>
      </c>
      <c r="AP53" s="24" t="str">
        <f t="shared" si="10"/>
        <v>N/A</v>
      </c>
      <c r="AQ53" s="24" t="str">
        <f t="shared" si="11"/>
        <v>N/A</v>
      </c>
      <c r="AR53" s="24"/>
      <c r="AS53" s="24"/>
      <c r="AT53" s="24"/>
      <c r="AV53" s="819"/>
    </row>
    <row r="54" spans="1:48" x14ac:dyDescent="0.25">
      <c r="A54" s="398">
        <v>46</v>
      </c>
      <c r="B54" s="322" t="s">
        <v>63</v>
      </c>
      <c r="C54" s="409" t="str">
        <f>Wat_02</f>
        <v>Wat 02 Water monitoring</v>
      </c>
      <c r="D54" s="147">
        <f>Wat02_credits</f>
        <v>1</v>
      </c>
      <c r="E54" s="45"/>
      <c r="F54" s="148">
        <f>Wat02_13</f>
        <v>0</v>
      </c>
      <c r="G54" s="155" t="str">
        <f>Wat02_11</f>
        <v>N/A</v>
      </c>
      <c r="H54" s="88"/>
      <c r="I54" s="339"/>
      <c r="J54" s="341"/>
      <c r="K54" s="412"/>
      <c r="L54" s="48"/>
      <c r="M54" s="89"/>
      <c r="N54" s="88"/>
      <c r="O54" s="512"/>
      <c r="P54" s="341"/>
      <c r="Q54" s="411"/>
      <c r="R54" s="91"/>
      <c r="S54" s="89"/>
      <c r="T54" s="88"/>
      <c r="U54" s="512"/>
      <c r="V54" s="341"/>
      <c r="W54" s="162"/>
      <c r="X54" s="819" t="s">
        <v>14</v>
      </c>
      <c r="Y54" s="122">
        <f t="shared" si="8"/>
        <v>1</v>
      </c>
      <c r="Z54" s="3" t="e">
        <f>VLOOKUP(I54,'Assessment Details'!$L$45:$M$48,2,FALSE)</f>
        <v>#N/A</v>
      </c>
      <c r="AA54" s="3" t="e">
        <f>VLOOKUP(N54,'Assessment Details'!$L$45:$M$48,2,FALSE)</f>
        <v>#N/A</v>
      </c>
      <c r="AB54" s="3" t="e">
        <f>VLOOKUP(T54,'Assessment Details'!$L$45:$M$48,2,FALSE)</f>
        <v>#N/A</v>
      </c>
      <c r="AE54" s="77" t="str">
        <f>ais_yes</f>
        <v>Ja</v>
      </c>
      <c r="AF54" s="853" t="s">
        <v>166</v>
      </c>
      <c r="AG54" s="827" t="s">
        <v>526</v>
      </c>
      <c r="AH54" s="827" t="s">
        <v>530</v>
      </c>
      <c r="AI54" s="827" t="s">
        <v>528</v>
      </c>
      <c r="AJ54" s="77"/>
      <c r="AK54" s="77"/>
      <c r="AL54" s="77"/>
      <c r="AN54" s="1" t="s">
        <v>14</v>
      </c>
      <c r="AO54" s="24" t="str">
        <f t="shared" si="9"/>
        <v>N/A</v>
      </c>
      <c r="AP54" s="24" t="str">
        <f t="shared" si="10"/>
        <v>N/A</v>
      </c>
      <c r="AQ54" s="24" t="str">
        <f t="shared" si="11"/>
        <v>N/A</v>
      </c>
      <c r="AR54" s="24"/>
      <c r="AS54" s="24"/>
      <c r="AT54" s="24"/>
      <c r="AV54" s="819"/>
    </row>
    <row r="55" spans="1:48" ht="15" customHeight="1" x14ac:dyDescent="0.25">
      <c r="A55" s="398">
        <v>47</v>
      </c>
      <c r="B55" s="322" t="s">
        <v>63</v>
      </c>
      <c r="C55" s="409" t="str">
        <f>Wat_03</f>
        <v>Wat 03 Water leak detection and prevention</v>
      </c>
      <c r="D55" s="147">
        <f>Wat03_credits</f>
        <v>2</v>
      </c>
      <c r="E55" s="45"/>
      <c r="F55" s="148">
        <f>Wat03_10</f>
        <v>0</v>
      </c>
      <c r="G55" s="155" t="str">
        <f>Wat03_minstd</f>
        <v>N/A</v>
      </c>
      <c r="H55" s="88"/>
      <c r="I55" s="339"/>
      <c r="J55" s="341"/>
      <c r="K55" s="412"/>
      <c r="L55" s="48"/>
      <c r="M55" s="89"/>
      <c r="N55" s="88"/>
      <c r="O55" s="512"/>
      <c r="P55" s="341"/>
      <c r="Q55" s="411"/>
      <c r="R55" s="91"/>
      <c r="S55" s="89"/>
      <c r="T55" s="88"/>
      <c r="U55" s="512"/>
      <c r="V55" s="341"/>
      <c r="W55" s="162"/>
      <c r="X55" s="819" t="s">
        <v>14</v>
      </c>
      <c r="Y55" s="122">
        <f t="shared" si="8"/>
        <v>1</v>
      </c>
      <c r="Z55" s="3" t="e">
        <f>VLOOKUP(I55,'Assessment Details'!$L$45:$M$48,2,FALSE)</f>
        <v>#N/A</v>
      </c>
      <c r="AA55" s="3" t="e">
        <f>VLOOKUP(N55,'Assessment Details'!$L$45:$M$48,2,FALSE)</f>
        <v>#N/A</v>
      </c>
      <c r="AB55" s="3" t="e">
        <f>VLOOKUP(T55,'Assessment Details'!$L$45:$M$48,2,FALSE)</f>
        <v>#N/A</v>
      </c>
      <c r="AE55" s="77" t="str">
        <f>ais_yes</f>
        <v>Ja</v>
      </c>
      <c r="AF55" s="853" t="s">
        <v>167</v>
      </c>
      <c r="AG55" s="832" t="s">
        <v>570</v>
      </c>
      <c r="AH55" s="832" t="s">
        <v>569</v>
      </c>
      <c r="AI55" s="832" t="s">
        <v>571</v>
      </c>
      <c r="AJ55" s="832" t="s">
        <v>560</v>
      </c>
      <c r="AK55" s="77"/>
      <c r="AL55" s="77"/>
      <c r="AN55" s="1" t="s">
        <v>14</v>
      </c>
      <c r="AO55" s="24" t="str">
        <f t="shared" si="9"/>
        <v>N/A</v>
      </c>
      <c r="AP55" s="24" t="str">
        <f t="shared" si="10"/>
        <v>N/A</v>
      </c>
      <c r="AQ55" s="24" t="str">
        <f t="shared" si="11"/>
        <v>N/A</v>
      </c>
      <c r="AR55" s="24" t="str">
        <f t="shared" si="11"/>
        <v>N/A</v>
      </c>
      <c r="AS55" s="24"/>
      <c r="AT55" s="24"/>
      <c r="AV55" s="819"/>
    </row>
    <row r="56" spans="1:48" x14ac:dyDescent="0.25">
      <c r="A56" s="398">
        <v>48</v>
      </c>
      <c r="B56" s="322" t="s">
        <v>63</v>
      </c>
      <c r="C56" s="409" t="str">
        <f>Wat_04</f>
        <v>Wat 04 Water efficient equipment</v>
      </c>
      <c r="D56" s="147">
        <f>Wat04_credits</f>
        <v>0</v>
      </c>
      <c r="E56" s="45"/>
      <c r="F56" s="148">
        <f>Wat04_06</f>
        <v>0</v>
      </c>
      <c r="G56" s="155" t="str">
        <f>Wat04_minstd</f>
        <v>N/A</v>
      </c>
      <c r="H56" s="88"/>
      <c r="I56" s="339"/>
      <c r="J56" s="341"/>
      <c r="K56" s="412"/>
      <c r="L56" s="48"/>
      <c r="M56" s="89"/>
      <c r="N56" s="88"/>
      <c r="O56" s="512"/>
      <c r="P56" s="341"/>
      <c r="Q56" s="411"/>
      <c r="R56" s="91"/>
      <c r="S56" s="89"/>
      <c r="T56" s="88"/>
      <c r="U56" s="512"/>
      <c r="V56" s="341"/>
      <c r="W56" s="162"/>
      <c r="X56" s="819" t="s">
        <v>15</v>
      </c>
      <c r="Y56" s="122">
        <f t="shared" si="8"/>
        <v>2</v>
      </c>
      <c r="Z56" s="3" t="e">
        <f>VLOOKUP(I56,'Assessment Details'!$L$45:$M$48,2,FALSE)</f>
        <v>#N/A</v>
      </c>
      <c r="AA56" s="3" t="e">
        <f>VLOOKUP(N56,'Assessment Details'!$L$45:$M$48,2,FALSE)</f>
        <v>#N/A</v>
      </c>
      <c r="AB56" s="3" t="e">
        <f>VLOOKUP(T56,'Assessment Details'!$L$45:$M$48,2,FALSE)</f>
        <v>#N/A</v>
      </c>
      <c r="AE56" s="77"/>
      <c r="AF56" s="853" t="s">
        <v>168</v>
      </c>
      <c r="AG56" s="77"/>
      <c r="AH56" s="77"/>
      <c r="AI56" s="77"/>
      <c r="AJ56" s="77"/>
      <c r="AK56" s="77"/>
      <c r="AL56" s="77"/>
      <c r="AO56" s="24" t="str">
        <f t="shared" si="9"/>
        <v>N/A</v>
      </c>
      <c r="AP56" s="24" t="str">
        <f t="shared" si="10"/>
        <v>N/A</v>
      </c>
      <c r="AQ56" s="24" t="str">
        <f t="shared" si="11"/>
        <v>N/A</v>
      </c>
      <c r="AR56" s="24"/>
      <c r="AS56" s="24"/>
      <c r="AT56" s="24"/>
      <c r="AV56" s="819"/>
    </row>
    <row r="57" spans="1:48" ht="15.75" thickBot="1" x14ac:dyDescent="0.3">
      <c r="A57" s="398">
        <v>49</v>
      </c>
      <c r="B57" s="322" t="s">
        <v>63</v>
      </c>
      <c r="C57" s="413" t="s">
        <v>111</v>
      </c>
      <c r="D57" s="151">
        <f>Wat_Credits</f>
        <v>8</v>
      </c>
      <c r="E57" s="160"/>
      <c r="F57" s="152">
        <f>Wat_cont_tot</f>
        <v>0</v>
      </c>
      <c r="G57" s="153" t="str">
        <f>"Credits achieved: "&amp;Wat_tot_user</f>
        <v>Credits achieved: 0</v>
      </c>
      <c r="H57" s="163"/>
      <c r="I57" s="340"/>
      <c r="J57" s="342"/>
      <c r="K57" s="412"/>
      <c r="L57" s="515"/>
      <c r="M57" s="510"/>
      <c r="N57" s="165"/>
      <c r="O57" s="163"/>
      <c r="P57" s="513"/>
      <c r="Q57" s="411"/>
      <c r="R57" s="516"/>
      <c r="S57" s="510"/>
      <c r="T57" s="165"/>
      <c r="U57" s="163"/>
      <c r="V57" s="513"/>
      <c r="W57" s="162"/>
      <c r="X57" s="820"/>
      <c r="Y57" s="122">
        <f t="shared" si="8"/>
        <v>1</v>
      </c>
      <c r="Z57" s="333">
        <v>0</v>
      </c>
      <c r="AA57" s="333">
        <v>0</v>
      </c>
      <c r="AB57" s="333">
        <v>0</v>
      </c>
      <c r="AE57" s="77"/>
      <c r="AF57" s="853" t="s">
        <v>111</v>
      </c>
      <c r="AG57" s="77"/>
      <c r="AH57" s="77"/>
      <c r="AI57" s="77"/>
      <c r="AJ57" s="77"/>
      <c r="AK57" s="77"/>
      <c r="AL57" s="77"/>
      <c r="AO57" s="24" t="str">
        <f t="shared" si="9"/>
        <v>N/A</v>
      </c>
      <c r="AP57" s="24" t="str">
        <f t="shared" si="10"/>
        <v>N/A</v>
      </c>
      <c r="AQ57" s="24" t="str">
        <f t="shared" si="11"/>
        <v>N/A</v>
      </c>
      <c r="AR57" s="24"/>
      <c r="AS57" s="24"/>
      <c r="AT57" s="24"/>
      <c r="AV57" s="820"/>
    </row>
    <row r="58" spans="1:48" x14ac:dyDescent="0.25">
      <c r="A58" s="398">
        <v>50</v>
      </c>
      <c r="B58" s="322" t="s">
        <v>63</v>
      </c>
      <c r="C58" s="414"/>
      <c r="D58" s="415"/>
      <c r="E58" s="416"/>
      <c r="F58" s="415"/>
      <c r="G58" s="415"/>
      <c r="H58" s="417"/>
      <c r="I58" s="416"/>
      <c r="J58" s="417"/>
      <c r="K58" s="410"/>
      <c r="L58" s="416"/>
      <c r="M58" s="417"/>
      <c r="N58" s="418"/>
      <c r="O58" s="417"/>
      <c r="P58" s="417"/>
      <c r="Q58" s="419"/>
      <c r="R58" s="418"/>
      <c r="S58" s="417"/>
      <c r="T58" s="418"/>
      <c r="U58" s="417"/>
      <c r="V58" s="417"/>
      <c r="W58" s="962"/>
      <c r="X58" s="417"/>
      <c r="Y58" s="122">
        <f t="shared" si="8"/>
        <v>1</v>
      </c>
      <c r="Z58" s="335">
        <v>0</v>
      </c>
      <c r="AA58" s="335">
        <v>0</v>
      </c>
      <c r="AB58" s="335">
        <v>0</v>
      </c>
      <c r="AE58" s="77"/>
      <c r="AF58" s="853"/>
      <c r="AG58" s="77"/>
      <c r="AH58" s="77"/>
      <c r="AI58" s="77"/>
      <c r="AJ58" s="77"/>
      <c r="AK58" s="77"/>
      <c r="AL58" s="77"/>
      <c r="AO58" s="24" t="str">
        <f t="shared" si="9"/>
        <v>N/A</v>
      </c>
      <c r="AP58" s="24" t="str">
        <f t="shared" si="10"/>
        <v>N/A</v>
      </c>
      <c r="AQ58" s="24" t="str">
        <f t="shared" si="11"/>
        <v>N/A</v>
      </c>
      <c r="AR58" s="24"/>
      <c r="AS58" s="24"/>
      <c r="AT58" s="24"/>
      <c r="AV58" s="417"/>
    </row>
    <row r="59" spans="1:48" ht="18.75" x14ac:dyDescent="0.25">
      <c r="A59" s="398">
        <v>51</v>
      </c>
      <c r="B59" s="322" t="s">
        <v>72</v>
      </c>
      <c r="C59" s="420" t="s">
        <v>59</v>
      </c>
      <c r="D59" s="401"/>
      <c r="E59" s="402"/>
      <c r="F59" s="429"/>
      <c r="G59" s="401"/>
      <c r="H59" s="421"/>
      <c r="I59" s="422"/>
      <c r="J59" s="430"/>
      <c r="K59" s="412"/>
      <c r="L59" s="431"/>
      <c r="M59" s="421"/>
      <c r="N59" s="432"/>
      <c r="O59" s="421"/>
      <c r="P59" s="514"/>
      <c r="Q59" s="411"/>
      <c r="R59" s="433"/>
      <c r="S59" s="421"/>
      <c r="T59" s="432"/>
      <c r="U59" s="421"/>
      <c r="V59" s="514"/>
      <c r="W59" s="162"/>
      <c r="X59" s="430"/>
      <c r="Y59" s="122">
        <f t="shared" si="8"/>
        <v>1</v>
      </c>
      <c r="Z59" s="331">
        <v>0</v>
      </c>
      <c r="AA59" s="331">
        <v>0</v>
      </c>
      <c r="AB59" s="331">
        <v>0</v>
      </c>
      <c r="AE59" s="77"/>
      <c r="AF59" s="853" t="s">
        <v>59</v>
      </c>
      <c r="AG59" s="77"/>
      <c r="AH59" s="77"/>
      <c r="AI59" s="77"/>
      <c r="AJ59" s="77"/>
      <c r="AK59" s="77"/>
      <c r="AL59" s="77"/>
      <c r="AO59" s="24" t="str">
        <f t="shared" si="9"/>
        <v>N/A</v>
      </c>
      <c r="AP59" s="24" t="str">
        <f t="shared" si="10"/>
        <v>N/A</v>
      </c>
      <c r="AQ59" s="24" t="str">
        <f t="shared" si="11"/>
        <v>N/A</v>
      </c>
      <c r="AR59" s="24"/>
      <c r="AS59" s="24"/>
      <c r="AT59" s="24"/>
      <c r="AV59" s="430"/>
    </row>
    <row r="60" spans="1:48" x14ac:dyDescent="0.25">
      <c r="A60" s="398">
        <v>52</v>
      </c>
      <c r="B60" s="322" t="s">
        <v>72</v>
      </c>
      <c r="C60" s="409" t="str">
        <f>Mat_01</f>
        <v>Mat 01 Life cycle impacts</v>
      </c>
      <c r="D60" s="147">
        <f>Mat01_credits</f>
        <v>7</v>
      </c>
      <c r="E60" s="45"/>
      <c r="F60" s="148">
        <f>Mat01_28</f>
        <v>0</v>
      </c>
      <c r="G60" s="156" t="str">
        <f>Mat01_minstd</f>
        <v>Unclassified</v>
      </c>
      <c r="H60" s="88"/>
      <c r="I60" s="339"/>
      <c r="J60" s="341"/>
      <c r="K60" s="412"/>
      <c r="L60" s="48"/>
      <c r="M60" s="89"/>
      <c r="N60" s="88"/>
      <c r="O60" s="512"/>
      <c r="P60" s="341"/>
      <c r="Q60" s="411"/>
      <c r="R60" s="91"/>
      <c r="S60" s="89"/>
      <c r="T60" s="88"/>
      <c r="U60" s="512"/>
      <c r="V60" s="341"/>
      <c r="W60" s="162"/>
      <c r="X60" s="819" t="s">
        <v>15</v>
      </c>
      <c r="Y60" s="122">
        <f t="shared" si="8"/>
        <v>1</v>
      </c>
      <c r="Z60" s="3" t="e">
        <f>VLOOKUP(I60,'Assessment Details'!$L$45:$M$48,2,FALSE)</f>
        <v>#N/A</v>
      </c>
      <c r="AA60" s="3" t="e">
        <f>VLOOKUP(N60,'Assessment Details'!$L$45:$M$48,2,FALSE)</f>
        <v>#N/A</v>
      </c>
      <c r="AB60" s="3" t="e">
        <f>VLOOKUP(T60,'Assessment Details'!$L$45:$M$48,2,FALSE)</f>
        <v>#N/A</v>
      </c>
      <c r="AE60" s="77"/>
      <c r="AF60" s="853" t="s">
        <v>169</v>
      </c>
      <c r="AG60" s="77"/>
      <c r="AH60" s="77"/>
      <c r="AI60" s="77"/>
      <c r="AJ60" s="77"/>
      <c r="AK60" s="77"/>
      <c r="AL60" s="77"/>
      <c r="AO60" s="24" t="str">
        <f t="shared" si="9"/>
        <v>N/A</v>
      </c>
      <c r="AP60" s="24" t="str">
        <f t="shared" si="10"/>
        <v>N/A</v>
      </c>
      <c r="AQ60" s="24" t="str">
        <f t="shared" si="11"/>
        <v>N/A</v>
      </c>
      <c r="AR60" s="24"/>
      <c r="AS60" s="24"/>
      <c r="AT60" s="24"/>
      <c r="AV60" s="819"/>
    </row>
    <row r="61" spans="1:48" x14ac:dyDescent="0.25">
      <c r="A61" s="398">
        <v>53</v>
      </c>
      <c r="B61" s="322" t="s">
        <v>72</v>
      </c>
      <c r="C61" s="409" t="str">
        <f>Mat01_Crit1</f>
        <v>Mat 01 Life cycle impacts  - Criteria 1</v>
      </c>
      <c r="D61" s="147" t="str">
        <f>Mat01_Crit1_credits</f>
        <v>Yes/No</v>
      </c>
      <c r="E61" s="45"/>
      <c r="F61" s="148" t="str">
        <f>Mat01_Crit1_cont</f>
        <v>-</v>
      </c>
      <c r="G61" s="154" t="str">
        <f>Mat01_minstd</f>
        <v>Unclassified</v>
      </c>
      <c r="H61" s="88"/>
      <c r="I61" s="339"/>
      <c r="J61" s="341"/>
      <c r="K61" s="412"/>
      <c r="L61" s="48"/>
      <c r="M61" s="89"/>
      <c r="N61" s="88"/>
      <c r="O61" s="512"/>
      <c r="P61" s="341"/>
      <c r="Q61" s="411"/>
      <c r="R61" s="91"/>
      <c r="S61" s="89"/>
      <c r="T61" s="88"/>
      <c r="U61" s="512"/>
      <c r="V61" s="341"/>
      <c r="W61" s="162"/>
      <c r="X61" s="819" t="s">
        <v>15</v>
      </c>
      <c r="Y61" s="122">
        <f t="shared" si="8"/>
        <v>1</v>
      </c>
      <c r="Z61" s="3" t="e">
        <f>VLOOKUP(I61,'Assessment Details'!$L$45:$M$48,2,FALSE)</f>
        <v>#N/A</v>
      </c>
      <c r="AA61" s="3" t="e">
        <f>VLOOKUP(N61,'Assessment Details'!$L$45:$M$48,2,FALSE)</f>
        <v>#N/A</v>
      </c>
      <c r="AB61" s="3" t="e">
        <f>VLOOKUP(T61,'Assessment Details'!$L$45:$M$48,2,FALSE)</f>
        <v>#N/A</v>
      </c>
      <c r="AE61" s="77"/>
      <c r="AF61" s="853" t="s">
        <v>282</v>
      </c>
      <c r="AG61" s="77"/>
      <c r="AH61" s="77"/>
      <c r="AI61" s="77"/>
      <c r="AJ61" s="77"/>
      <c r="AK61" s="77"/>
      <c r="AL61" s="77"/>
      <c r="AO61" s="24" t="str">
        <f t="shared" si="9"/>
        <v>N/A</v>
      </c>
      <c r="AP61" s="24" t="str">
        <f t="shared" si="10"/>
        <v>N/A</v>
      </c>
      <c r="AQ61" s="24" t="str">
        <f t="shared" si="11"/>
        <v>N/A</v>
      </c>
      <c r="AR61" s="24"/>
      <c r="AS61" s="24"/>
      <c r="AT61" s="24"/>
      <c r="AV61" s="819"/>
    </row>
    <row r="62" spans="1:48" x14ac:dyDescent="0.25">
      <c r="A62" s="398">
        <v>54</v>
      </c>
      <c r="B62" s="322" t="s">
        <v>72</v>
      </c>
      <c r="C62" s="409" t="str">
        <f>Mat_03</f>
        <v>Mat 03 Responsible sourcing of materials</v>
      </c>
      <c r="D62" s="147">
        <f>Mat03_credits</f>
        <v>3</v>
      </c>
      <c r="E62" s="45"/>
      <c r="F62" s="148">
        <f>Mat03_38</f>
        <v>0</v>
      </c>
      <c r="G62" s="155" t="str">
        <f>Mat03_minstd</f>
        <v>Unclassified</v>
      </c>
      <c r="H62" s="88"/>
      <c r="I62" s="339"/>
      <c r="J62" s="341"/>
      <c r="K62" s="412"/>
      <c r="L62" s="48"/>
      <c r="M62" s="89"/>
      <c r="N62" s="88"/>
      <c r="O62" s="512"/>
      <c r="P62" s="341"/>
      <c r="Q62" s="411"/>
      <c r="R62" s="91"/>
      <c r="S62" s="89"/>
      <c r="T62" s="88"/>
      <c r="U62" s="512"/>
      <c r="V62" s="341"/>
      <c r="W62" s="162"/>
      <c r="X62" s="819" t="s">
        <v>15</v>
      </c>
      <c r="Y62" s="122">
        <f t="shared" si="8"/>
        <v>1</v>
      </c>
      <c r="Z62" s="3" t="e">
        <f>VLOOKUP(I62,'Assessment Details'!$L$45:$M$48,2,FALSE)</f>
        <v>#N/A</v>
      </c>
      <c r="AA62" s="3" t="e">
        <f>VLOOKUP(N62,'Assessment Details'!$L$45:$M$48,2,FALSE)</f>
        <v>#N/A</v>
      </c>
      <c r="AB62" s="3" t="e">
        <f>VLOOKUP(T62,'Assessment Details'!$L$45:$M$48,2,FALSE)</f>
        <v>#N/A</v>
      </c>
      <c r="AE62" s="77"/>
      <c r="AF62" s="853" t="s">
        <v>170</v>
      </c>
      <c r="AG62" s="77"/>
      <c r="AH62" s="77"/>
      <c r="AI62" s="77"/>
      <c r="AJ62" s="77"/>
      <c r="AK62" s="77"/>
      <c r="AL62" s="77"/>
      <c r="AO62" s="24" t="str">
        <f t="shared" si="9"/>
        <v>N/A</v>
      </c>
      <c r="AP62" s="24" t="str">
        <f t="shared" si="10"/>
        <v>N/A</v>
      </c>
      <c r="AQ62" s="24" t="str">
        <f t="shared" si="11"/>
        <v>N/A</v>
      </c>
      <c r="AR62" s="24"/>
      <c r="AS62" s="24"/>
      <c r="AT62" s="24"/>
      <c r="AV62" s="819"/>
    </row>
    <row r="63" spans="1:48" x14ac:dyDescent="0.25">
      <c r="A63" s="398">
        <v>55</v>
      </c>
      <c r="B63" s="322" t="s">
        <v>72</v>
      </c>
      <c r="C63" s="409" t="str">
        <f>Mat03_Crit1</f>
        <v>Mat 03 Responsible sourcing of mat.  - Crit 1.</v>
      </c>
      <c r="D63" s="147" t="str">
        <f>Mat03_Crit1_credits</f>
        <v>Yes/No</v>
      </c>
      <c r="E63" s="45"/>
      <c r="F63" s="148" t="str">
        <f>Mat03_Crit1_cont</f>
        <v>-</v>
      </c>
      <c r="G63" s="155" t="str">
        <f>Mat03_minstd</f>
        <v>Unclassified</v>
      </c>
      <c r="H63" s="88"/>
      <c r="I63" s="339"/>
      <c r="J63" s="341"/>
      <c r="K63" s="412"/>
      <c r="L63" s="48"/>
      <c r="M63" s="89"/>
      <c r="N63" s="88"/>
      <c r="O63" s="512"/>
      <c r="P63" s="341"/>
      <c r="Q63" s="411"/>
      <c r="R63" s="91"/>
      <c r="S63" s="89"/>
      <c r="T63" s="88"/>
      <c r="U63" s="512"/>
      <c r="V63" s="341"/>
      <c r="W63" s="162"/>
      <c r="X63" s="819" t="s">
        <v>15</v>
      </c>
      <c r="Y63" s="122">
        <f t="shared" si="8"/>
        <v>1</v>
      </c>
      <c r="Z63" s="3" t="e">
        <f>VLOOKUP(I63,'Assessment Details'!$L$45:$M$48,2,FALSE)</f>
        <v>#N/A</v>
      </c>
      <c r="AA63" s="3" t="e">
        <f>VLOOKUP(N63,'Assessment Details'!$L$45:$M$48,2,FALSE)</f>
        <v>#N/A</v>
      </c>
      <c r="AB63" s="3" t="e">
        <f>VLOOKUP(T63,'Assessment Details'!$L$45:$M$48,2,FALSE)</f>
        <v>#N/A</v>
      </c>
      <c r="AE63" s="77"/>
      <c r="AF63" s="853" t="s">
        <v>351</v>
      </c>
      <c r="AG63" s="77"/>
      <c r="AH63" s="77"/>
      <c r="AI63" s="77"/>
      <c r="AJ63" s="77"/>
      <c r="AK63" s="77"/>
      <c r="AL63" s="77"/>
      <c r="AO63" s="24" t="str">
        <f t="shared" si="9"/>
        <v>N/A</v>
      </c>
      <c r="AP63" s="24" t="str">
        <f t="shared" si="10"/>
        <v>N/A</v>
      </c>
      <c r="AQ63" s="24" t="str">
        <f t="shared" si="11"/>
        <v>N/A</v>
      </c>
      <c r="AR63" s="24"/>
      <c r="AS63" s="24"/>
      <c r="AT63" s="24"/>
      <c r="AV63" s="819"/>
    </row>
    <row r="64" spans="1:48" x14ac:dyDescent="0.25">
      <c r="A64" s="398">
        <v>56</v>
      </c>
      <c r="B64" s="322" t="s">
        <v>72</v>
      </c>
      <c r="C64" s="409" t="str">
        <f>Mat_05</f>
        <v>Mat 05 Designing for robustness</v>
      </c>
      <c r="D64" s="147">
        <f>Mat05_credits</f>
        <v>1</v>
      </c>
      <c r="E64" s="45"/>
      <c r="F64" s="148">
        <f>Mat05_06</f>
        <v>0</v>
      </c>
      <c r="G64" s="156" t="str">
        <f>Mat05_minstd</f>
        <v>N/A</v>
      </c>
      <c r="H64" s="88"/>
      <c r="I64" s="339"/>
      <c r="J64" s="343"/>
      <c r="K64" s="412"/>
      <c r="L64" s="48"/>
      <c r="M64" s="89"/>
      <c r="N64" s="88"/>
      <c r="O64" s="512"/>
      <c r="P64" s="341"/>
      <c r="Q64" s="411"/>
      <c r="R64" s="91"/>
      <c r="S64" s="89"/>
      <c r="T64" s="88"/>
      <c r="U64" s="512"/>
      <c r="V64" s="341"/>
      <c r="W64" s="162"/>
      <c r="X64" s="819" t="s">
        <v>14</v>
      </c>
      <c r="Y64" s="122">
        <f t="shared" si="8"/>
        <v>1</v>
      </c>
      <c r="Z64" s="3" t="e">
        <f>VLOOKUP(I64,'Assessment Details'!$L$45:$M$48,2,FALSE)</f>
        <v>#N/A</v>
      </c>
      <c r="AA64" s="3" t="e">
        <f>VLOOKUP(N64,'Assessment Details'!$L$45:$M$48,2,FALSE)</f>
        <v>#N/A</v>
      </c>
      <c r="AB64" s="3" t="e">
        <f>VLOOKUP(T64,'Assessment Details'!$L$45:$M$48,2,FALSE)</f>
        <v>#N/A</v>
      </c>
      <c r="AE64" s="77" t="str">
        <f>ais_yes</f>
        <v>Ja</v>
      </c>
      <c r="AF64" s="853" t="s">
        <v>171</v>
      </c>
      <c r="AG64" s="827" t="s">
        <v>526</v>
      </c>
      <c r="AH64" s="827" t="s">
        <v>530</v>
      </c>
      <c r="AI64" s="827" t="s">
        <v>528</v>
      </c>
      <c r="AJ64" s="77"/>
      <c r="AK64" s="77"/>
      <c r="AL64" s="77"/>
      <c r="AN64" s="1" t="s">
        <v>14</v>
      </c>
      <c r="AO64" s="24" t="str">
        <f t="shared" si="9"/>
        <v>N/A</v>
      </c>
      <c r="AP64" s="24" t="str">
        <f t="shared" si="10"/>
        <v>N/A</v>
      </c>
      <c r="AQ64" s="24" t="str">
        <f t="shared" si="11"/>
        <v>N/A</v>
      </c>
      <c r="AR64" s="24"/>
      <c r="AS64" s="24"/>
      <c r="AT64" s="24"/>
      <c r="AV64" s="821"/>
    </row>
    <row r="65" spans="1:48" ht="15.75" thickBot="1" x14ac:dyDescent="0.3">
      <c r="A65" s="398">
        <v>57</v>
      </c>
      <c r="B65" s="322" t="s">
        <v>72</v>
      </c>
      <c r="C65" s="413" t="s">
        <v>112</v>
      </c>
      <c r="D65" s="151">
        <f>Mat_Credits</f>
        <v>11</v>
      </c>
      <c r="E65" s="160"/>
      <c r="F65" s="152">
        <f>Mat_cont_tot</f>
        <v>0</v>
      </c>
      <c r="G65" s="153" t="str">
        <f>"Credits achieved: "&amp;Mat_tot_user</f>
        <v>Credits achieved: 0</v>
      </c>
      <c r="H65" s="163"/>
      <c r="I65" s="340"/>
      <c r="J65" s="342"/>
      <c r="K65" s="412"/>
      <c r="L65" s="515"/>
      <c r="M65" s="510"/>
      <c r="N65" s="165"/>
      <c r="O65" s="163"/>
      <c r="P65" s="513"/>
      <c r="Q65" s="411"/>
      <c r="R65" s="516"/>
      <c r="S65" s="510"/>
      <c r="T65" s="165"/>
      <c r="U65" s="163"/>
      <c r="V65" s="513"/>
      <c r="W65" s="162"/>
      <c r="X65" s="820"/>
      <c r="Y65" s="122">
        <f t="shared" si="8"/>
        <v>1</v>
      </c>
      <c r="Z65" s="333">
        <v>0</v>
      </c>
      <c r="AA65" s="333">
        <v>0</v>
      </c>
      <c r="AB65" s="333">
        <v>0</v>
      </c>
      <c r="AE65" s="77"/>
      <c r="AF65" s="853" t="s">
        <v>112</v>
      </c>
      <c r="AG65" s="77"/>
      <c r="AH65" s="77"/>
      <c r="AI65" s="77"/>
      <c r="AJ65" s="77"/>
      <c r="AK65" s="77"/>
      <c r="AL65" s="77"/>
      <c r="AO65" s="24" t="str">
        <f t="shared" si="9"/>
        <v>N/A</v>
      </c>
      <c r="AP65" s="24" t="str">
        <f t="shared" si="10"/>
        <v>N/A</v>
      </c>
      <c r="AQ65" s="24" t="str">
        <f t="shared" si="11"/>
        <v>N/A</v>
      </c>
      <c r="AR65" s="24"/>
      <c r="AS65" s="24"/>
      <c r="AT65" s="24"/>
      <c r="AV65" s="820"/>
    </row>
    <row r="66" spans="1:48" x14ac:dyDescent="0.25">
      <c r="A66" s="398">
        <v>58</v>
      </c>
      <c r="B66" s="322" t="s">
        <v>72</v>
      </c>
      <c r="C66" s="427"/>
      <c r="D66" s="415"/>
      <c r="E66" s="416"/>
      <c r="F66" s="415"/>
      <c r="G66" s="415"/>
      <c r="H66" s="417"/>
      <c r="I66" s="416"/>
      <c r="J66" s="417"/>
      <c r="K66" s="410"/>
      <c r="L66" s="416"/>
      <c r="M66" s="417"/>
      <c r="N66" s="418"/>
      <c r="O66" s="417"/>
      <c r="P66" s="417"/>
      <c r="Q66" s="419"/>
      <c r="R66" s="418"/>
      <c r="S66" s="417"/>
      <c r="T66" s="418"/>
      <c r="U66" s="417"/>
      <c r="V66" s="417"/>
      <c r="W66" s="962"/>
      <c r="X66" s="417"/>
      <c r="Y66" s="122">
        <f t="shared" si="8"/>
        <v>1</v>
      </c>
      <c r="Z66" s="335">
        <v>0</v>
      </c>
      <c r="AA66" s="335">
        <v>0</v>
      </c>
      <c r="AB66" s="335">
        <v>0</v>
      </c>
      <c r="AE66" s="77"/>
      <c r="AF66" s="853"/>
      <c r="AG66" s="77"/>
      <c r="AH66" s="77"/>
      <c r="AI66" s="77"/>
      <c r="AJ66" s="77"/>
      <c r="AK66" s="77"/>
      <c r="AL66" s="77"/>
      <c r="AO66" s="24" t="str">
        <f t="shared" si="9"/>
        <v>N/A</v>
      </c>
      <c r="AP66" s="24" t="str">
        <f t="shared" si="10"/>
        <v>N/A</v>
      </c>
      <c r="AQ66" s="24" t="str">
        <f t="shared" si="11"/>
        <v>N/A</v>
      </c>
      <c r="AR66" s="24"/>
      <c r="AS66" s="24"/>
      <c r="AT66" s="24"/>
      <c r="AV66" s="417"/>
    </row>
    <row r="67" spans="1:48" ht="18.75" x14ac:dyDescent="0.25">
      <c r="A67" s="398">
        <v>59</v>
      </c>
      <c r="B67" s="322" t="s">
        <v>73</v>
      </c>
      <c r="C67" s="428" t="s">
        <v>60</v>
      </c>
      <c r="D67" s="401"/>
      <c r="E67" s="402"/>
      <c r="F67" s="429"/>
      <c r="G67" s="401"/>
      <c r="H67" s="421"/>
      <c r="I67" s="422"/>
      <c r="J67" s="430"/>
      <c r="K67" s="412"/>
      <c r="L67" s="431"/>
      <c r="M67" s="421"/>
      <c r="N67" s="432"/>
      <c r="O67" s="421"/>
      <c r="P67" s="514"/>
      <c r="Q67" s="411"/>
      <c r="R67" s="433"/>
      <c r="S67" s="421"/>
      <c r="T67" s="432"/>
      <c r="U67" s="421"/>
      <c r="V67" s="514"/>
      <c r="W67" s="162"/>
      <c r="X67" s="430"/>
      <c r="Y67" s="122">
        <f t="shared" si="8"/>
        <v>1</v>
      </c>
      <c r="Z67" s="331">
        <v>0</v>
      </c>
      <c r="AA67" s="331">
        <v>0</v>
      </c>
      <c r="AB67" s="331">
        <v>0</v>
      </c>
      <c r="AE67" s="77"/>
      <c r="AF67" s="853" t="s">
        <v>60</v>
      </c>
      <c r="AG67" s="77"/>
      <c r="AH67" s="77"/>
      <c r="AI67" s="77"/>
      <c r="AJ67" s="77"/>
      <c r="AK67" s="77"/>
      <c r="AL67" s="77"/>
      <c r="AO67" s="24" t="str">
        <f t="shared" si="9"/>
        <v>N/A</v>
      </c>
      <c r="AP67" s="24" t="str">
        <f t="shared" si="10"/>
        <v>N/A</v>
      </c>
      <c r="AQ67" s="24" t="str">
        <f t="shared" si="11"/>
        <v>N/A</v>
      </c>
      <c r="AR67" s="24"/>
      <c r="AS67" s="24"/>
      <c r="AT67" s="24"/>
      <c r="AV67" s="430"/>
    </row>
    <row r="68" spans="1:48" x14ac:dyDescent="0.25">
      <c r="A68" s="398">
        <v>60</v>
      </c>
      <c r="B68" s="322" t="s">
        <v>73</v>
      </c>
      <c r="C68" s="434" t="str">
        <f>Wst_01</f>
        <v>Wst 01 Construction waste management</v>
      </c>
      <c r="D68" s="147">
        <f>Wst01_credits</f>
        <v>3</v>
      </c>
      <c r="E68" s="45"/>
      <c r="F68" s="148">
        <f>Wst01_28</f>
        <v>0</v>
      </c>
      <c r="G68" s="156" t="str">
        <f>Wst01_18</f>
        <v>Excellent</v>
      </c>
      <c r="H68" s="88"/>
      <c r="I68" s="339"/>
      <c r="J68" s="341"/>
      <c r="K68" s="412"/>
      <c r="L68" s="48"/>
      <c r="M68" s="89"/>
      <c r="N68" s="88"/>
      <c r="O68" s="512"/>
      <c r="P68" s="341"/>
      <c r="Q68" s="411"/>
      <c r="R68" s="91"/>
      <c r="S68" s="89"/>
      <c r="T68" s="88"/>
      <c r="U68" s="512"/>
      <c r="V68" s="341"/>
      <c r="W68" s="162"/>
      <c r="X68" s="819" t="s">
        <v>15</v>
      </c>
      <c r="Y68" s="122">
        <f t="shared" si="8"/>
        <v>1</v>
      </c>
      <c r="Z68" s="1" t="e">
        <f>VLOOKUP(I68,'Assessment Details'!$L$45:$M$48,2,FALSE)</f>
        <v>#N/A</v>
      </c>
      <c r="AA68" s="1" t="e">
        <f>VLOOKUP(N68,'Assessment Details'!$L$45:$M$48,2,FALSE)</f>
        <v>#N/A</v>
      </c>
      <c r="AB68" s="1" t="e">
        <f>VLOOKUP(T68,'Assessment Details'!$L$45:$M$48,2,FALSE)</f>
        <v>#N/A</v>
      </c>
      <c r="AE68" s="77"/>
      <c r="AF68" s="853" t="s">
        <v>172</v>
      </c>
      <c r="AG68" s="77"/>
      <c r="AH68" s="77"/>
      <c r="AI68" s="77"/>
      <c r="AJ68" s="77"/>
      <c r="AK68" s="77"/>
      <c r="AL68" s="77"/>
      <c r="AO68" s="24" t="str">
        <f t="shared" si="9"/>
        <v>N/A</v>
      </c>
      <c r="AP68" s="24" t="str">
        <f t="shared" si="10"/>
        <v>N/A</v>
      </c>
      <c r="AQ68" s="24" t="str">
        <f t="shared" si="11"/>
        <v>N/A</v>
      </c>
      <c r="AR68" s="24"/>
      <c r="AS68" s="24"/>
      <c r="AT68" s="24"/>
      <c r="AV68" s="819"/>
    </row>
    <row r="69" spans="1:48" x14ac:dyDescent="0.25">
      <c r="A69" s="398">
        <v>61</v>
      </c>
      <c r="B69" s="322" t="s">
        <v>73</v>
      </c>
      <c r="C69" s="434" t="str">
        <f>Wst_02</f>
        <v>Wst 02 Recycled aggregates</v>
      </c>
      <c r="D69" s="147">
        <f>Wst02_credits</f>
        <v>1</v>
      </c>
      <c r="E69" s="45"/>
      <c r="F69" s="148">
        <f>Wst02_15</f>
        <v>0</v>
      </c>
      <c r="G69" s="155" t="str">
        <f>Wst02_minstd</f>
        <v>N/A</v>
      </c>
      <c r="H69" s="88"/>
      <c r="I69" s="339"/>
      <c r="J69" s="341"/>
      <c r="K69" s="412"/>
      <c r="L69" s="48"/>
      <c r="M69" s="89"/>
      <c r="N69" s="88"/>
      <c r="O69" s="512"/>
      <c r="P69" s="341"/>
      <c r="Q69" s="411"/>
      <c r="R69" s="91"/>
      <c r="S69" s="89"/>
      <c r="T69" s="88"/>
      <c r="U69" s="512"/>
      <c r="V69" s="341"/>
      <c r="W69" s="162"/>
      <c r="X69" s="819" t="s">
        <v>15</v>
      </c>
      <c r="Y69" s="122">
        <f t="shared" si="8"/>
        <v>1</v>
      </c>
      <c r="Z69" s="3" t="e">
        <f>VLOOKUP(I69,'Assessment Details'!$L$45:$M$48,2,FALSE)</f>
        <v>#N/A</v>
      </c>
      <c r="AA69" s="3" t="e">
        <f>VLOOKUP(N69,'Assessment Details'!$L$45:$M$48,2,FALSE)</f>
        <v>#N/A</v>
      </c>
      <c r="AB69" s="3" t="e">
        <f>VLOOKUP(T69,'Assessment Details'!$L$45:$M$48,2,FALSE)</f>
        <v>#N/A</v>
      </c>
      <c r="AE69" s="77"/>
      <c r="AF69" s="853" t="s">
        <v>340</v>
      </c>
      <c r="AG69" s="77"/>
      <c r="AH69" s="77"/>
      <c r="AI69" s="77"/>
      <c r="AJ69" s="77"/>
      <c r="AK69" s="77"/>
      <c r="AL69" s="77"/>
      <c r="AO69" s="24" t="str">
        <f t="shared" si="9"/>
        <v>N/A</v>
      </c>
      <c r="AP69" s="24" t="str">
        <f t="shared" si="10"/>
        <v>N/A</v>
      </c>
      <c r="AQ69" s="24" t="str">
        <f t="shared" si="11"/>
        <v>N/A</v>
      </c>
      <c r="AR69" s="24"/>
      <c r="AS69" s="24"/>
      <c r="AT69" s="24"/>
      <c r="AV69" s="819"/>
    </row>
    <row r="70" spans="1:48" x14ac:dyDescent="0.25">
      <c r="A70" s="398">
        <v>62</v>
      </c>
      <c r="B70" s="322" t="s">
        <v>73</v>
      </c>
      <c r="C70" s="434" t="str">
        <f>Wst_03</f>
        <v>Wst 03 Operational waste</v>
      </c>
      <c r="D70" s="147">
        <f>Wst03_credits</f>
        <v>1</v>
      </c>
      <c r="E70" s="45"/>
      <c r="F70" s="148">
        <f>Wst03_13</f>
        <v>0</v>
      </c>
      <c r="G70" s="156" t="str">
        <f>Wst03_10</f>
        <v>Very Good</v>
      </c>
      <c r="H70" s="88"/>
      <c r="I70" s="339"/>
      <c r="J70" s="341"/>
      <c r="K70" s="412"/>
      <c r="L70" s="48"/>
      <c r="M70" s="89"/>
      <c r="N70" s="88"/>
      <c r="O70" s="512"/>
      <c r="P70" s="341"/>
      <c r="Q70" s="411"/>
      <c r="R70" s="91"/>
      <c r="S70" s="89"/>
      <c r="T70" s="88"/>
      <c r="U70" s="512"/>
      <c r="V70" s="341"/>
      <c r="W70" s="162"/>
      <c r="X70" s="819" t="s">
        <v>14</v>
      </c>
      <c r="Y70" s="122">
        <f t="shared" si="8"/>
        <v>1</v>
      </c>
      <c r="Z70" s="3" t="e">
        <f>VLOOKUP(I70,'Assessment Details'!$L$45:$M$48,2,FALSE)</f>
        <v>#N/A</v>
      </c>
      <c r="AA70" s="3" t="e">
        <f>VLOOKUP(N70,'Assessment Details'!$L$45:$M$48,2,FALSE)</f>
        <v>#N/A</v>
      </c>
      <c r="AB70" s="3" t="e">
        <f>VLOOKUP(T70,'Assessment Details'!$L$45:$M$48,2,FALSE)</f>
        <v>#N/A</v>
      </c>
      <c r="AE70" s="77"/>
      <c r="AF70" s="853" t="s">
        <v>181</v>
      </c>
      <c r="AG70" s="827" t="s">
        <v>14</v>
      </c>
      <c r="AH70" s="827" t="s">
        <v>13</v>
      </c>
      <c r="AI70" s="77"/>
      <c r="AJ70" s="77"/>
      <c r="AK70" s="77"/>
      <c r="AL70" s="77"/>
      <c r="AO70" s="24" t="str">
        <f t="shared" si="9"/>
        <v>N/A</v>
      </c>
      <c r="AP70" s="24" t="str">
        <f t="shared" si="10"/>
        <v>N/A</v>
      </c>
      <c r="AQ70" s="24" t="str">
        <f t="shared" si="11"/>
        <v>N/A</v>
      </c>
      <c r="AR70" s="24"/>
      <c r="AS70" s="24"/>
      <c r="AT70" s="24"/>
      <c r="AV70" s="819"/>
    </row>
    <row r="71" spans="1:48" x14ac:dyDescent="0.25">
      <c r="A71" s="398">
        <v>63</v>
      </c>
      <c r="B71" s="322" t="s">
        <v>73</v>
      </c>
      <c r="C71" s="434" t="str">
        <f>Wst_04</f>
        <v>Wst 04 Speculative floor and ceiling finishes</v>
      </c>
      <c r="D71" s="147">
        <f>Wst04_credits</f>
        <v>1</v>
      </c>
      <c r="E71" s="45"/>
      <c r="F71" s="148">
        <f>Wst04_09</f>
        <v>0</v>
      </c>
      <c r="G71" s="155" t="str">
        <f>Wst04_minstd</f>
        <v>N/A</v>
      </c>
      <c r="H71" s="88"/>
      <c r="I71" s="339"/>
      <c r="J71" s="341"/>
      <c r="K71" s="412"/>
      <c r="L71" s="48"/>
      <c r="M71" s="89"/>
      <c r="N71" s="88"/>
      <c r="O71" s="512"/>
      <c r="P71" s="341"/>
      <c r="Q71" s="411"/>
      <c r="R71" s="91"/>
      <c r="S71" s="89"/>
      <c r="T71" s="88" t="s">
        <v>0</v>
      </c>
      <c r="U71" s="512"/>
      <c r="V71" s="341"/>
      <c r="W71" s="162"/>
      <c r="X71" s="819" t="s">
        <v>14</v>
      </c>
      <c r="Y71" s="122">
        <f t="shared" si="8"/>
        <v>1</v>
      </c>
      <c r="Z71" s="1" t="e">
        <f>VLOOKUP(I71,'Assessment Details'!$L$45:$M$48,2,FALSE)</f>
        <v>#N/A</v>
      </c>
      <c r="AA71" s="1" t="e">
        <f>VLOOKUP(N71,'Assessment Details'!$L$45:$M$48,2,FALSE)</f>
        <v>#N/A</v>
      </c>
      <c r="AB71" s="1">
        <f>VLOOKUP(T71,'Assessment Details'!$L$45:$M$48,2,FALSE)</f>
        <v>4</v>
      </c>
      <c r="AE71" s="77"/>
      <c r="AF71" s="853" t="s">
        <v>231</v>
      </c>
      <c r="AG71" s="827" t="s">
        <v>14</v>
      </c>
      <c r="AH71" s="827" t="s">
        <v>13</v>
      </c>
      <c r="AI71" s="77"/>
      <c r="AJ71" s="77"/>
      <c r="AK71" s="77"/>
      <c r="AL71" s="77"/>
      <c r="AO71" s="24" t="str">
        <f t="shared" si="9"/>
        <v>N/A</v>
      </c>
      <c r="AP71" s="24" t="str">
        <f t="shared" si="10"/>
        <v>N/A</v>
      </c>
      <c r="AQ71" s="24" t="str">
        <f t="shared" si="11"/>
        <v>N/A</v>
      </c>
      <c r="AR71" s="24"/>
      <c r="AS71" s="24"/>
      <c r="AT71" s="24"/>
      <c r="AV71" s="819"/>
    </row>
    <row r="72" spans="1:48" ht="15.75" thickBot="1" x14ac:dyDescent="0.3">
      <c r="A72" s="398">
        <v>64</v>
      </c>
      <c r="B72" s="322" t="s">
        <v>73</v>
      </c>
      <c r="C72" s="435" t="s">
        <v>113</v>
      </c>
      <c r="D72" s="151">
        <f>Wst_Credits</f>
        <v>6</v>
      </c>
      <c r="E72" s="160"/>
      <c r="F72" s="152">
        <f>Wst_cont_tot</f>
        <v>0</v>
      </c>
      <c r="G72" s="153" t="str">
        <f>"Credits achieved: "&amp;Wst_tot_user</f>
        <v>Credits achieved: 0</v>
      </c>
      <c r="H72" s="163"/>
      <c r="I72" s="340"/>
      <c r="J72" s="342"/>
      <c r="K72" s="412"/>
      <c r="L72" s="515"/>
      <c r="M72" s="510"/>
      <c r="N72" s="165"/>
      <c r="O72" s="163"/>
      <c r="P72" s="513"/>
      <c r="Q72" s="411"/>
      <c r="R72" s="516"/>
      <c r="S72" s="510"/>
      <c r="T72" s="165"/>
      <c r="U72" s="163"/>
      <c r="V72" s="513"/>
      <c r="W72" s="162"/>
      <c r="X72" s="820"/>
      <c r="Y72" s="122">
        <f t="shared" si="8"/>
        <v>1</v>
      </c>
      <c r="Z72" s="333">
        <v>0</v>
      </c>
      <c r="AA72" s="333">
        <v>0</v>
      </c>
      <c r="AB72" s="333">
        <v>0</v>
      </c>
      <c r="AE72" s="77"/>
      <c r="AF72" s="853" t="s">
        <v>113</v>
      </c>
      <c r="AG72" s="77"/>
      <c r="AH72" s="77"/>
      <c r="AI72" s="77"/>
      <c r="AJ72" s="77"/>
      <c r="AK72" s="77"/>
      <c r="AL72" s="77"/>
      <c r="AO72" s="24" t="str">
        <f t="shared" si="9"/>
        <v>N/A</v>
      </c>
      <c r="AP72" s="24" t="str">
        <f t="shared" si="10"/>
        <v>N/A</v>
      </c>
      <c r="AQ72" s="24" t="str">
        <f t="shared" si="11"/>
        <v>N/A</v>
      </c>
      <c r="AR72" s="24"/>
      <c r="AS72" s="24"/>
      <c r="AT72" s="24"/>
      <c r="AV72" s="820"/>
    </row>
    <row r="73" spans="1:48" x14ac:dyDescent="0.25">
      <c r="A73" s="398">
        <v>65</v>
      </c>
      <c r="B73" s="322" t="s">
        <v>73</v>
      </c>
      <c r="C73" s="427"/>
      <c r="D73" s="415"/>
      <c r="E73" s="416"/>
      <c r="F73" s="415"/>
      <c r="G73" s="415"/>
      <c r="H73" s="417"/>
      <c r="I73" s="416"/>
      <c r="J73" s="417"/>
      <c r="K73" s="410"/>
      <c r="L73" s="416"/>
      <c r="M73" s="417"/>
      <c r="N73" s="418"/>
      <c r="O73" s="417"/>
      <c r="P73" s="417"/>
      <c r="Q73" s="419"/>
      <c r="R73" s="418"/>
      <c r="S73" s="417"/>
      <c r="T73" s="418"/>
      <c r="U73" s="417"/>
      <c r="V73" s="417"/>
      <c r="W73" s="962"/>
      <c r="X73" s="417"/>
      <c r="Y73" s="122">
        <f t="shared" ref="Y73:Y100" si="12">IF(D73="",1,IF(D73=0,2,1))</f>
        <v>1</v>
      </c>
      <c r="Z73" s="335">
        <v>0</v>
      </c>
      <c r="AA73" s="335">
        <v>0</v>
      </c>
      <c r="AB73" s="335">
        <v>0</v>
      </c>
      <c r="AE73" s="77"/>
      <c r="AF73" s="853"/>
      <c r="AG73" s="77"/>
      <c r="AH73" s="77"/>
      <c r="AI73" s="77"/>
      <c r="AJ73" s="77"/>
      <c r="AK73" s="77"/>
      <c r="AL73" s="77"/>
      <c r="AO73" s="24" t="str">
        <f t="shared" si="9"/>
        <v>N/A</v>
      </c>
      <c r="AP73" s="24" t="str">
        <f t="shared" si="10"/>
        <v>N/A</v>
      </c>
      <c r="AQ73" s="24" t="str">
        <f t="shared" si="11"/>
        <v>N/A</v>
      </c>
      <c r="AR73" s="24"/>
      <c r="AS73" s="24"/>
      <c r="AT73" s="24"/>
      <c r="AV73" s="417"/>
    </row>
    <row r="74" spans="1:48" ht="18.75" x14ac:dyDescent="0.25">
      <c r="A74" s="398">
        <v>66</v>
      </c>
      <c r="B74" s="322" t="s">
        <v>74</v>
      </c>
      <c r="C74" s="428" t="s">
        <v>61</v>
      </c>
      <c r="D74" s="401"/>
      <c r="E74" s="402"/>
      <c r="F74" s="429"/>
      <c r="G74" s="401"/>
      <c r="H74" s="421"/>
      <c r="I74" s="422"/>
      <c r="J74" s="430"/>
      <c r="K74" s="412"/>
      <c r="L74" s="431"/>
      <c r="M74" s="421"/>
      <c r="N74" s="432"/>
      <c r="O74" s="421"/>
      <c r="P74" s="514"/>
      <c r="Q74" s="411"/>
      <c r="R74" s="433"/>
      <c r="S74" s="421"/>
      <c r="T74" s="432"/>
      <c r="U74" s="421"/>
      <c r="V74" s="514"/>
      <c r="W74" s="162"/>
      <c r="X74" s="430"/>
      <c r="Y74" s="122">
        <f t="shared" si="12"/>
        <v>1</v>
      </c>
      <c r="Z74" s="331">
        <v>0</v>
      </c>
      <c r="AA74" s="331">
        <v>0</v>
      </c>
      <c r="AB74" s="331">
        <v>0</v>
      </c>
      <c r="AE74" s="77"/>
      <c r="AF74" s="853" t="s">
        <v>61</v>
      </c>
      <c r="AG74" s="77"/>
      <c r="AH74" s="77"/>
      <c r="AI74" s="77"/>
      <c r="AJ74" s="77"/>
      <c r="AK74" s="77"/>
      <c r="AL74" s="77"/>
      <c r="AO74" s="24" t="str">
        <f t="shared" ref="AO74:AO100" si="13">IF($AF$4=ais_no,AIS_NA,IF(AG74="",AIS_NA,AG74))</f>
        <v>N/A</v>
      </c>
      <c r="AP74" s="24" t="str">
        <f t="shared" ref="AP74:AP100" si="14">IF($AF$4=ais_no,AIS_NA,IF(AH74="",AIS_NA,AH74))</f>
        <v>N/A</v>
      </c>
      <c r="AQ74" s="24" t="str">
        <f t="shared" ref="AQ74:AR100" si="15">IF($AF$4=ais_no,AIS_NA,IF(AI74="",AIS_NA,AI74))</f>
        <v>N/A</v>
      </c>
      <c r="AR74" s="24"/>
      <c r="AS74" s="24"/>
      <c r="AT74" s="24"/>
      <c r="AV74" s="430"/>
    </row>
    <row r="75" spans="1:48" x14ac:dyDescent="0.25">
      <c r="A75" s="398">
        <v>67</v>
      </c>
      <c r="B75" s="322" t="s">
        <v>74</v>
      </c>
      <c r="C75" s="434" t="str">
        <f>LE_01</f>
        <v>LE 01 Site selection</v>
      </c>
      <c r="D75" s="147">
        <f>LE01_credits</f>
        <v>3</v>
      </c>
      <c r="E75" s="45"/>
      <c r="F75" s="148">
        <f>LE01_08</f>
        <v>0</v>
      </c>
      <c r="G75" s="156" t="str">
        <f>LE01_minstd</f>
        <v>N/A</v>
      </c>
      <c r="H75" s="88"/>
      <c r="I75" s="339"/>
      <c r="J75" s="341"/>
      <c r="K75" s="412"/>
      <c r="L75" s="48"/>
      <c r="M75" s="89"/>
      <c r="N75" s="88"/>
      <c r="O75" s="512"/>
      <c r="P75" s="341"/>
      <c r="Q75" s="411"/>
      <c r="R75" s="91"/>
      <c r="S75" s="89"/>
      <c r="T75" s="88"/>
      <c r="U75" s="512"/>
      <c r="V75" s="341"/>
      <c r="W75" s="162"/>
      <c r="X75" s="819" t="s">
        <v>15</v>
      </c>
      <c r="Y75" s="122">
        <f t="shared" si="12"/>
        <v>1</v>
      </c>
      <c r="Z75" s="3" t="e">
        <f>VLOOKUP(I75,'Assessment Details'!$L$45:$M$48,2,FALSE)</f>
        <v>#N/A</v>
      </c>
      <c r="AA75" s="3" t="e">
        <f>VLOOKUP(N75,'Assessment Details'!$L$45:$M$48,2,FALSE)</f>
        <v>#N/A</v>
      </c>
      <c r="AB75" s="3" t="e">
        <f>VLOOKUP(T75,'Assessment Details'!$L$45:$M$48,2,FALSE)</f>
        <v>#N/A</v>
      </c>
      <c r="AE75" s="77"/>
      <c r="AF75" s="853" t="s">
        <v>173</v>
      </c>
      <c r="AG75" s="77"/>
      <c r="AH75" s="77"/>
      <c r="AI75" s="77"/>
      <c r="AJ75" s="77"/>
      <c r="AK75" s="77"/>
      <c r="AL75" s="77"/>
      <c r="AO75" s="24" t="str">
        <f t="shared" si="13"/>
        <v>N/A</v>
      </c>
      <c r="AP75" s="24" t="str">
        <f t="shared" si="14"/>
        <v>N/A</v>
      </c>
      <c r="AQ75" s="24" t="str">
        <f t="shared" si="15"/>
        <v>N/A</v>
      </c>
      <c r="AR75" s="24"/>
      <c r="AS75" s="24"/>
      <c r="AT75" s="24"/>
      <c r="AV75" s="819"/>
    </row>
    <row r="76" spans="1:48" ht="30" x14ac:dyDescent="0.25">
      <c r="A76" s="398">
        <v>68</v>
      </c>
      <c r="B76" s="322" t="s">
        <v>74</v>
      </c>
      <c r="C76" s="434" t="str">
        <f>LE_02</f>
        <v>LE 02 Ecological value of site and protection of ecological features</v>
      </c>
      <c r="D76" s="147">
        <f>LE02_credits</f>
        <v>2</v>
      </c>
      <c r="E76" s="45"/>
      <c r="F76" s="148">
        <f>LE02_08</f>
        <v>0</v>
      </c>
      <c r="G76" s="156" t="str">
        <f>LE02_minstd</f>
        <v>N/A</v>
      </c>
      <c r="H76" s="88"/>
      <c r="I76" s="339" t="s">
        <v>0</v>
      </c>
      <c r="J76" s="341"/>
      <c r="K76" s="412"/>
      <c r="L76" s="48"/>
      <c r="M76" s="89"/>
      <c r="N76" s="88"/>
      <c r="O76" s="512"/>
      <c r="P76" s="341"/>
      <c r="Q76" s="411"/>
      <c r="R76" s="91"/>
      <c r="S76" s="89"/>
      <c r="T76" s="88" t="s">
        <v>0</v>
      </c>
      <c r="U76" s="512"/>
      <c r="V76" s="341"/>
      <c r="W76" s="162"/>
      <c r="X76" s="819" t="s">
        <v>15</v>
      </c>
      <c r="Y76" s="122">
        <f t="shared" si="12"/>
        <v>1</v>
      </c>
      <c r="Z76" s="3">
        <f>VLOOKUP(I76,'Assessment Details'!$L$45:$M$48,2,FALSE)</f>
        <v>4</v>
      </c>
      <c r="AA76" s="3" t="e">
        <f>VLOOKUP(N76,'Assessment Details'!$L$45:$M$48,2,FALSE)</f>
        <v>#N/A</v>
      </c>
      <c r="AB76" s="3">
        <f>VLOOKUP(T76,'Assessment Details'!$L$45:$M$48,2,FALSE)</f>
        <v>4</v>
      </c>
      <c r="AE76" s="77"/>
      <c r="AF76" s="853" t="s">
        <v>174</v>
      </c>
      <c r="AG76" s="77"/>
      <c r="AH76" s="77"/>
      <c r="AI76" s="77"/>
      <c r="AJ76" s="77"/>
      <c r="AK76" s="77"/>
      <c r="AL76" s="77"/>
      <c r="AO76" s="24" t="str">
        <f t="shared" si="13"/>
        <v>N/A</v>
      </c>
      <c r="AP76" s="24" t="str">
        <f t="shared" si="14"/>
        <v>N/A</v>
      </c>
      <c r="AQ76" s="24" t="str">
        <f t="shared" si="15"/>
        <v>N/A</v>
      </c>
      <c r="AR76" s="24"/>
      <c r="AS76" s="24"/>
      <c r="AT76" s="24"/>
      <c r="AV76" s="819"/>
    </row>
    <row r="77" spans="1:48" x14ac:dyDescent="0.25">
      <c r="A77" s="398">
        <v>69</v>
      </c>
      <c r="B77" s="322" t="s">
        <v>74</v>
      </c>
      <c r="C77" s="409" t="str">
        <f>LE_04</f>
        <v>LE 04 Enhancing site ecology</v>
      </c>
      <c r="D77" s="147">
        <f>LE04_credits</f>
        <v>3</v>
      </c>
      <c r="E77" s="45"/>
      <c r="F77" s="148">
        <f>LE04_14</f>
        <v>0</v>
      </c>
      <c r="G77" s="156" t="str">
        <f>LE03_minstd</f>
        <v>N/A</v>
      </c>
      <c r="H77" s="88"/>
      <c r="I77" s="339"/>
      <c r="J77" s="341"/>
      <c r="K77" s="412"/>
      <c r="L77" s="48"/>
      <c r="M77" s="89"/>
      <c r="N77" s="88"/>
      <c r="O77" s="512"/>
      <c r="P77" s="341"/>
      <c r="Q77" s="411"/>
      <c r="R77" s="91"/>
      <c r="S77" s="89"/>
      <c r="T77" s="88"/>
      <c r="U77" s="512"/>
      <c r="V77" s="341"/>
      <c r="W77" s="162"/>
      <c r="X77" s="819" t="s">
        <v>15</v>
      </c>
      <c r="Y77" s="122">
        <f t="shared" si="12"/>
        <v>1</v>
      </c>
      <c r="Z77" s="3" t="e">
        <f>VLOOKUP(I77,'Assessment Details'!$L$45:$M$48,2,FALSE)</f>
        <v>#N/A</v>
      </c>
      <c r="AA77" s="3" t="e">
        <f>VLOOKUP(N77,'Assessment Details'!$L$45:$M$48,2,FALSE)</f>
        <v>#N/A</v>
      </c>
      <c r="AB77" s="3" t="e">
        <f>VLOOKUP(T77,'Assessment Details'!$L$45:$M$48,2,FALSE)</f>
        <v>#N/A</v>
      </c>
      <c r="AE77" s="77"/>
      <c r="AF77" s="853" t="s">
        <v>175</v>
      </c>
      <c r="AG77" s="77"/>
      <c r="AH77" s="77"/>
      <c r="AI77" s="77"/>
      <c r="AJ77" s="77"/>
      <c r="AK77" s="77"/>
      <c r="AL77" s="77"/>
      <c r="AO77" s="24" t="str">
        <f t="shared" si="13"/>
        <v>N/A</v>
      </c>
      <c r="AP77" s="24" t="str">
        <f t="shared" si="14"/>
        <v>N/A</v>
      </c>
      <c r="AQ77" s="24" t="str">
        <f t="shared" si="15"/>
        <v>N/A</v>
      </c>
      <c r="AR77" s="24"/>
      <c r="AS77" s="24"/>
      <c r="AT77" s="24"/>
      <c r="AV77" s="819"/>
    </row>
    <row r="78" spans="1:48" x14ac:dyDescent="0.25">
      <c r="A78" s="398">
        <v>70</v>
      </c>
      <c r="B78" s="322" t="s">
        <v>74</v>
      </c>
      <c r="C78" s="409" t="str">
        <f>LE_05</f>
        <v>LE 05 Long term impact on biodiversity</v>
      </c>
      <c r="D78" s="147">
        <f>LE05_credits</f>
        <v>2</v>
      </c>
      <c r="E78" s="45"/>
      <c r="F78" s="148">
        <f>LE05_15</f>
        <v>0</v>
      </c>
      <c r="G78" s="156" t="str">
        <f>LE05_minstd</f>
        <v>N/A</v>
      </c>
      <c r="H78" s="88"/>
      <c r="I78" s="339"/>
      <c r="J78" s="341"/>
      <c r="K78" s="412"/>
      <c r="L78" s="48"/>
      <c r="M78" s="89"/>
      <c r="N78" s="88"/>
      <c r="O78" s="512"/>
      <c r="P78" s="341"/>
      <c r="Q78" s="411"/>
      <c r="R78" s="91"/>
      <c r="S78" s="89"/>
      <c r="T78" s="88"/>
      <c r="U78" s="512"/>
      <c r="V78" s="341"/>
      <c r="W78" s="162"/>
      <c r="X78" s="819" t="s">
        <v>15</v>
      </c>
      <c r="Y78" s="122">
        <f t="shared" si="12"/>
        <v>1</v>
      </c>
      <c r="Z78" s="1" t="e">
        <f>VLOOKUP(I78,'Assessment Details'!$L$45:$M$48,2,FALSE)</f>
        <v>#N/A</v>
      </c>
      <c r="AA78" s="1" t="e">
        <f>VLOOKUP(N78,'Assessment Details'!$L$45:$M$48,2,FALSE)</f>
        <v>#N/A</v>
      </c>
      <c r="AB78" s="1" t="e">
        <f>VLOOKUP(T78,'Assessment Details'!$L$45:$M$48,2,FALSE)</f>
        <v>#N/A</v>
      </c>
      <c r="AE78" s="77"/>
      <c r="AF78" s="853" t="s">
        <v>176</v>
      </c>
      <c r="AG78" s="77"/>
      <c r="AH78" s="77"/>
      <c r="AI78" s="77"/>
      <c r="AJ78" s="77"/>
      <c r="AK78" s="77"/>
      <c r="AL78" s="77"/>
      <c r="AO78" s="24" t="str">
        <f t="shared" si="13"/>
        <v>N/A</v>
      </c>
      <c r="AP78" s="24" t="str">
        <f t="shared" si="14"/>
        <v>N/A</v>
      </c>
      <c r="AQ78" s="24" t="str">
        <f t="shared" si="15"/>
        <v>N/A</v>
      </c>
      <c r="AR78" s="24"/>
      <c r="AS78" s="24"/>
      <c r="AT78" s="24"/>
      <c r="AV78" s="819"/>
    </row>
    <row r="79" spans="1:48" x14ac:dyDescent="0.25">
      <c r="A79" s="398">
        <v>71</v>
      </c>
      <c r="B79" s="322" t="s">
        <v>74</v>
      </c>
      <c r="C79" s="409" t="str">
        <f>LE_06</f>
        <v>LE 06 Building footprint</v>
      </c>
      <c r="D79" s="147">
        <f>LE06_credits</f>
        <v>0</v>
      </c>
      <c r="E79" s="45"/>
      <c r="F79" s="148">
        <f>LE06_contr</f>
        <v>0</v>
      </c>
      <c r="G79" s="156" t="str">
        <f>LE06_minstd</f>
        <v>N/A</v>
      </c>
      <c r="H79" s="88"/>
      <c r="I79" s="339"/>
      <c r="J79" s="341"/>
      <c r="K79" s="412"/>
      <c r="L79" s="48"/>
      <c r="M79" s="89"/>
      <c r="N79" s="88"/>
      <c r="O79" s="512"/>
      <c r="P79" s="341"/>
      <c r="Q79" s="411"/>
      <c r="R79" s="91"/>
      <c r="S79" s="89"/>
      <c r="T79" s="88"/>
      <c r="U79" s="512"/>
      <c r="V79" s="341"/>
      <c r="W79" s="162"/>
      <c r="X79" s="819" t="s">
        <v>15</v>
      </c>
      <c r="Y79" s="122">
        <f t="shared" si="12"/>
        <v>2</v>
      </c>
      <c r="Z79" s="3" t="e">
        <f>VLOOKUP(I79,'Assessment Details'!$L$45:$M$48,2,FALSE)</f>
        <v>#N/A</v>
      </c>
      <c r="AA79" s="3" t="e">
        <f>VLOOKUP(N79,'Assessment Details'!$L$45:$M$48,2,FALSE)</f>
        <v>#N/A</v>
      </c>
      <c r="AB79" s="3" t="e">
        <f>VLOOKUP(T79,'Assessment Details'!$L$45:$M$48,2,FALSE)</f>
        <v>#N/A</v>
      </c>
      <c r="AE79" s="77"/>
      <c r="AF79" s="853" t="s">
        <v>182</v>
      </c>
      <c r="AG79" s="77"/>
      <c r="AH79" s="77"/>
      <c r="AI79" s="77"/>
      <c r="AJ79" s="77"/>
      <c r="AK79" s="77"/>
      <c r="AL79" s="77"/>
      <c r="AO79" s="24" t="str">
        <f t="shared" si="13"/>
        <v>N/A</v>
      </c>
      <c r="AP79" s="24" t="str">
        <f t="shared" si="14"/>
        <v>N/A</v>
      </c>
      <c r="AQ79" s="24" t="str">
        <f t="shared" si="15"/>
        <v>N/A</v>
      </c>
      <c r="AR79" s="24"/>
      <c r="AS79" s="24"/>
      <c r="AT79" s="24"/>
      <c r="AV79" s="819"/>
    </row>
    <row r="80" spans="1:48" ht="15.75" thickBot="1" x14ac:dyDescent="0.3">
      <c r="A80" s="398">
        <v>72</v>
      </c>
      <c r="B80" s="322" t="s">
        <v>74</v>
      </c>
      <c r="C80" s="413" t="s">
        <v>114</v>
      </c>
      <c r="D80" s="151">
        <f>LE_Credits</f>
        <v>10</v>
      </c>
      <c r="E80" s="160"/>
      <c r="F80" s="152">
        <f>LE_cont_tot</f>
        <v>0</v>
      </c>
      <c r="G80" s="153" t="str">
        <f>"Credits achieved: "&amp;Lue_tot_user</f>
        <v>Credits achieved: 0</v>
      </c>
      <c r="H80" s="163"/>
      <c r="I80" s="340"/>
      <c r="J80" s="342"/>
      <c r="K80" s="412"/>
      <c r="L80" s="515"/>
      <c r="M80" s="510"/>
      <c r="N80" s="165"/>
      <c r="O80" s="163"/>
      <c r="P80" s="513"/>
      <c r="Q80" s="411"/>
      <c r="R80" s="516"/>
      <c r="S80" s="510"/>
      <c r="T80" s="165"/>
      <c r="U80" s="163"/>
      <c r="V80" s="513"/>
      <c r="W80" s="162"/>
      <c r="X80" s="820"/>
      <c r="Y80" s="122">
        <f t="shared" si="12"/>
        <v>1</v>
      </c>
      <c r="Z80" s="333">
        <v>0</v>
      </c>
      <c r="AA80" s="333">
        <v>0</v>
      </c>
      <c r="AB80" s="333">
        <v>0</v>
      </c>
      <c r="AE80" s="77"/>
      <c r="AF80" s="853" t="s">
        <v>114</v>
      </c>
      <c r="AG80" s="77"/>
      <c r="AH80" s="77"/>
      <c r="AI80" s="77"/>
      <c r="AJ80" s="77"/>
      <c r="AK80" s="77"/>
      <c r="AL80" s="77"/>
      <c r="AO80" s="24" t="str">
        <f t="shared" si="13"/>
        <v>N/A</v>
      </c>
      <c r="AP80" s="24" t="str">
        <f t="shared" si="14"/>
        <v>N/A</v>
      </c>
      <c r="AQ80" s="24" t="str">
        <f t="shared" si="15"/>
        <v>N/A</v>
      </c>
      <c r="AR80" s="24"/>
      <c r="AS80" s="24"/>
      <c r="AT80" s="24"/>
      <c r="AV80" s="820"/>
    </row>
    <row r="81" spans="1:48" x14ac:dyDescent="0.25">
      <c r="A81" s="398">
        <v>73</v>
      </c>
      <c r="B81" s="322" t="s">
        <v>74</v>
      </c>
      <c r="C81" s="414"/>
      <c r="D81" s="415"/>
      <c r="E81" s="416"/>
      <c r="F81" s="415"/>
      <c r="G81" s="415"/>
      <c r="H81" s="417"/>
      <c r="I81" s="416"/>
      <c r="J81" s="417"/>
      <c r="K81" s="410"/>
      <c r="L81" s="416"/>
      <c r="M81" s="417"/>
      <c r="N81" s="418"/>
      <c r="O81" s="417"/>
      <c r="P81" s="417"/>
      <c r="Q81" s="419"/>
      <c r="R81" s="418"/>
      <c r="S81" s="417"/>
      <c r="T81" s="418"/>
      <c r="U81" s="417"/>
      <c r="V81" s="417"/>
      <c r="W81" s="962"/>
      <c r="X81" s="417"/>
      <c r="Y81" s="122">
        <f t="shared" si="12"/>
        <v>1</v>
      </c>
      <c r="Z81" s="335">
        <v>0</v>
      </c>
      <c r="AA81" s="335">
        <v>0</v>
      </c>
      <c r="AB81" s="335">
        <v>0</v>
      </c>
      <c r="AE81" s="77"/>
      <c r="AF81" s="853"/>
      <c r="AG81" s="77"/>
      <c r="AH81" s="77"/>
      <c r="AI81" s="77"/>
      <c r="AJ81" s="77"/>
      <c r="AK81" s="77"/>
      <c r="AL81" s="77"/>
      <c r="AO81" s="24" t="str">
        <f t="shared" si="13"/>
        <v>N/A</v>
      </c>
      <c r="AP81" s="24" t="str">
        <f t="shared" si="14"/>
        <v>N/A</v>
      </c>
      <c r="AQ81" s="24" t="str">
        <f t="shared" si="15"/>
        <v>N/A</v>
      </c>
      <c r="AR81" s="24"/>
      <c r="AS81" s="24"/>
      <c r="AT81" s="24"/>
      <c r="AV81" s="417"/>
    </row>
    <row r="82" spans="1:48" ht="18.75" x14ac:dyDescent="0.25">
      <c r="A82" s="398">
        <v>74</v>
      </c>
      <c r="B82" s="322" t="s">
        <v>75</v>
      </c>
      <c r="C82" s="420" t="s">
        <v>62</v>
      </c>
      <c r="D82" s="401"/>
      <c r="E82" s="402"/>
      <c r="F82" s="429"/>
      <c r="G82" s="401"/>
      <c r="H82" s="421"/>
      <c r="I82" s="422"/>
      <c r="J82" s="430"/>
      <c r="K82" s="412"/>
      <c r="L82" s="431"/>
      <c r="M82" s="421"/>
      <c r="N82" s="432"/>
      <c r="O82" s="421"/>
      <c r="P82" s="514"/>
      <c r="Q82" s="411"/>
      <c r="R82" s="433"/>
      <c r="S82" s="421"/>
      <c r="T82" s="432"/>
      <c r="U82" s="421"/>
      <c r="V82" s="514"/>
      <c r="W82" s="162"/>
      <c r="X82" s="430"/>
      <c r="Y82" s="122">
        <f t="shared" si="12"/>
        <v>1</v>
      </c>
      <c r="Z82" s="331">
        <v>0</v>
      </c>
      <c r="AA82" s="331">
        <v>0</v>
      </c>
      <c r="AB82" s="331">
        <v>0</v>
      </c>
      <c r="AE82" s="77"/>
      <c r="AF82" s="853" t="s">
        <v>62</v>
      </c>
      <c r="AG82" s="77"/>
      <c r="AH82" s="77"/>
      <c r="AI82" s="77"/>
      <c r="AJ82" s="77"/>
      <c r="AK82" s="77"/>
      <c r="AL82" s="77"/>
      <c r="AO82" s="24" t="str">
        <f t="shared" si="13"/>
        <v>N/A</v>
      </c>
      <c r="AP82" s="24" t="str">
        <f t="shared" si="14"/>
        <v>N/A</v>
      </c>
      <c r="AQ82" s="24" t="str">
        <f t="shared" si="15"/>
        <v>N/A</v>
      </c>
      <c r="AR82" s="24"/>
      <c r="AS82" s="24"/>
      <c r="AT82" s="24"/>
      <c r="AV82" s="430"/>
    </row>
    <row r="83" spans="1:48" x14ac:dyDescent="0.25">
      <c r="A83" s="398">
        <v>75</v>
      </c>
      <c r="B83" s="322" t="s">
        <v>75</v>
      </c>
      <c r="C83" s="409" t="str">
        <f>Pol_01</f>
        <v>POL 01 Impacts of refrigerants</v>
      </c>
      <c r="D83" s="147">
        <f>Pol01_credits</f>
        <v>3</v>
      </c>
      <c r="E83" s="45"/>
      <c r="F83" s="148">
        <f>Pol01_20</f>
        <v>0</v>
      </c>
      <c r="G83" s="156" t="str">
        <f>Pol01_minstd</f>
        <v>N/A</v>
      </c>
      <c r="H83" s="88"/>
      <c r="I83" s="339"/>
      <c r="J83" s="341"/>
      <c r="K83" s="412"/>
      <c r="L83" s="48"/>
      <c r="M83" s="89"/>
      <c r="N83" s="88"/>
      <c r="O83" s="512"/>
      <c r="P83" s="341"/>
      <c r="Q83" s="411"/>
      <c r="R83" s="91"/>
      <c r="S83" s="89"/>
      <c r="T83" s="88"/>
      <c r="U83" s="512"/>
      <c r="V83" s="341"/>
      <c r="W83" s="162"/>
      <c r="X83" s="819" t="s">
        <v>14</v>
      </c>
      <c r="Y83" s="122">
        <f t="shared" si="12"/>
        <v>1</v>
      </c>
      <c r="Z83" s="3" t="e">
        <f>VLOOKUP(I83,'Assessment Details'!$L$45:$M$48,2,FALSE)</f>
        <v>#N/A</v>
      </c>
      <c r="AA83" s="3" t="e">
        <f>VLOOKUP(N83,'Assessment Details'!$L$45:$M$48,2,FALSE)</f>
        <v>#N/A</v>
      </c>
      <c r="AB83" s="3" t="e">
        <f>VLOOKUP(T83,'Assessment Details'!$L$45:$M$48,2,FALSE)</f>
        <v>#N/A</v>
      </c>
      <c r="AE83" s="77" t="str">
        <f>ais_yes</f>
        <v>Ja</v>
      </c>
      <c r="AF83" s="853" t="s">
        <v>177</v>
      </c>
      <c r="AG83" s="827" t="s">
        <v>526</v>
      </c>
      <c r="AH83" s="827" t="s">
        <v>530</v>
      </c>
      <c r="AI83" s="827" t="s">
        <v>528</v>
      </c>
      <c r="AJ83" s="833" t="s">
        <v>531</v>
      </c>
      <c r="AK83" s="77"/>
      <c r="AL83" s="77"/>
      <c r="AN83" s="1" t="s">
        <v>14</v>
      </c>
      <c r="AO83" s="24" t="str">
        <f t="shared" si="13"/>
        <v>N/A</v>
      </c>
      <c r="AP83" s="24" t="str">
        <f t="shared" si="14"/>
        <v>N/A</v>
      </c>
      <c r="AQ83" s="24" t="str">
        <f t="shared" si="15"/>
        <v>N/A</v>
      </c>
      <c r="AR83" s="24" t="str">
        <f t="shared" si="15"/>
        <v>N/A</v>
      </c>
      <c r="AS83" s="24"/>
      <c r="AT83" s="24"/>
      <c r="AV83" s="819"/>
    </row>
    <row r="84" spans="1:48" x14ac:dyDescent="0.25">
      <c r="A84" s="398">
        <v>76</v>
      </c>
      <c r="B84" s="322" t="s">
        <v>75</v>
      </c>
      <c r="C84" s="409" t="str">
        <f>Pol_02</f>
        <v>POL 02 NOx emissions</v>
      </c>
      <c r="D84" s="147">
        <f>Pol02_credits</f>
        <v>3</v>
      </c>
      <c r="E84" s="45"/>
      <c r="F84" s="148">
        <f>Pol02_27</f>
        <v>0</v>
      </c>
      <c r="G84" s="156" t="str">
        <f>Pol02_minstd</f>
        <v>N/A</v>
      </c>
      <c r="H84" s="88"/>
      <c r="I84" s="339"/>
      <c r="J84" s="341"/>
      <c r="K84" s="412"/>
      <c r="L84" s="48"/>
      <c r="M84" s="89"/>
      <c r="N84" s="88"/>
      <c r="O84" s="512"/>
      <c r="P84" s="341"/>
      <c r="Q84" s="411"/>
      <c r="R84" s="91"/>
      <c r="S84" s="89"/>
      <c r="T84" s="88"/>
      <c r="U84" s="512"/>
      <c r="V84" s="341"/>
      <c r="W84" s="162"/>
      <c r="X84" s="819" t="s">
        <v>14</v>
      </c>
      <c r="Y84" s="122">
        <f t="shared" si="12"/>
        <v>1</v>
      </c>
      <c r="Z84" s="3" t="e">
        <f>VLOOKUP(I84,'Assessment Details'!$L$45:$M$48,2,FALSE)</f>
        <v>#N/A</v>
      </c>
      <c r="AA84" s="3" t="e">
        <f>VLOOKUP(N84,'Assessment Details'!$L$45:$M$48,2,FALSE)</f>
        <v>#N/A</v>
      </c>
      <c r="AB84" s="3" t="e">
        <f>VLOOKUP(T84,'Assessment Details'!$L$45:$M$48,2,FALSE)</f>
        <v>#N/A</v>
      </c>
      <c r="AE84" s="77" t="str">
        <f>ais_yes</f>
        <v>Ja</v>
      </c>
      <c r="AF84" s="853" t="s">
        <v>506</v>
      </c>
      <c r="AG84" s="827" t="s">
        <v>526</v>
      </c>
      <c r="AH84" s="827" t="s">
        <v>530</v>
      </c>
      <c r="AI84" s="827" t="s">
        <v>528</v>
      </c>
      <c r="AJ84" s="77"/>
      <c r="AK84" s="77"/>
      <c r="AL84" s="77"/>
      <c r="AN84" s="1" t="s">
        <v>14</v>
      </c>
      <c r="AO84" s="24" t="str">
        <f t="shared" si="13"/>
        <v>N/A</v>
      </c>
      <c r="AP84" s="24" t="str">
        <f t="shared" si="14"/>
        <v>N/A</v>
      </c>
      <c r="AQ84" s="24" t="str">
        <f t="shared" si="15"/>
        <v>N/A</v>
      </c>
      <c r="AR84" s="24"/>
      <c r="AS84" s="24"/>
      <c r="AT84" s="24"/>
      <c r="AV84" s="819"/>
    </row>
    <row r="85" spans="1:48" x14ac:dyDescent="0.25">
      <c r="A85" s="398">
        <v>77</v>
      </c>
      <c r="B85" s="322" t="s">
        <v>75</v>
      </c>
      <c r="C85" s="409" t="str">
        <f>Pol_03</f>
        <v>POL 03 Surface water run-off</v>
      </c>
      <c r="D85" s="147">
        <f>Pol03_credits</f>
        <v>5</v>
      </c>
      <c r="E85" s="45"/>
      <c r="F85" s="148">
        <f>Pol03_15</f>
        <v>0</v>
      </c>
      <c r="G85" s="156" t="str">
        <f>Pol03_minstd</f>
        <v>N/A</v>
      </c>
      <c r="H85" s="88"/>
      <c r="I85" s="339"/>
      <c r="J85" s="341"/>
      <c r="K85" s="412"/>
      <c r="L85" s="48"/>
      <c r="M85" s="89"/>
      <c r="N85" s="88"/>
      <c r="O85" s="512"/>
      <c r="P85" s="341"/>
      <c r="Q85" s="411"/>
      <c r="R85" s="91"/>
      <c r="S85" s="89"/>
      <c r="T85" s="88"/>
      <c r="U85" s="512"/>
      <c r="V85" s="341"/>
      <c r="W85" s="162"/>
      <c r="X85" s="819" t="s">
        <v>15</v>
      </c>
      <c r="Y85" s="122">
        <f t="shared" si="12"/>
        <v>1</v>
      </c>
      <c r="Z85" s="3" t="e">
        <f>VLOOKUP(I85,'Assessment Details'!$L$45:$M$48,2,FALSE)</f>
        <v>#N/A</v>
      </c>
      <c r="AA85" s="3" t="e">
        <f>VLOOKUP(N85,'Assessment Details'!$L$45:$M$48,2,FALSE)</f>
        <v>#N/A</v>
      </c>
      <c r="AB85" s="3" t="e">
        <f>VLOOKUP(T85,'Assessment Details'!$L$45:$M$48,2,FALSE)</f>
        <v>#N/A</v>
      </c>
      <c r="AE85" s="77"/>
      <c r="AF85" s="853" t="s">
        <v>179</v>
      </c>
      <c r="AG85" s="77"/>
      <c r="AH85" s="77"/>
      <c r="AI85" s="77"/>
      <c r="AJ85" s="77"/>
      <c r="AK85" s="77"/>
      <c r="AL85" s="77"/>
      <c r="AO85" s="24" t="str">
        <f t="shared" si="13"/>
        <v>N/A</v>
      </c>
      <c r="AP85" s="24" t="str">
        <f t="shared" si="14"/>
        <v>N/A</v>
      </c>
      <c r="AQ85" s="24" t="str">
        <f t="shared" si="15"/>
        <v>N/A</v>
      </c>
      <c r="AR85" s="24"/>
      <c r="AS85" s="24"/>
      <c r="AT85" s="24"/>
      <c r="AV85" s="819"/>
    </row>
    <row r="86" spans="1:48" x14ac:dyDescent="0.25">
      <c r="A86" s="398">
        <v>78</v>
      </c>
      <c r="B86" s="322" t="s">
        <v>75</v>
      </c>
      <c r="C86" s="409" t="str">
        <f>Pol_04</f>
        <v>POL 04 Reduction of night time light pollution</v>
      </c>
      <c r="D86" s="147">
        <f>Pol04_credits</f>
        <v>1</v>
      </c>
      <c r="E86" s="45"/>
      <c r="F86" s="148">
        <f>Pol04_06</f>
        <v>0</v>
      </c>
      <c r="G86" s="156" t="str">
        <f>Pol04_minstd</f>
        <v>N/A</v>
      </c>
      <c r="H86" s="88"/>
      <c r="I86" s="339"/>
      <c r="J86" s="341"/>
      <c r="K86" s="412"/>
      <c r="L86" s="48"/>
      <c r="M86" s="89"/>
      <c r="N86" s="88"/>
      <c r="O86" s="512"/>
      <c r="P86" s="341"/>
      <c r="Q86" s="411"/>
      <c r="R86" s="91"/>
      <c r="S86" s="89"/>
      <c r="T86" s="88"/>
      <c r="U86" s="512"/>
      <c r="V86" s="341"/>
      <c r="W86" s="162"/>
      <c r="X86" s="819" t="s">
        <v>14</v>
      </c>
      <c r="Y86" s="122">
        <f t="shared" si="12"/>
        <v>1</v>
      </c>
      <c r="Z86" s="3" t="e">
        <f>VLOOKUP(I86,'Assessment Details'!$L$45:$M$48,2,FALSE)</f>
        <v>#N/A</v>
      </c>
      <c r="AA86" s="3" t="e">
        <f>VLOOKUP(N86,'Assessment Details'!$L$45:$M$48,2,FALSE)</f>
        <v>#N/A</v>
      </c>
      <c r="AB86" s="3" t="e">
        <f>VLOOKUP(T86,'Assessment Details'!$L$45:$M$48,2,FALSE)</f>
        <v>#N/A</v>
      </c>
      <c r="AE86" s="77" t="str">
        <f>ais_yes</f>
        <v>Ja</v>
      </c>
      <c r="AF86" s="853" t="s">
        <v>180</v>
      </c>
      <c r="AG86" s="827" t="s">
        <v>526</v>
      </c>
      <c r="AH86" s="827" t="s">
        <v>530</v>
      </c>
      <c r="AI86" s="827" t="s">
        <v>528</v>
      </c>
      <c r="AJ86" s="77"/>
      <c r="AK86" s="77"/>
      <c r="AL86" s="77"/>
      <c r="AN86" s="1" t="s">
        <v>14</v>
      </c>
      <c r="AO86" s="24" t="str">
        <f t="shared" si="13"/>
        <v>N/A</v>
      </c>
      <c r="AP86" s="24" t="str">
        <f t="shared" si="14"/>
        <v>N/A</v>
      </c>
      <c r="AQ86" s="24" t="str">
        <f t="shared" si="15"/>
        <v>N/A</v>
      </c>
      <c r="AR86" s="24"/>
      <c r="AS86" s="24"/>
      <c r="AT86" s="24"/>
      <c r="AV86" s="819"/>
    </row>
    <row r="87" spans="1:48" x14ac:dyDescent="0.25">
      <c r="A87" s="398">
        <v>79</v>
      </c>
      <c r="B87" s="322" t="s">
        <v>75</v>
      </c>
      <c r="C87" s="409" t="str">
        <f>Pol_05</f>
        <v>POL 05 Noise attenuation</v>
      </c>
      <c r="D87" s="147">
        <f>Pol05_credits</f>
        <v>1</v>
      </c>
      <c r="E87" s="45"/>
      <c r="F87" s="148">
        <f>Pol05_11</f>
        <v>0</v>
      </c>
      <c r="G87" s="156" t="str">
        <f>Pol05_minstd</f>
        <v>N/A</v>
      </c>
      <c r="H87" s="88"/>
      <c r="I87" s="339"/>
      <c r="J87" s="341"/>
      <c r="K87" s="412"/>
      <c r="L87" s="48"/>
      <c r="M87" s="89"/>
      <c r="N87" s="88"/>
      <c r="O87" s="512"/>
      <c r="P87" s="341"/>
      <c r="Q87" s="411"/>
      <c r="R87" s="91"/>
      <c r="S87" s="89"/>
      <c r="T87" s="88"/>
      <c r="U87" s="512"/>
      <c r="V87" s="341"/>
      <c r="W87" s="162"/>
      <c r="X87" s="819" t="s">
        <v>14</v>
      </c>
      <c r="Y87" s="122">
        <f t="shared" si="12"/>
        <v>1</v>
      </c>
      <c r="Z87" s="3" t="e">
        <f>VLOOKUP(I87,'Assessment Details'!$L$45:$M$48,2,FALSE)</f>
        <v>#N/A</v>
      </c>
      <c r="AA87" s="3" t="e">
        <f>VLOOKUP(N87,'Assessment Details'!$L$45:$M$48,2,FALSE)</f>
        <v>#N/A</v>
      </c>
      <c r="AB87" s="3" t="e">
        <f>VLOOKUP(T87,'Assessment Details'!$L$45:$M$48,2,FALSE)</f>
        <v>#N/A</v>
      </c>
      <c r="AE87" s="77" t="str">
        <f>ais_yes</f>
        <v>Ja</v>
      </c>
      <c r="AF87" s="853" t="s">
        <v>183</v>
      </c>
      <c r="AG87" s="827" t="s">
        <v>526</v>
      </c>
      <c r="AH87" s="827" t="s">
        <v>530</v>
      </c>
      <c r="AI87" s="827" t="s">
        <v>528</v>
      </c>
      <c r="AJ87" s="77"/>
      <c r="AK87" s="77"/>
      <c r="AL87" s="77"/>
      <c r="AN87" s="1" t="s">
        <v>14</v>
      </c>
      <c r="AO87" s="24" t="str">
        <f t="shared" si="13"/>
        <v>N/A</v>
      </c>
      <c r="AP87" s="24" t="str">
        <f t="shared" si="14"/>
        <v>N/A</v>
      </c>
      <c r="AQ87" s="24" t="str">
        <f t="shared" si="15"/>
        <v>N/A</v>
      </c>
      <c r="AR87" s="24"/>
      <c r="AS87" s="24"/>
      <c r="AT87" s="24"/>
      <c r="AV87" s="819"/>
    </row>
    <row r="88" spans="1:48" ht="15.75" thickBot="1" x14ac:dyDescent="0.3">
      <c r="A88" s="398">
        <v>80</v>
      </c>
      <c r="B88" s="322" t="s">
        <v>75</v>
      </c>
      <c r="C88" s="413" t="s">
        <v>115</v>
      </c>
      <c r="D88" s="151">
        <f>Pol_Credits</f>
        <v>13</v>
      </c>
      <c r="E88" s="160"/>
      <c r="F88" s="152">
        <f>Pol_cont_tot</f>
        <v>0</v>
      </c>
      <c r="G88" s="153" t="str">
        <f>"Credits achieved: "&amp;Pol_tot_user</f>
        <v>Credits achieved: 0</v>
      </c>
      <c r="H88" s="163"/>
      <c r="I88" s="340"/>
      <c r="J88" s="342"/>
      <c r="K88" s="412"/>
      <c r="L88" s="515"/>
      <c r="M88" s="510"/>
      <c r="N88" s="165"/>
      <c r="O88" s="163"/>
      <c r="P88" s="513"/>
      <c r="Q88" s="411"/>
      <c r="R88" s="516"/>
      <c r="S88" s="510"/>
      <c r="T88" s="165"/>
      <c r="U88" s="163"/>
      <c r="V88" s="513"/>
      <c r="W88" s="162"/>
      <c r="X88" s="820"/>
      <c r="Y88" s="122">
        <f t="shared" si="12"/>
        <v>1</v>
      </c>
      <c r="Z88" s="333">
        <v>0</v>
      </c>
      <c r="AA88" s="333">
        <v>0</v>
      </c>
      <c r="AB88" s="333">
        <v>0</v>
      </c>
      <c r="AE88" s="77"/>
      <c r="AF88" s="853" t="s">
        <v>115</v>
      </c>
      <c r="AG88" s="77"/>
      <c r="AH88" s="77"/>
      <c r="AI88" s="77"/>
      <c r="AJ88" s="77"/>
      <c r="AK88" s="77"/>
      <c r="AL88" s="77"/>
      <c r="AO88" s="24" t="str">
        <f t="shared" si="13"/>
        <v>N/A</v>
      </c>
      <c r="AP88" s="24" t="str">
        <f t="shared" si="14"/>
        <v>N/A</v>
      </c>
      <c r="AQ88" s="24" t="str">
        <f t="shared" si="15"/>
        <v>N/A</v>
      </c>
      <c r="AR88" s="24"/>
      <c r="AS88" s="24"/>
      <c r="AT88" s="24"/>
      <c r="AV88" s="820"/>
    </row>
    <row r="89" spans="1:48" x14ac:dyDescent="0.25">
      <c r="A89" s="398">
        <v>81</v>
      </c>
      <c r="B89" s="322" t="s">
        <v>75</v>
      </c>
      <c r="C89" s="414"/>
      <c r="D89" s="415"/>
      <c r="E89" s="416"/>
      <c r="F89" s="415"/>
      <c r="G89" s="415"/>
      <c r="H89" s="417"/>
      <c r="I89" s="416"/>
      <c r="J89" s="417"/>
      <c r="K89" s="410"/>
      <c r="L89" s="416"/>
      <c r="M89" s="417"/>
      <c r="N89" s="418"/>
      <c r="O89" s="417"/>
      <c r="P89" s="417"/>
      <c r="Q89" s="419"/>
      <c r="R89" s="418"/>
      <c r="S89" s="417"/>
      <c r="T89" s="418"/>
      <c r="U89" s="417"/>
      <c r="V89" s="417"/>
      <c r="W89" s="962"/>
      <c r="X89" s="417"/>
      <c r="Y89" s="122">
        <f t="shared" si="12"/>
        <v>1</v>
      </c>
      <c r="Z89" s="335">
        <v>0</v>
      </c>
      <c r="AA89" s="335">
        <v>0</v>
      </c>
      <c r="AB89" s="335">
        <v>0</v>
      </c>
      <c r="AE89" s="77"/>
      <c r="AF89" s="853"/>
      <c r="AG89" s="77"/>
      <c r="AH89" s="77"/>
      <c r="AI89" s="77"/>
      <c r="AJ89" s="77"/>
      <c r="AK89" s="77"/>
      <c r="AL89" s="77"/>
      <c r="AO89" s="24" t="str">
        <f t="shared" si="13"/>
        <v>N/A</v>
      </c>
      <c r="AP89" s="24" t="str">
        <f t="shared" si="14"/>
        <v>N/A</v>
      </c>
      <c r="AQ89" s="24" t="str">
        <f t="shared" si="15"/>
        <v>N/A</v>
      </c>
      <c r="AR89" s="24"/>
      <c r="AS89" s="24"/>
      <c r="AT89" s="24"/>
      <c r="AV89" s="417"/>
    </row>
    <row r="90" spans="1:48" ht="18.75" x14ac:dyDescent="0.25">
      <c r="A90" s="398">
        <v>82</v>
      </c>
      <c r="B90" s="322" t="s">
        <v>234</v>
      </c>
      <c r="C90" s="420" t="s">
        <v>273</v>
      </c>
      <c r="D90" s="401"/>
      <c r="E90" s="402"/>
      <c r="F90" s="429"/>
      <c r="G90" s="401"/>
      <c r="H90" s="421"/>
      <c r="I90" s="422"/>
      <c r="J90" s="430"/>
      <c r="K90" s="412"/>
      <c r="L90" s="431"/>
      <c r="M90" s="421"/>
      <c r="N90" s="432"/>
      <c r="O90" s="421"/>
      <c r="P90" s="514"/>
      <c r="Q90" s="411"/>
      <c r="R90" s="433"/>
      <c r="S90" s="421"/>
      <c r="T90" s="432"/>
      <c r="U90" s="421"/>
      <c r="V90" s="514"/>
      <c r="W90" s="162"/>
      <c r="X90" s="430"/>
      <c r="Y90" s="122">
        <f t="shared" si="12"/>
        <v>1</v>
      </c>
      <c r="Z90" s="331">
        <v>0</v>
      </c>
      <c r="AA90" s="331">
        <v>0</v>
      </c>
      <c r="AB90" s="331">
        <v>0</v>
      </c>
      <c r="AE90" s="77"/>
      <c r="AF90" s="853" t="s">
        <v>273</v>
      </c>
      <c r="AG90" s="77"/>
      <c r="AH90" s="77"/>
      <c r="AI90" s="77"/>
      <c r="AJ90" s="77"/>
      <c r="AK90" s="77"/>
      <c r="AL90" s="77"/>
      <c r="AO90" s="24" t="str">
        <f t="shared" si="13"/>
        <v>N/A</v>
      </c>
      <c r="AP90" s="24" t="str">
        <f t="shared" si="14"/>
        <v>N/A</v>
      </c>
      <c r="AQ90" s="24" t="str">
        <f t="shared" si="15"/>
        <v>N/A</v>
      </c>
      <c r="AR90" s="24"/>
      <c r="AS90" s="24"/>
      <c r="AT90" s="24"/>
      <c r="AV90" s="430"/>
    </row>
    <row r="91" spans="1:48" x14ac:dyDescent="0.25">
      <c r="A91" s="398">
        <v>83</v>
      </c>
      <c r="B91" s="322" t="s">
        <v>234</v>
      </c>
      <c r="C91" s="434" t="str">
        <f>Inn_01</f>
        <v>Inn 01 - Man 05 Aftercare</v>
      </c>
      <c r="D91" s="147">
        <f>Inn01_credits</f>
        <v>1</v>
      </c>
      <c r="E91" s="45"/>
      <c r="F91" s="148">
        <f>Inn01_cont</f>
        <v>0</v>
      </c>
      <c r="G91" s="156" t="str">
        <f>Inn01_minstd</f>
        <v>N/A</v>
      </c>
      <c r="H91" s="88"/>
      <c r="I91" s="339"/>
      <c r="J91" s="341"/>
      <c r="K91" s="412"/>
      <c r="L91" s="48"/>
      <c r="M91" s="89"/>
      <c r="N91" s="88"/>
      <c r="O91" s="512"/>
      <c r="P91" s="341"/>
      <c r="Q91" s="411"/>
      <c r="R91" s="91"/>
      <c r="S91" s="89"/>
      <c r="T91" s="88"/>
      <c r="U91" s="512"/>
      <c r="V91" s="341"/>
      <c r="W91" s="162"/>
      <c r="X91" s="819" t="s">
        <v>15</v>
      </c>
      <c r="Y91" s="122">
        <f t="shared" si="12"/>
        <v>1</v>
      </c>
      <c r="Z91" s="3" t="e">
        <f>VLOOKUP(I91,'Assessment Details'!$L$45:$M$48,2,FALSE)</f>
        <v>#N/A</v>
      </c>
      <c r="AA91" s="3" t="e">
        <f>VLOOKUP(N91,'Assessment Details'!$L$45:$M$48,2,FALSE)</f>
        <v>#N/A</v>
      </c>
      <c r="AB91" s="3" t="e">
        <f>VLOOKUP(T91,'Assessment Details'!$L$45:$M$48,2,FALSE)</f>
        <v>#N/A</v>
      </c>
      <c r="AE91" s="77"/>
      <c r="AF91" s="853" t="s">
        <v>406</v>
      </c>
      <c r="AG91" s="77"/>
      <c r="AH91" s="77"/>
      <c r="AI91" s="77"/>
      <c r="AJ91" s="77"/>
      <c r="AK91" s="77"/>
      <c r="AL91" s="77"/>
      <c r="AO91" s="24" t="str">
        <f t="shared" si="13"/>
        <v>N/A</v>
      </c>
      <c r="AP91" s="24" t="str">
        <f t="shared" si="14"/>
        <v>N/A</v>
      </c>
      <c r="AQ91" s="24" t="str">
        <f t="shared" si="15"/>
        <v>N/A</v>
      </c>
      <c r="AR91" s="24"/>
      <c r="AS91" s="24"/>
      <c r="AT91" s="24"/>
      <c r="AV91" s="819"/>
    </row>
    <row r="92" spans="1:48" x14ac:dyDescent="0.25">
      <c r="A92" s="398">
        <v>84</v>
      </c>
      <c r="B92" s="322" t="s">
        <v>234</v>
      </c>
      <c r="C92" s="434" t="str">
        <f>Inn_02</f>
        <v>Inn 02 - Hea 02 Indoor air quality</v>
      </c>
      <c r="D92" s="147">
        <f>Inn02_credits</f>
        <v>1</v>
      </c>
      <c r="E92" s="45"/>
      <c r="F92" s="148">
        <f>Inn02_cont</f>
        <v>0</v>
      </c>
      <c r="G92" s="156" t="str">
        <f>Inn02_minstd</f>
        <v>N/A</v>
      </c>
      <c r="H92" s="88"/>
      <c r="I92" s="339"/>
      <c r="J92" s="341"/>
      <c r="K92" s="412"/>
      <c r="L92" s="48"/>
      <c r="M92" s="89"/>
      <c r="N92" s="88"/>
      <c r="O92" s="512"/>
      <c r="P92" s="341"/>
      <c r="Q92" s="411"/>
      <c r="R92" s="91"/>
      <c r="S92" s="89"/>
      <c r="T92" s="88"/>
      <c r="U92" s="512"/>
      <c r="V92" s="341"/>
      <c r="W92" s="162"/>
      <c r="X92" s="819" t="s">
        <v>15</v>
      </c>
      <c r="Y92" s="122">
        <f t="shared" si="12"/>
        <v>1</v>
      </c>
      <c r="Z92" s="3" t="e">
        <f>VLOOKUP(I92,'Assessment Details'!$L$45:$M$48,2,FALSE)</f>
        <v>#N/A</v>
      </c>
      <c r="AA92" s="3" t="e">
        <f>VLOOKUP(N92,'Assessment Details'!$L$45:$M$48,2,FALSE)</f>
        <v>#N/A</v>
      </c>
      <c r="AB92" s="3" t="e">
        <f>VLOOKUP(T92,'Assessment Details'!$L$45:$M$48,2,FALSE)</f>
        <v>#N/A</v>
      </c>
      <c r="AE92" s="77"/>
      <c r="AF92" s="853" t="s">
        <v>407</v>
      </c>
      <c r="AG92" s="77"/>
      <c r="AH92" s="77"/>
      <c r="AI92" s="77"/>
      <c r="AJ92" s="77"/>
      <c r="AK92" s="77"/>
      <c r="AL92" s="77"/>
      <c r="AO92" s="24" t="str">
        <f t="shared" si="13"/>
        <v>N/A</v>
      </c>
      <c r="AP92" s="24" t="str">
        <f t="shared" si="14"/>
        <v>N/A</v>
      </c>
      <c r="AQ92" s="24" t="str">
        <f t="shared" si="15"/>
        <v>N/A</v>
      </c>
      <c r="AR92" s="24"/>
      <c r="AS92" s="24"/>
      <c r="AT92" s="24"/>
      <c r="AV92" s="819"/>
    </row>
    <row r="93" spans="1:48" x14ac:dyDescent="0.25">
      <c r="A93" s="398">
        <v>85</v>
      </c>
      <c r="B93" s="322" t="s">
        <v>234</v>
      </c>
      <c r="C93" s="434" t="str">
        <f>Inn_03</f>
        <v>Inn 03 - Tra 03 Alternative modes of transport</v>
      </c>
      <c r="D93" s="147">
        <f>Inn03_credits</f>
        <v>1</v>
      </c>
      <c r="E93" s="45"/>
      <c r="F93" s="148">
        <f>Inn03_cont</f>
        <v>0</v>
      </c>
      <c r="G93" s="156" t="str">
        <f>Inn03_minstd</f>
        <v>N/A</v>
      </c>
      <c r="H93" s="88"/>
      <c r="I93" s="339"/>
      <c r="J93" s="341"/>
      <c r="K93" s="412"/>
      <c r="L93" s="48"/>
      <c r="M93" s="89"/>
      <c r="N93" s="88"/>
      <c r="O93" s="512"/>
      <c r="P93" s="341"/>
      <c r="Q93" s="411"/>
      <c r="R93" s="91"/>
      <c r="S93" s="89"/>
      <c r="T93" s="88"/>
      <c r="U93" s="512"/>
      <c r="V93" s="341"/>
      <c r="W93" s="162"/>
      <c r="X93" s="819" t="s">
        <v>15</v>
      </c>
      <c r="Y93" s="122">
        <f t="shared" si="12"/>
        <v>1</v>
      </c>
      <c r="Z93" s="3" t="e">
        <f>VLOOKUP(I93,'Assessment Details'!$L$45:$M$48,2,FALSE)</f>
        <v>#N/A</v>
      </c>
      <c r="AA93" s="3" t="e">
        <f>VLOOKUP(N93,'Assessment Details'!$L$45:$M$48,2,FALSE)</f>
        <v>#N/A</v>
      </c>
      <c r="AB93" s="3" t="e">
        <f>VLOOKUP(T93,'Assessment Details'!$L$45:$M$48,2,FALSE)</f>
        <v>#N/A</v>
      </c>
      <c r="AE93" s="77"/>
      <c r="AF93" s="853" t="s">
        <v>408</v>
      </c>
      <c r="AG93" s="77"/>
      <c r="AH93" s="77"/>
      <c r="AI93" s="77"/>
      <c r="AJ93" s="77"/>
      <c r="AK93" s="77"/>
      <c r="AL93" s="77"/>
      <c r="AO93" s="24" t="str">
        <f t="shared" si="13"/>
        <v>N/A</v>
      </c>
      <c r="AP93" s="24" t="str">
        <f t="shared" si="14"/>
        <v>N/A</v>
      </c>
      <c r="AQ93" s="24" t="str">
        <f t="shared" si="15"/>
        <v>N/A</v>
      </c>
      <c r="AR93" s="24"/>
      <c r="AS93" s="24"/>
      <c r="AT93" s="24"/>
      <c r="AV93" s="819"/>
    </row>
    <row r="94" spans="1:48" x14ac:dyDescent="0.25">
      <c r="A94" s="398">
        <v>86</v>
      </c>
      <c r="B94" s="322" t="s">
        <v>234</v>
      </c>
      <c r="C94" s="434" t="str">
        <f>Inn_04</f>
        <v>Inn 04 - Wat 01 Water consumption</v>
      </c>
      <c r="D94" s="147">
        <f>Inn04_credits</f>
        <v>1</v>
      </c>
      <c r="E94" s="45"/>
      <c r="F94" s="148">
        <f>Inn04_cont</f>
        <v>0</v>
      </c>
      <c r="G94" s="156" t="str">
        <f>Inn04_minstd</f>
        <v>N/A</v>
      </c>
      <c r="H94" s="88"/>
      <c r="I94" s="339"/>
      <c r="J94" s="341"/>
      <c r="K94" s="412"/>
      <c r="L94" s="48"/>
      <c r="M94" s="89"/>
      <c r="N94" s="88"/>
      <c r="O94" s="512"/>
      <c r="P94" s="341"/>
      <c r="Q94" s="411"/>
      <c r="R94" s="91"/>
      <c r="S94" s="89"/>
      <c r="T94" s="88"/>
      <c r="U94" s="512"/>
      <c r="V94" s="341"/>
      <c r="W94" s="162"/>
      <c r="X94" s="819" t="s">
        <v>15</v>
      </c>
      <c r="Y94" s="122">
        <f t="shared" si="12"/>
        <v>1</v>
      </c>
      <c r="Z94" s="3" t="e">
        <f>VLOOKUP(I94,'Assessment Details'!$L$45:$M$48,2,FALSE)</f>
        <v>#N/A</v>
      </c>
      <c r="AA94" s="3" t="e">
        <f>VLOOKUP(N94,'Assessment Details'!$L$45:$M$48,2,FALSE)</f>
        <v>#N/A</v>
      </c>
      <c r="AB94" s="3" t="e">
        <f>VLOOKUP(T94,'Assessment Details'!$L$45:$M$48,2,FALSE)</f>
        <v>#N/A</v>
      </c>
      <c r="AE94" s="77"/>
      <c r="AF94" s="853" t="s">
        <v>409</v>
      </c>
      <c r="AG94" s="77"/>
      <c r="AH94" s="77"/>
      <c r="AI94" s="77"/>
      <c r="AJ94" s="77"/>
      <c r="AK94" s="77"/>
      <c r="AL94" s="77"/>
      <c r="AO94" s="24" t="str">
        <f t="shared" si="13"/>
        <v>N/A</v>
      </c>
      <c r="AP94" s="24" t="str">
        <f t="shared" si="14"/>
        <v>N/A</v>
      </c>
      <c r="AQ94" s="24" t="str">
        <f t="shared" si="15"/>
        <v>N/A</v>
      </c>
      <c r="AR94" s="24"/>
      <c r="AS94" s="24"/>
      <c r="AT94" s="24"/>
      <c r="AV94" s="819"/>
    </row>
    <row r="95" spans="1:48" x14ac:dyDescent="0.25">
      <c r="A95" s="398">
        <v>87</v>
      </c>
      <c r="B95" s="322" t="s">
        <v>234</v>
      </c>
      <c r="C95" s="434" t="str">
        <f>Inn_05</f>
        <v>Inn 05 - Mat 01 Life cycle impacts</v>
      </c>
      <c r="D95" s="147">
        <f>Inn05_credits</f>
        <v>2</v>
      </c>
      <c r="E95" s="45"/>
      <c r="F95" s="148">
        <f>Inn05_cont</f>
        <v>0</v>
      </c>
      <c r="G95" s="156" t="str">
        <f>Inn05_minstd</f>
        <v>N/A</v>
      </c>
      <c r="H95" s="88"/>
      <c r="I95" s="339"/>
      <c r="J95" s="341"/>
      <c r="K95" s="412"/>
      <c r="L95" s="48"/>
      <c r="M95" s="89"/>
      <c r="N95" s="88"/>
      <c r="O95" s="512"/>
      <c r="P95" s="341"/>
      <c r="Q95" s="411"/>
      <c r="R95" s="91"/>
      <c r="S95" s="89"/>
      <c r="T95" s="88"/>
      <c r="U95" s="512"/>
      <c r="V95" s="341"/>
      <c r="W95" s="162"/>
      <c r="X95" s="819" t="s">
        <v>15</v>
      </c>
      <c r="Y95" s="122">
        <f t="shared" si="12"/>
        <v>1</v>
      </c>
      <c r="Z95" s="1" t="e">
        <f>VLOOKUP(I95,'Assessment Details'!$L$45:$M$48,2,FALSE)</f>
        <v>#N/A</v>
      </c>
      <c r="AA95" s="1" t="e">
        <f>VLOOKUP(N95,'Assessment Details'!$L$45:$M$48,2,FALSE)</f>
        <v>#N/A</v>
      </c>
      <c r="AB95" s="1" t="e">
        <f>VLOOKUP(T95,'Assessment Details'!$L$45:$M$48,2,FALSE)</f>
        <v>#N/A</v>
      </c>
      <c r="AE95" s="77"/>
      <c r="AF95" s="853" t="s">
        <v>267</v>
      </c>
      <c r="AG95" s="77"/>
      <c r="AH95" s="77"/>
      <c r="AI95" s="77"/>
      <c r="AJ95" s="77"/>
      <c r="AK95" s="77"/>
      <c r="AL95" s="77"/>
      <c r="AO95" s="24" t="str">
        <f t="shared" si="13"/>
        <v>N/A</v>
      </c>
      <c r="AP95" s="24" t="str">
        <f t="shared" si="14"/>
        <v>N/A</v>
      </c>
      <c r="AQ95" s="24" t="str">
        <f t="shared" si="15"/>
        <v>N/A</v>
      </c>
      <c r="AR95" s="24"/>
      <c r="AS95" s="24"/>
      <c r="AT95" s="24"/>
      <c r="AV95" s="819"/>
    </row>
    <row r="96" spans="1:48" ht="30" x14ac:dyDescent="0.25">
      <c r="A96" s="398">
        <v>88</v>
      </c>
      <c r="B96" s="322" t="s">
        <v>234</v>
      </c>
      <c r="C96" s="434" t="str">
        <f>Inn_06</f>
        <v>Inn 06 - Mat 03 Responsible sourcing of materials</v>
      </c>
      <c r="D96" s="147">
        <f>Inn06_credits</f>
        <v>1</v>
      </c>
      <c r="E96" s="45"/>
      <c r="F96" s="148">
        <f>Inn06_cont</f>
        <v>0</v>
      </c>
      <c r="G96" s="156" t="str">
        <f>Inn06_minstd</f>
        <v>N/A</v>
      </c>
      <c r="H96" s="88"/>
      <c r="I96" s="339"/>
      <c r="J96" s="341"/>
      <c r="K96" s="412"/>
      <c r="L96" s="48"/>
      <c r="M96" s="89"/>
      <c r="N96" s="88"/>
      <c r="O96" s="512"/>
      <c r="P96" s="341"/>
      <c r="Q96" s="411"/>
      <c r="R96" s="91"/>
      <c r="S96" s="89"/>
      <c r="T96" s="88"/>
      <c r="U96" s="512"/>
      <c r="V96" s="341"/>
      <c r="W96" s="162"/>
      <c r="X96" s="819" t="s">
        <v>15</v>
      </c>
      <c r="Y96" s="122">
        <f t="shared" si="12"/>
        <v>1</v>
      </c>
      <c r="Z96" s="3" t="e">
        <f>VLOOKUP(I96,'Assessment Details'!$L$45:$M$48,2,FALSE)</f>
        <v>#N/A</v>
      </c>
      <c r="AA96" s="3" t="e">
        <f>VLOOKUP(N96,'Assessment Details'!$L$45:$M$48,2,FALSE)</f>
        <v>#N/A</v>
      </c>
      <c r="AB96" s="3" t="e">
        <f>VLOOKUP(T96,'Assessment Details'!$L$45:$M$48,2,FALSE)</f>
        <v>#N/A</v>
      </c>
      <c r="AE96" s="77"/>
      <c r="AF96" s="853" t="s">
        <v>268</v>
      </c>
      <c r="AG96" s="77"/>
      <c r="AH96" s="77"/>
      <c r="AI96" s="77"/>
      <c r="AJ96" s="77"/>
      <c r="AK96" s="77"/>
      <c r="AL96" s="77"/>
      <c r="AO96" s="24" t="str">
        <f t="shared" si="13"/>
        <v>N/A</v>
      </c>
      <c r="AP96" s="24" t="str">
        <f t="shared" si="14"/>
        <v>N/A</v>
      </c>
      <c r="AQ96" s="24" t="str">
        <f t="shared" si="15"/>
        <v>N/A</v>
      </c>
      <c r="AR96" s="24"/>
      <c r="AS96" s="24"/>
      <c r="AT96" s="24"/>
      <c r="AV96" s="819"/>
    </row>
    <row r="97" spans="1:48" x14ac:dyDescent="0.25">
      <c r="A97" s="398">
        <v>89</v>
      </c>
      <c r="B97" s="322" t="s">
        <v>234</v>
      </c>
      <c r="C97" s="434" t="str">
        <f>Inn_07</f>
        <v>Inn 07 - Wst 01 Construction site waste man.</v>
      </c>
      <c r="D97" s="147">
        <f>Inn07_credits</f>
        <v>1</v>
      </c>
      <c r="E97" s="45"/>
      <c r="F97" s="148">
        <f>Inn07_cont</f>
        <v>0</v>
      </c>
      <c r="G97" s="156" t="str">
        <f>Inn07_minstd</f>
        <v>N/A</v>
      </c>
      <c r="H97" s="88"/>
      <c r="I97" s="339"/>
      <c r="J97" s="341"/>
      <c r="K97" s="412"/>
      <c r="L97" s="48"/>
      <c r="M97" s="89"/>
      <c r="N97" s="88"/>
      <c r="O97" s="512"/>
      <c r="P97" s="341"/>
      <c r="Q97" s="411"/>
      <c r="R97" s="91"/>
      <c r="S97" s="89"/>
      <c r="T97" s="88"/>
      <c r="U97" s="512"/>
      <c r="V97" s="341"/>
      <c r="W97" s="162"/>
      <c r="X97" s="819" t="s">
        <v>15</v>
      </c>
      <c r="Y97" s="122">
        <f t="shared" si="12"/>
        <v>1</v>
      </c>
      <c r="Z97" s="3" t="e">
        <f>VLOOKUP(I97,'Assessment Details'!$L$45:$M$48,2,FALSE)</f>
        <v>#N/A</v>
      </c>
      <c r="AA97" s="3" t="e">
        <f>VLOOKUP(N97,'Assessment Details'!$L$45:$M$48,2,FALSE)</f>
        <v>#N/A</v>
      </c>
      <c r="AB97" s="3" t="e">
        <f>VLOOKUP(T97,'Assessment Details'!$L$45:$M$48,2,FALSE)</f>
        <v>#N/A</v>
      </c>
      <c r="AE97" s="77"/>
      <c r="AF97" s="853" t="s">
        <v>410</v>
      </c>
      <c r="AG97" s="77"/>
      <c r="AH97" s="77"/>
      <c r="AI97" s="77"/>
      <c r="AJ97" s="77"/>
      <c r="AK97" s="77"/>
      <c r="AL97" s="77"/>
      <c r="AO97" s="24" t="str">
        <f t="shared" si="13"/>
        <v>N/A</v>
      </c>
      <c r="AP97" s="24" t="str">
        <f t="shared" si="14"/>
        <v>N/A</v>
      </c>
      <c r="AQ97" s="24" t="str">
        <f t="shared" si="15"/>
        <v>N/A</v>
      </c>
      <c r="AR97" s="24"/>
      <c r="AS97" s="24"/>
      <c r="AT97" s="24"/>
      <c r="AV97" s="819"/>
    </row>
    <row r="98" spans="1:48" x14ac:dyDescent="0.25">
      <c r="A98" s="398">
        <v>90</v>
      </c>
      <c r="B98" s="322" t="s">
        <v>234</v>
      </c>
      <c r="C98" s="434" t="str">
        <f>Inn_08</f>
        <v>Inn 08 - Wst 02 Recycled aggregates</v>
      </c>
      <c r="D98" s="147">
        <f>Inn08_credits</f>
        <v>1</v>
      </c>
      <c r="E98" s="45"/>
      <c r="F98" s="148">
        <f>Inn08_cont</f>
        <v>0</v>
      </c>
      <c r="G98" s="156" t="str">
        <f>Inn08_minstd</f>
        <v>N/A</v>
      </c>
      <c r="H98" s="88"/>
      <c r="I98" s="339"/>
      <c r="J98" s="341"/>
      <c r="K98" s="412"/>
      <c r="L98" s="48"/>
      <c r="M98" s="89"/>
      <c r="N98" s="88"/>
      <c r="O98" s="512"/>
      <c r="P98" s="341"/>
      <c r="Q98" s="411"/>
      <c r="R98" s="91"/>
      <c r="S98" s="89"/>
      <c r="T98" s="88"/>
      <c r="U98" s="512"/>
      <c r="V98" s="341"/>
      <c r="W98" s="162"/>
      <c r="X98" s="819" t="s">
        <v>15</v>
      </c>
      <c r="Y98" s="122">
        <f t="shared" si="12"/>
        <v>1</v>
      </c>
      <c r="Z98" s="1" t="e">
        <f>VLOOKUP(I98,'Assessment Details'!$L$45:$M$48,2,FALSE)</f>
        <v>#N/A</v>
      </c>
      <c r="AA98" s="1" t="e">
        <f>VLOOKUP(N98,'Assessment Details'!$L$45:$M$48,2,FALSE)</f>
        <v>#N/A</v>
      </c>
      <c r="AB98" s="1" t="e">
        <f>VLOOKUP(T98,'Assessment Details'!$L$45:$M$48,2,FALSE)</f>
        <v>#N/A</v>
      </c>
      <c r="AE98" s="77"/>
      <c r="AF98" s="853" t="s">
        <v>522</v>
      </c>
      <c r="AG98" s="77"/>
      <c r="AH98" s="77"/>
      <c r="AI98" s="77"/>
      <c r="AJ98" s="77"/>
      <c r="AK98" s="77"/>
      <c r="AL98" s="77"/>
      <c r="AO98" s="24" t="str">
        <f t="shared" si="13"/>
        <v>N/A</v>
      </c>
      <c r="AP98" s="24" t="str">
        <f t="shared" si="14"/>
        <v>N/A</v>
      </c>
      <c r="AQ98" s="24" t="str">
        <f t="shared" si="15"/>
        <v>N/A</v>
      </c>
      <c r="AR98" s="24"/>
      <c r="AS98" s="24"/>
      <c r="AT98" s="24"/>
      <c r="AV98" s="819"/>
    </row>
    <row r="99" spans="1:48" x14ac:dyDescent="0.25">
      <c r="A99" s="398">
        <v>91</v>
      </c>
      <c r="B99" s="322" t="s">
        <v>234</v>
      </c>
      <c r="C99" s="409" t="str">
        <f>Inn_09</f>
        <v xml:space="preserve">Inn 09 - Approved innovation credits </v>
      </c>
      <c r="D99" s="147">
        <f>Inn09_credits</f>
        <v>10</v>
      </c>
      <c r="E99" s="45"/>
      <c r="F99" s="148">
        <f>Inn09_cont</f>
        <v>0</v>
      </c>
      <c r="G99" s="156" t="str">
        <f>Inn09_minstd</f>
        <v>N/A</v>
      </c>
      <c r="H99" s="88"/>
      <c r="I99" s="339"/>
      <c r="J99" s="341"/>
      <c r="K99" s="412"/>
      <c r="L99" s="48"/>
      <c r="M99" s="89"/>
      <c r="N99" s="88"/>
      <c r="O99" s="512"/>
      <c r="P99" s="341"/>
      <c r="Q99" s="411"/>
      <c r="R99" s="91"/>
      <c r="S99" s="89"/>
      <c r="T99" s="88"/>
      <c r="U99" s="512"/>
      <c r="V99" s="341"/>
      <c r="W99" s="162"/>
      <c r="X99" s="819" t="s">
        <v>15</v>
      </c>
      <c r="Y99" s="122">
        <f t="shared" si="12"/>
        <v>1</v>
      </c>
      <c r="Z99" s="1" t="e">
        <f>VLOOKUP(I99,'Assessment Details'!$L$45:$M$48,2,FALSE)</f>
        <v>#N/A</v>
      </c>
      <c r="AA99" s="1" t="e">
        <f>VLOOKUP(N99,'Assessment Details'!$L$45:$M$48,2,FALSE)</f>
        <v>#N/A</v>
      </c>
      <c r="AB99" s="1" t="e">
        <f>VLOOKUP(T99,'Assessment Details'!$L$45:$M$48,2,FALSE)</f>
        <v>#N/A</v>
      </c>
      <c r="AE99" s="77"/>
      <c r="AF99" s="853" t="s">
        <v>412</v>
      </c>
      <c r="AG99" s="77"/>
      <c r="AH99" s="77"/>
      <c r="AI99" s="77"/>
      <c r="AJ99" s="77"/>
      <c r="AK99" s="77"/>
      <c r="AL99" s="77"/>
      <c r="AO99" s="24" t="str">
        <f t="shared" si="13"/>
        <v>N/A</v>
      </c>
      <c r="AP99" s="24" t="str">
        <f t="shared" si="14"/>
        <v>N/A</v>
      </c>
      <c r="AQ99" s="24" t="str">
        <f t="shared" si="15"/>
        <v>N/A</v>
      </c>
      <c r="AR99" s="24"/>
      <c r="AS99" s="24"/>
      <c r="AT99" s="24"/>
      <c r="AV99" s="819"/>
    </row>
    <row r="100" spans="1:48" ht="30.75" thickBot="1" x14ac:dyDescent="0.3">
      <c r="A100" s="398">
        <v>92</v>
      </c>
      <c r="B100" s="322" t="s">
        <v>234</v>
      </c>
      <c r="C100" s="435" t="s">
        <v>88</v>
      </c>
      <c r="D100" s="151">
        <f>Inn_Credits</f>
        <v>10</v>
      </c>
      <c r="E100" s="160"/>
      <c r="F100" s="152">
        <f>Inn_cont_tot</f>
        <v>0</v>
      </c>
      <c r="G100" s="153" t="str">
        <f>"Credits achieved: "&amp;Inn_tot_user</f>
        <v>Credits achieved: 0</v>
      </c>
      <c r="H100" s="163"/>
      <c r="I100" s="340"/>
      <c r="J100" s="342"/>
      <c r="K100" s="412"/>
      <c r="L100" s="515"/>
      <c r="M100" s="510"/>
      <c r="N100" s="165"/>
      <c r="O100" s="165"/>
      <c r="P100" s="166"/>
      <c r="Q100" s="411"/>
      <c r="R100" s="516"/>
      <c r="S100" s="510"/>
      <c r="T100" s="165"/>
      <c r="U100" s="165"/>
      <c r="V100" s="166"/>
      <c r="W100" s="162"/>
      <c r="X100" s="820"/>
      <c r="Y100" s="122">
        <f t="shared" si="12"/>
        <v>1</v>
      </c>
      <c r="Z100" s="333">
        <v>0</v>
      </c>
      <c r="AA100" s="333">
        <v>0</v>
      </c>
      <c r="AB100" s="333">
        <v>0</v>
      </c>
      <c r="AE100" s="77"/>
      <c r="AF100" s="853" t="s">
        <v>88</v>
      </c>
      <c r="AG100" s="77"/>
      <c r="AH100" s="77"/>
      <c r="AI100" s="77"/>
      <c r="AJ100" s="77"/>
      <c r="AK100" s="77"/>
      <c r="AL100" s="77"/>
      <c r="AO100" s="24" t="str">
        <f t="shared" si="13"/>
        <v>N/A</v>
      </c>
      <c r="AP100" s="24" t="str">
        <f t="shared" si="14"/>
        <v>N/A</v>
      </c>
      <c r="AQ100" s="24" t="str">
        <f t="shared" si="15"/>
        <v>N/A</v>
      </c>
      <c r="AR100" s="24"/>
      <c r="AS100" s="24"/>
      <c r="AT100" s="24"/>
      <c r="AV100" s="820"/>
    </row>
    <row r="101" spans="1:48" x14ac:dyDescent="0.25">
      <c r="A101" s="43"/>
      <c r="B101" s="322" t="s">
        <v>234</v>
      </c>
      <c r="C101" s="49"/>
      <c r="D101" s="3"/>
      <c r="E101" s="3"/>
      <c r="F101" s="3"/>
      <c r="G101" s="3"/>
      <c r="H101" s="49"/>
      <c r="I101" s="3"/>
      <c r="J101" s="336"/>
      <c r="K101" s="332"/>
      <c r="L101" s="3"/>
      <c r="M101" s="337"/>
      <c r="N101" s="336"/>
      <c r="O101" s="336"/>
      <c r="P101" s="336"/>
      <c r="Q101" s="334"/>
      <c r="R101" s="336"/>
      <c r="S101" s="337"/>
      <c r="T101" s="336"/>
      <c r="U101" s="336"/>
      <c r="V101" s="336"/>
      <c r="W101" s="334"/>
      <c r="X101" s="334"/>
      <c r="Y101" s="122"/>
      <c r="Z101" s="335"/>
      <c r="AA101" s="335"/>
      <c r="AB101" s="335"/>
      <c r="AF101" s="3"/>
    </row>
    <row r="102" spans="1:48" x14ac:dyDescent="0.25">
      <c r="A102" s="43"/>
      <c r="B102" s="46"/>
      <c r="C102" s="32"/>
      <c r="J102" s="8"/>
      <c r="K102" s="122"/>
      <c r="L102" s="1"/>
      <c r="M102" s="8"/>
      <c r="N102" s="8"/>
      <c r="O102" s="8"/>
      <c r="P102" s="324"/>
      <c r="Q102" s="323"/>
      <c r="R102" s="8"/>
      <c r="S102" s="8"/>
      <c r="T102" s="8"/>
      <c r="U102" s="8"/>
      <c r="V102" s="324"/>
      <c r="W102" s="323"/>
      <c r="X102" s="323"/>
      <c r="Y102" s="122"/>
      <c r="Z102" s="1"/>
      <c r="AA102" s="1"/>
      <c r="AB102" s="1"/>
      <c r="AF102" s="3"/>
    </row>
    <row r="103" spans="1:48" x14ac:dyDescent="0.25">
      <c r="A103" s="46"/>
      <c r="B103" s="46"/>
      <c r="C103" s="348"/>
      <c r="D103" s="18"/>
      <c r="J103" s="8"/>
      <c r="K103" s="122"/>
      <c r="L103" s="1"/>
      <c r="M103" s="8"/>
      <c r="N103" s="8"/>
      <c r="O103" s="8"/>
      <c r="P103" s="325"/>
      <c r="Q103" s="323"/>
      <c r="R103" s="8"/>
      <c r="S103" s="8"/>
      <c r="T103" s="8"/>
      <c r="U103" s="8"/>
      <c r="V103" s="325"/>
      <c r="W103" s="323"/>
      <c r="X103" s="323"/>
      <c r="Y103" s="122"/>
      <c r="Z103" s="1"/>
      <c r="AA103" s="1"/>
      <c r="AB103" s="1"/>
      <c r="AF103" s="3"/>
    </row>
    <row r="104" spans="1:48" x14ac:dyDescent="0.25">
      <c r="A104" s="68"/>
      <c r="B104" s="68"/>
      <c r="C104" s="32"/>
      <c r="D104" s="27"/>
      <c r="J104" s="8"/>
      <c r="K104" s="122"/>
      <c r="L104" s="1"/>
      <c r="M104" s="8"/>
      <c r="N104" s="8"/>
      <c r="O104" s="8"/>
      <c r="P104" s="324"/>
      <c r="Q104" s="323"/>
      <c r="R104" s="8"/>
      <c r="S104" s="8"/>
      <c r="T104" s="8"/>
      <c r="U104" s="8"/>
      <c r="V104" s="324"/>
      <c r="W104" s="323"/>
      <c r="X104" s="323"/>
      <c r="Y104" s="122"/>
      <c r="Z104" s="1"/>
      <c r="AA104" s="1"/>
      <c r="AB104" s="1"/>
      <c r="AF104" s="3"/>
    </row>
    <row r="105" spans="1:48" x14ac:dyDescent="0.25">
      <c r="A105" s="68"/>
      <c r="B105" s="68"/>
      <c r="C105" s="33"/>
      <c r="D105" s="18"/>
      <c r="J105" s="8"/>
      <c r="K105" s="122"/>
      <c r="L105" s="1"/>
      <c r="M105" s="8"/>
      <c r="N105" s="8"/>
      <c r="O105" s="8"/>
      <c r="P105" s="325"/>
      <c r="Q105" s="323"/>
      <c r="R105" s="8"/>
      <c r="S105" s="8"/>
      <c r="T105" s="8"/>
      <c r="U105" s="8"/>
      <c r="V105" s="325"/>
      <c r="W105" s="323"/>
      <c r="X105" s="323"/>
      <c r="Y105" s="122"/>
      <c r="Z105" s="1"/>
      <c r="AA105" s="1"/>
      <c r="AB105" s="1"/>
      <c r="AF105" s="3"/>
    </row>
    <row r="106" spans="1:48" x14ac:dyDescent="0.25">
      <c r="A106" s="68"/>
      <c r="B106" s="68"/>
      <c r="C106" s="32"/>
      <c r="D106" s="27"/>
      <c r="J106" s="8"/>
      <c r="K106" s="122"/>
      <c r="L106" s="1"/>
      <c r="M106" s="8"/>
      <c r="N106" s="8"/>
      <c r="O106" s="8"/>
      <c r="P106" s="324"/>
      <c r="Q106" s="323"/>
      <c r="R106" s="8"/>
      <c r="S106" s="8"/>
      <c r="T106" s="8"/>
      <c r="U106" s="8"/>
      <c r="V106" s="324"/>
      <c r="W106" s="323"/>
      <c r="X106" s="323"/>
      <c r="Y106" s="122"/>
      <c r="Z106" s="28"/>
      <c r="AA106" s="28"/>
      <c r="AB106" s="28"/>
      <c r="AC106" s="28"/>
      <c r="AD106" s="28"/>
      <c r="AE106" s="28"/>
      <c r="AF106" s="3"/>
      <c r="AU106" s="28"/>
      <c r="AV106" s="28"/>
    </row>
    <row r="107" spans="1:48" x14ac:dyDescent="0.25">
      <c r="J107" s="8"/>
      <c r="K107" s="122"/>
      <c r="L107" s="1"/>
      <c r="M107" s="8"/>
      <c r="N107" s="8"/>
      <c r="O107" s="8"/>
      <c r="P107" s="8"/>
      <c r="Q107" s="323"/>
      <c r="R107" s="8"/>
      <c r="S107" s="8"/>
      <c r="T107" s="8"/>
      <c r="U107" s="8"/>
      <c r="V107" s="8"/>
      <c r="W107" s="323"/>
      <c r="X107" s="323"/>
      <c r="Y107" s="122"/>
      <c r="Z107" s="1"/>
      <c r="AA107" s="1"/>
      <c r="AB107" s="1"/>
      <c r="AF107" s="28"/>
      <c r="AG107" s="28"/>
      <c r="AH107" s="28"/>
      <c r="AI107" s="28"/>
      <c r="AJ107" s="28"/>
      <c r="AK107" s="28"/>
      <c r="AL107" s="28"/>
      <c r="AO107" s="28"/>
      <c r="AP107" s="28"/>
      <c r="AQ107" s="28"/>
      <c r="AR107" s="28"/>
      <c r="AS107" s="28"/>
      <c r="AT107" s="28"/>
    </row>
    <row r="108" spans="1:48" x14ac:dyDescent="0.25">
      <c r="J108" s="8"/>
      <c r="K108" s="122"/>
      <c r="L108" s="1"/>
      <c r="M108" s="8"/>
      <c r="N108" s="8"/>
      <c r="O108" s="8"/>
      <c r="P108" s="8"/>
      <c r="Q108" s="323"/>
      <c r="R108" s="8"/>
      <c r="S108" s="8"/>
      <c r="T108" s="8"/>
      <c r="U108" s="8"/>
      <c r="V108" s="8"/>
      <c r="W108" s="323"/>
      <c r="X108" s="323"/>
      <c r="Y108" s="122"/>
      <c r="Z108" s="1"/>
      <c r="AA108" s="1"/>
      <c r="AB108" s="1"/>
      <c r="AF108" s="3"/>
    </row>
    <row r="109" spans="1:48" x14ac:dyDescent="0.25">
      <c r="J109" s="8"/>
      <c r="K109" s="122"/>
      <c r="L109" s="1"/>
      <c r="M109" s="8"/>
      <c r="N109" s="8"/>
      <c r="O109" s="8"/>
      <c r="P109" s="8"/>
      <c r="Q109" s="323"/>
      <c r="R109" s="8"/>
      <c r="S109" s="8"/>
      <c r="T109" s="8"/>
      <c r="U109" s="8"/>
      <c r="V109" s="8"/>
      <c r="W109" s="323"/>
      <c r="X109" s="323"/>
      <c r="Y109" s="122"/>
      <c r="Z109" s="1"/>
      <c r="AA109" s="1"/>
      <c r="AB109" s="1"/>
      <c r="AF109" s="3"/>
    </row>
    <row r="110" spans="1:48" x14ac:dyDescent="0.25">
      <c r="J110" s="8"/>
      <c r="K110" s="122"/>
      <c r="L110" s="1"/>
      <c r="M110" s="8"/>
      <c r="N110" s="8"/>
      <c r="O110" s="8"/>
      <c r="P110" s="8"/>
      <c r="Q110" s="323"/>
      <c r="R110" s="8"/>
      <c r="S110" s="8"/>
      <c r="T110" s="8"/>
      <c r="U110" s="8"/>
      <c r="V110" s="8"/>
      <c r="W110" s="323"/>
      <c r="X110" s="323"/>
      <c r="Y110" s="122"/>
      <c r="Z110" s="1"/>
      <c r="AA110" s="1"/>
      <c r="AB110" s="1"/>
      <c r="AF110" s="3"/>
    </row>
    <row r="111" spans="1:48" x14ac:dyDescent="0.25">
      <c r="J111" s="8"/>
      <c r="K111" s="122"/>
      <c r="L111" s="1"/>
      <c r="M111" s="8"/>
      <c r="N111" s="8"/>
      <c r="O111" s="8"/>
      <c r="P111" s="8"/>
      <c r="Q111" s="323"/>
      <c r="R111" s="8"/>
      <c r="S111" s="8"/>
      <c r="T111" s="8"/>
      <c r="U111" s="8"/>
      <c r="V111" s="8"/>
      <c r="W111" s="323"/>
      <c r="X111" s="323"/>
      <c r="Y111" s="122"/>
      <c r="Z111" s="1"/>
      <c r="AA111" s="1"/>
      <c r="AB111" s="1"/>
      <c r="AF111" s="3"/>
    </row>
    <row r="112" spans="1:48" x14ac:dyDescent="0.25">
      <c r="J112" s="8"/>
      <c r="K112" s="122"/>
      <c r="L112" s="1"/>
      <c r="M112" s="8"/>
      <c r="N112" s="8"/>
      <c r="O112" s="8"/>
      <c r="P112" s="8"/>
      <c r="Q112" s="323"/>
      <c r="R112" s="8"/>
      <c r="S112" s="8"/>
      <c r="T112" s="8"/>
      <c r="U112" s="8"/>
      <c r="V112" s="8"/>
      <c r="W112" s="323"/>
      <c r="X112" s="323"/>
      <c r="Y112" s="122"/>
      <c r="Z112" s="1"/>
      <c r="AA112" s="1"/>
      <c r="AB112" s="1"/>
      <c r="AF112" s="3"/>
    </row>
    <row r="113" spans="10:32" x14ac:dyDescent="0.25">
      <c r="J113" s="8"/>
      <c r="K113" s="122"/>
      <c r="L113" s="1"/>
      <c r="M113" s="8"/>
      <c r="N113" s="8"/>
      <c r="O113" s="8"/>
      <c r="P113" s="8"/>
      <c r="Q113" s="323"/>
      <c r="R113" s="8"/>
      <c r="S113" s="8"/>
      <c r="T113" s="8"/>
      <c r="U113" s="8"/>
      <c r="V113" s="8"/>
      <c r="W113" s="323"/>
      <c r="X113" s="323"/>
      <c r="Y113" s="122"/>
      <c r="Z113" s="1"/>
      <c r="AA113" s="1"/>
      <c r="AB113" s="1"/>
      <c r="AF113" s="3"/>
    </row>
    <row r="114" spans="10:32" x14ac:dyDescent="0.25">
      <c r="J114" s="8"/>
      <c r="K114" s="122"/>
      <c r="L114" s="1"/>
      <c r="M114" s="8"/>
      <c r="N114" s="8"/>
      <c r="O114" s="8"/>
      <c r="P114" s="8"/>
      <c r="Q114" s="323"/>
      <c r="R114" s="8"/>
      <c r="S114" s="8"/>
      <c r="T114" s="8"/>
      <c r="U114" s="8"/>
      <c r="V114" s="8"/>
      <c r="W114" s="323"/>
      <c r="X114" s="323"/>
      <c r="Y114" s="122"/>
      <c r="Z114" s="1"/>
      <c r="AA114" s="1"/>
      <c r="AB114" s="1"/>
      <c r="AF114" s="3"/>
    </row>
    <row r="115" spans="10:32" x14ac:dyDescent="0.25">
      <c r="J115" s="8"/>
      <c r="K115" s="122"/>
      <c r="L115" s="1"/>
      <c r="M115" s="8"/>
      <c r="N115" s="8"/>
      <c r="O115" s="8"/>
      <c r="P115" s="8"/>
      <c r="Q115" s="323"/>
      <c r="R115" s="8"/>
      <c r="S115" s="8"/>
      <c r="T115" s="8"/>
      <c r="U115" s="8"/>
      <c r="V115" s="8"/>
      <c r="W115" s="323"/>
      <c r="X115" s="323"/>
      <c r="Y115" s="122"/>
      <c r="Z115" s="1"/>
      <c r="AA115" s="1"/>
      <c r="AB115" s="1"/>
      <c r="AF115" s="3"/>
    </row>
    <row r="116" spans="10:32" x14ac:dyDescent="0.25">
      <c r="J116" s="8"/>
      <c r="K116" s="122"/>
      <c r="L116" s="1"/>
      <c r="M116" s="8"/>
      <c r="N116" s="8"/>
      <c r="O116" s="8"/>
      <c r="P116" s="8"/>
      <c r="Q116" s="323"/>
      <c r="R116" s="8"/>
      <c r="S116" s="8"/>
      <c r="T116" s="8"/>
      <c r="U116" s="8"/>
      <c r="V116" s="8"/>
      <c r="W116" s="323"/>
      <c r="X116" s="323"/>
      <c r="Y116" s="122"/>
      <c r="Z116" s="1"/>
      <c r="AA116" s="1"/>
      <c r="AB116" s="1"/>
      <c r="AF116" s="3"/>
    </row>
    <row r="117" spans="10:32" x14ac:dyDescent="0.25">
      <c r="J117" s="8"/>
      <c r="K117" s="122"/>
      <c r="L117" s="1"/>
      <c r="M117" s="8"/>
      <c r="N117" s="8"/>
      <c r="O117" s="8"/>
      <c r="P117" s="8"/>
      <c r="Q117" s="323"/>
      <c r="R117" s="8"/>
      <c r="S117" s="8"/>
      <c r="T117" s="8"/>
      <c r="U117" s="8"/>
      <c r="V117" s="8"/>
      <c r="W117" s="323"/>
      <c r="X117" s="323"/>
      <c r="Y117" s="122"/>
      <c r="Z117" s="1"/>
      <c r="AA117" s="1"/>
      <c r="AB117" s="1"/>
      <c r="AF117" s="3"/>
    </row>
    <row r="118" spans="10:32" x14ac:dyDescent="0.25">
      <c r="J118" s="8"/>
      <c r="K118" s="122"/>
      <c r="L118" s="1"/>
      <c r="M118" s="8"/>
      <c r="N118" s="8"/>
      <c r="O118" s="8"/>
      <c r="P118" s="8"/>
      <c r="Q118" s="323"/>
      <c r="R118" s="8"/>
      <c r="S118" s="8"/>
      <c r="T118" s="8"/>
      <c r="U118" s="8"/>
      <c r="V118" s="8"/>
      <c r="W118" s="323"/>
      <c r="X118" s="323"/>
      <c r="Y118" s="122"/>
      <c r="Z118" s="1"/>
      <c r="AA118" s="1"/>
      <c r="AB118" s="1"/>
      <c r="AF118" s="3"/>
    </row>
    <row r="119" spans="10:32" x14ac:dyDescent="0.25">
      <c r="J119" s="8"/>
      <c r="K119" s="122"/>
      <c r="L119" s="1"/>
      <c r="M119" s="8"/>
      <c r="N119" s="8"/>
      <c r="O119" s="8"/>
      <c r="P119" s="8"/>
      <c r="Q119" s="323"/>
      <c r="R119" s="8"/>
      <c r="S119" s="8"/>
      <c r="T119" s="8"/>
      <c r="U119" s="8"/>
      <c r="V119" s="8"/>
      <c r="W119" s="323"/>
      <c r="X119" s="323"/>
      <c r="Y119" s="122"/>
      <c r="Z119" s="1"/>
      <c r="AA119" s="1"/>
      <c r="AB119" s="1"/>
      <c r="AF119" s="3"/>
    </row>
    <row r="120" spans="10:32" x14ac:dyDescent="0.25">
      <c r="J120" s="8"/>
      <c r="K120" s="122"/>
      <c r="L120" s="1"/>
      <c r="M120" s="8"/>
      <c r="N120" s="8"/>
      <c r="O120" s="8"/>
      <c r="P120" s="8"/>
      <c r="Q120" s="323"/>
      <c r="R120" s="8"/>
      <c r="S120" s="8"/>
      <c r="T120" s="8"/>
      <c r="U120" s="8"/>
      <c r="V120" s="8"/>
      <c r="W120" s="323"/>
      <c r="X120" s="323"/>
      <c r="Y120" s="122"/>
      <c r="Z120" s="1"/>
      <c r="AA120" s="1"/>
      <c r="AB120" s="1"/>
      <c r="AF120" s="3"/>
    </row>
    <row r="121" spans="10:32" x14ac:dyDescent="0.25">
      <c r="J121" s="8"/>
      <c r="K121" s="122"/>
      <c r="L121" s="1"/>
      <c r="M121" s="8"/>
      <c r="N121" s="8"/>
      <c r="O121" s="8"/>
      <c r="P121" s="8"/>
      <c r="Q121" s="323"/>
      <c r="R121" s="8"/>
      <c r="S121" s="8"/>
      <c r="T121" s="8"/>
      <c r="U121" s="8"/>
      <c r="V121" s="8"/>
      <c r="W121" s="323"/>
      <c r="X121" s="323"/>
      <c r="Y121" s="122"/>
      <c r="Z121" s="1"/>
      <c r="AA121" s="1"/>
      <c r="AB121" s="1"/>
      <c r="AF121" s="3"/>
    </row>
    <row r="122" spans="10:32" x14ac:dyDescent="0.25">
      <c r="J122" s="8"/>
      <c r="K122" s="122"/>
      <c r="L122" s="1"/>
      <c r="M122" s="8"/>
      <c r="N122" s="8"/>
      <c r="O122" s="8"/>
      <c r="P122" s="8"/>
      <c r="Q122" s="323"/>
      <c r="R122" s="8"/>
      <c r="S122" s="8"/>
      <c r="T122" s="8"/>
      <c r="U122" s="8"/>
      <c r="V122" s="8"/>
      <c r="W122" s="323"/>
      <c r="X122" s="323"/>
      <c r="Y122" s="122"/>
      <c r="Z122" s="1"/>
      <c r="AA122" s="1"/>
      <c r="AB122" s="1"/>
      <c r="AF122" s="3"/>
    </row>
    <row r="123" spans="10:32" x14ac:dyDescent="0.25">
      <c r="J123" s="8"/>
      <c r="M123" s="312"/>
      <c r="N123" s="312"/>
      <c r="O123" s="312"/>
      <c r="P123" s="312"/>
      <c r="Q123" s="162"/>
      <c r="R123" s="312"/>
      <c r="S123" s="312"/>
      <c r="T123" s="312"/>
      <c r="U123" s="312"/>
      <c r="V123" s="312"/>
      <c r="W123" s="90"/>
      <c r="X123" s="90"/>
      <c r="AF123" s="3"/>
    </row>
    <row r="124" spans="10:32" x14ac:dyDescent="0.25">
      <c r="J124" s="8"/>
      <c r="M124" s="312"/>
      <c r="N124" s="312"/>
      <c r="O124" s="312"/>
      <c r="P124" s="312"/>
      <c r="Q124" s="162"/>
      <c r="R124" s="312"/>
      <c r="S124" s="312"/>
      <c r="T124" s="312"/>
      <c r="U124" s="312"/>
      <c r="V124" s="312"/>
      <c r="W124" s="90"/>
      <c r="X124" s="90"/>
      <c r="AF124" s="3"/>
    </row>
    <row r="125" spans="10:32" x14ac:dyDescent="0.25">
      <c r="J125" s="8"/>
      <c r="M125" s="312"/>
      <c r="N125" s="312"/>
      <c r="O125" s="312"/>
      <c r="P125" s="312"/>
      <c r="Q125" s="162"/>
      <c r="R125" s="312"/>
      <c r="S125" s="312"/>
      <c r="T125" s="312"/>
      <c r="U125" s="312"/>
      <c r="V125" s="312"/>
      <c r="W125" s="90"/>
      <c r="X125" s="90"/>
      <c r="AF125" s="3"/>
    </row>
    <row r="126" spans="10:32" x14ac:dyDescent="0.25">
      <c r="J126" s="8"/>
      <c r="M126" s="312"/>
      <c r="N126" s="312"/>
      <c r="O126" s="312"/>
      <c r="P126" s="312"/>
      <c r="Q126" s="162"/>
      <c r="R126" s="312"/>
      <c r="S126" s="312"/>
      <c r="T126" s="312"/>
      <c r="U126" s="312"/>
      <c r="V126" s="312"/>
      <c r="W126" s="90"/>
      <c r="X126" s="90"/>
      <c r="AF126" s="3"/>
    </row>
    <row r="127" spans="10:32" x14ac:dyDescent="0.25">
      <c r="AF127" s="3"/>
    </row>
    <row r="128" spans="10:32" x14ac:dyDescent="0.25">
      <c r="AF128" s="3"/>
    </row>
    <row r="129" spans="32:32" x14ac:dyDescent="0.25">
      <c r="AF129" s="3"/>
    </row>
    <row r="130" spans="32:32" x14ac:dyDescent="0.25">
      <c r="AF130" s="3"/>
    </row>
    <row r="131" spans="32:32" x14ac:dyDescent="0.25">
      <c r="AF131" s="3"/>
    </row>
    <row r="132" spans="32:32" x14ac:dyDescent="0.25">
      <c r="AF132" s="3"/>
    </row>
    <row r="133" spans="32:32" x14ac:dyDescent="0.25">
      <c r="AF133" s="3"/>
    </row>
    <row r="134" spans="32:32" x14ac:dyDescent="0.25">
      <c r="AF134" s="3"/>
    </row>
    <row r="135" spans="32:32" x14ac:dyDescent="0.25">
      <c r="AF135" s="3"/>
    </row>
    <row r="136" spans="32:32" x14ac:dyDescent="0.25">
      <c r="AF136" s="3"/>
    </row>
    <row r="137" spans="32:32" x14ac:dyDescent="0.25">
      <c r="AF137" s="3"/>
    </row>
    <row r="138" spans="32:32" x14ac:dyDescent="0.25">
      <c r="AF138" s="3"/>
    </row>
    <row r="139" spans="32:32" x14ac:dyDescent="0.25">
      <c r="AF139" s="3"/>
    </row>
    <row r="140" spans="32:32" x14ac:dyDescent="0.25">
      <c r="AF140" s="3"/>
    </row>
    <row r="141" spans="32:32" x14ac:dyDescent="0.25">
      <c r="AF141" s="3"/>
    </row>
    <row r="142" spans="32:32" x14ac:dyDescent="0.25">
      <c r="AF142" s="3"/>
    </row>
    <row r="143" spans="32:32" x14ac:dyDescent="0.25">
      <c r="AF143" s="3"/>
    </row>
    <row r="144" spans="32:32" x14ac:dyDescent="0.25">
      <c r="AF144" s="3"/>
    </row>
    <row r="145" spans="32:32" x14ac:dyDescent="0.25">
      <c r="AF145" s="3"/>
    </row>
    <row r="146" spans="32:32" x14ac:dyDescent="0.25">
      <c r="AF146" s="3"/>
    </row>
    <row r="147" spans="32:32" x14ac:dyDescent="0.25">
      <c r="AF147" s="3"/>
    </row>
    <row r="148" spans="32:32" x14ac:dyDescent="0.25">
      <c r="AF148" s="3"/>
    </row>
    <row r="149" spans="32:32" x14ac:dyDescent="0.25">
      <c r="AF149" s="3"/>
    </row>
    <row r="150" spans="32:32" x14ac:dyDescent="0.25">
      <c r="AF150" s="3"/>
    </row>
    <row r="151" spans="32:32" x14ac:dyDescent="0.25">
      <c r="AF151" s="3"/>
    </row>
    <row r="152" spans="32:32" x14ac:dyDescent="0.25">
      <c r="AF152" s="3"/>
    </row>
    <row r="153" spans="32:32" x14ac:dyDescent="0.25">
      <c r="AF153" s="3"/>
    </row>
    <row r="154" spans="32:32" x14ac:dyDescent="0.25">
      <c r="AF154" s="3"/>
    </row>
    <row r="155" spans="32:32" x14ac:dyDescent="0.25">
      <c r="AF155" s="3"/>
    </row>
    <row r="156" spans="32:32" x14ac:dyDescent="0.25">
      <c r="AF156" s="3"/>
    </row>
    <row r="157" spans="32:32" x14ac:dyDescent="0.25">
      <c r="AF157" s="3"/>
    </row>
    <row r="158" spans="32:32" x14ac:dyDescent="0.25">
      <c r="AF158" s="3"/>
    </row>
    <row r="159" spans="32:32" x14ac:dyDescent="0.25">
      <c r="AF159" s="3"/>
    </row>
    <row r="160" spans="32:32" x14ac:dyDescent="0.25">
      <c r="AF160" s="3"/>
    </row>
    <row r="161" spans="32:32" x14ac:dyDescent="0.25">
      <c r="AF161" s="3"/>
    </row>
    <row r="162" spans="32:32" x14ac:dyDescent="0.25">
      <c r="AF162" s="3"/>
    </row>
    <row r="163" spans="32:32" x14ac:dyDescent="0.25">
      <c r="AF163" s="3"/>
    </row>
    <row r="164" spans="32:32" x14ac:dyDescent="0.25">
      <c r="AF164" s="3"/>
    </row>
    <row r="165" spans="32:32" x14ac:dyDescent="0.25">
      <c r="AF165" s="3"/>
    </row>
    <row r="166" spans="32:32" x14ac:dyDescent="0.25">
      <c r="AF166" s="3"/>
    </row>
    <row r="167" spans="32:32" x14ac:dyDescent="0.25">
      <c r="AF167" s="3"/>
    </row>
    <row r="168" spans="32:32" x14ac:dyDescent="0.25">
      <c r="AF168" s="3"/>
    </row>
    <row r="169" spans="32:32" x14ac:dyDescent="0.25">
      <c r="AF169" s="3"/>
    </row>
    <row r="170" spans="32:32" x14ac:dyDescent="0.25">
      <c r="AF170" s="3"/>
    </row>
    <row r="171" spans="32:32" x14ac:dyDescent="0.25">
      <c r="AF171" s="3"/>
    </row>
    <row r="172" spans="32:32" x14ac:dyDescent="0.25">
      <c r="AF172" s="3"/>
    </row>
    <row r="173" spans="32:32" x14ac:dyDescent="0.25">
      <c r="AF173" s="3"/>
    </row>
    <row r="174" spans="32:32" x14ac:dyDescent="0.25">
      <c r="AF174" s="3"/>
    </row>
    <row r="175" spans="32:32" x14ac:dyDescent="0.25">
      <c r="AF175" s="3"/>
    </row>
    <row r="176" spans="32:32" x14ac:dyDescent="0.25">
      <c r="AF176" s="3"/>
    </row>
    <row r="177" spans="32:32" x14ac:dyDescent="0.25">
      <c r="AF177" s="3"/>
    </row>
    <row r="178" spans="32:32" x14ac:dyDescent="0.25">
      <c r="AF178" s="3"/>
    </row>
    <row r="179" spans="32:32" x14ac:dyDescent="0.25">
      <c r="AF179" s="3"/>
    </row>
    <row r="180" spans="32:32" x14ac:dyDescent="0.25">
      <c r="AF180" s="3"/>
    </row>
    <row r="181" spans="32:32" x14ac:dyDescent="0.25">
      <c r="AF181" s="3"/>
    </row>
    <row r="182" spans="32:32" x14ac:dyDescent="0.25">
      <c r="AF182" s="3"/>
    </row>
    <row r="183" spans="32:32" x14ac:dyDescent="0.25">
      <c r="AF183" s="3"/>
    </row>
    <row r="184" spans="32:32" x14ac:dyDescent="0.25">
      <c r="AF184" s="3"/>
    </row>
    <row r="185" spans="32:32" x14ac:dyDescent="0.25">
      <c r="AF185" s="3"/>
    </row>
    <row r="186" spans="32:32" x14ac:dyDescent="0.25">
      <c r="AF186" s="3"/>
    </row>
    <row r="187" spans="32:32" x14ac:dyDescent="0.25">
      <c r="AF187" s="3"/>
    </row>
    <row r="188" spans="32:32" x14ac:dyDescent="0.25">
      <c r="AF188" s="3"/>
    </row>
    <row r="189" spans="32:32" x14ac:dyDescent="0.25">
      <c r="AF189" s="3"/>
    </row>
    <row r="190" spans="32:32" x14ac:dyDescent="0.25">
      <c r="AF190" s="3"/>
    </row>
    <row r="191" spans="32:32" x14ac:dyDescent="0.25">
      <c r="AF191" s="3"/>
    </row>
    <row r="192" spans="32:32" x14ac:dyDescent="0.25">
      <c r="AF192" s="7"/>
    </row>
    <row r="259" spans="3:22" ht="15.75" x14ac:dyDescent="0.25">
      <c r="C259" s="6"/>
      <c r="D259" s="6"/>
      <c r="E259" s="6"/>
      <c r="F259" s="6"/>
      <c r="G259" s="6"/>
      <c r="H259" s="6"/>
      <c r="I259" s="6"/>
      <c r="J259" s="26"/>
      <c r="L259" s="313"/>
      <c r="M259" s="313"/>
      <c r="N259" s="313"/>
      <c r="O259" s="313"/>
      <c r="P259" s="313"/>
      <c r="R259" s="313"/>
      <c r="S259" s="313"/>
      <c r="T259" s="313"/>
      <c r="U259" s="313"/>
      <c r="V259" s="313"/>
    </row>
  </sheetData>
  <sheetProtection algorithmName="SHA-512" hashValue="zCfWac8Ukvxk4M4ZRHCaJ2pccHkOYQXEDYICWykYfc8RIbP43H/b88FD3SqVHWNGMqbq75jnqbRjTY8WO0xIcw==" saltValue="brH4DkQaLvT/S7iyv7Smeg==" spinCount="100000" sheet="1" formatCells="0" formatRows="0" selectLockedCells="1" sort="0" autoFilter="0"/>
  <protectedRanges>
    <protectedRange sqref="A8:AB105" name="Sortering"/>
  </protectedRanges>
  <autoFilter ref="A8:AB101" xr:uid="{00000000-0009-0000-0000-000002000000}">
    <sortState xmlns:xlrd2="http://schemas.microsoft.com/office/spreadsheetml/2017/richdata2" ref="A9:AB101">
      <sortCondition ref="A8:A101"/>
    </sortState>
  </autoFilter>
  <mergeCells count="5">
    <mergeCell ref="Z7:AB7"/>
    <mergeCell ref="E3:I3"/>
    <mergeCell ref="L3:P3"/>
    <mergeCell ref="R3:V3"/>
    <mergeCell ref="X4:X7"/>
  </mergeCells>
  <phoneticPr fontId="22" type="noConversion"/>
  <conditionalFormatting sqref="H90:I99 H9:I87">
    <cfRule type="expression" dxfId="462" priority="199">
      <formula>$Z9=4</formula>
    </cfRule>
    <cfRule type="expression" dxfId="461" priority="200">
      <formula>$Z9=3</formula>
    </cfRule>
    <cfRule type="expression" dxfId="460" priority="201">
      <formula>$Z9=2</formula>
    </cfRule>
    <cfRule type="expression" dxfId="459" priority="202">
      <formula>$Z9=1</formula>
    </cfRule>
  </conditionalFormatting>
  <conditionalFormatting sqref="M90:N99 M9:N87">
    <cfRule type="expression" dxfId="458" priority="195">
      <formula>$AA9=4</formula>
    </cfRule>
    <cfRule type="expression" dxfId="457" priority="196">
      <formula>$AA9=3</formula>
    </cfRule>
    <cfRule type="expression" dxfId="456" priority="197">
      <formula>$AA9=2</formula>
    </cfRule>
    <cfRule type="expression" dxfId="455" priority="198">
      <formula>$AA9=1</formula>
    </cfRule>
  </conditionalFormatting>
  <conditionalFormatting sqref="S90:T99 S9:T87">
    <cfRule type="expression" dxfId="454" priority="191">
      <formula>$AB9=4</formula>
    </cfRule>
    <cfRule type="expression" dxfId="453" priority="192">
      <formula>$AB9=3</formula>
    </cfRule>
    <cfRule type="expression" dxfId="452" priority="193">
      <formula>$AB9=2</formula>
    </cfRule>
    <cfRule type="expression" dxfId="451" priority="194">
      <formula>$AB9=1</formula>
    </cfRule>
  </conditionalFormatting>
  <conditionalFormatting sqref="H88:I89">
    <cfRule type="expression" dxfId="450" priority="103">
      <formula>$Z88=4</formula>
    </cfRule>
    <cfRule type="expression" dxfId="449" priority="104">
      <formula>$Z88=3</formula>
    </cfRule>
    <cfRule type="expression" dxfId="448" priority="105">
      <formula>$Z88=2</formula>
    </cfRule>
    <cfRule type="expression" dxfId="447" priority="106">
      <formula>$Z88=1</formula>
    </cfRule>
  </conditionalFormatting>
  <conditionalFormatting sqref="M88:N89">
    <cfRule type="expression" dxfId="446" priority="99">
      <formula>$AA88=4</formula>
    </cfRule>
    <cfRule type="expression" dxfId="445" priority="100">
      <formula>$AA88=3</formula>
    </cfRule>
    <cfRule type="expression" dxfId="444" priority="101">
      <formula>$AA88=2</formula>
    </cfRule>
    <cfRule type="expression" dxfId="443" priority="102">
      <formula>$AA88=1</formula>
    </cfRule>
  </conditionalFormatting>
  <conditionalFormatting sqref="S88:T89">
    <cfRule type="expression" dxfId="442" priority="95">
      <formula>$AB88=4</formula>
    </cfRule>
    <cfRule type="expression" dxfId="441" priority="96">
      <formula>$AB88=3</formula>
    </cfRule>
    <cfRule type="expression" dxfId="440" priority="97">
      <formula>$AB88=2</formula>
    </cfRule>
    <cfRule type="expression" dxfId="439" priority="98">
      <formula>$AB88=1</formula>
    </cfRule>
  </conditionalFormatting>
  <conditionalFormatting sqref="H100:I101">
    <cfRule type="expression" dxfId="438" priority="91">
      <formula>$Z100=4</formula>
    </cfRule>
    <cfRule type="expression" dxfId="437" priority="92">
      <formula>$Z100=3</formula>
    </cfRule>
    <cfRule type="expression" dxfId="436" priority="93">
      <formula>$Z100=2</formula>
    </cfRule>
    <cfRule type="expression" dxfId="435" priority="94">
      <formula>$Z100=1</formula>
    </cfRule>
  </conditionalFormatting>
  <conditionalFormatting sqref="M100:N101">
    <cfRule type="expression" dxfId="434" priority="87">
      <formula>$AA100=4</formula>
    </cfRule>
    <cfRule type="expression" dxfId="433" priority="88">
      <formula>$AA100=3</formula>
    </cfRule>
    <cfRule type="expression" dxfId="432" priority="89">
      <formula>$AA100=2</formula>
    </cfRule>
    <cfRule type="expression" dxfId="431" priority="90">
      <formula>$AA100=1</formula>
    </cfRule>
  </conditionalFormatting>
  <conditionalFormatting sqref="S100:T101">
    <cfRule type="expression" dxfId="430" priority="83">
      <formula>$AB100=4</formula>
    </cfRule>
    <cfRule type="expression" dxfId="429" priority="84">
      <formula>$AB100=3</formula>
    </cfRule>
    <cfRule type="expression" dxfId="428" priority="85">
      <formula>$AB100=2</formula>
    </cfRule>
    <cfRule type="expression" dxfId="427" priority="86">
      <formula>$AB100=1</formula>
    </cfRule>
  </conditionalFormatting>
  <conditionalFormatting sqref="R9:V100 E9:J100 L9:P100 AV9:AV100">
    <cfRule type="expression" dxfId="426" priority="82">
      <formula>$Y9=2</formula>
    </cfRule>
  </conditionalFormatting>
  <conditionalFormatting sqref="E9:E100">
    <cfRule type="expression" dxfId="425" priority="79">
      <formula>E9&gt;D9</formula>
    </cfRule>
  </conditionalFormatting>
  <conditionalFormatting sqref="L9:L100">
    <cfRule type="expression" dxfId="424" priority="78">
      <formula>L9&gt;D9</formula>
    </cfRule>
  </conditionalFormatting>
  <conditionalFormatting sqref="R9:R100">
    <cfRule type="expression" dxfId="423" priority="77">
      <formula>R9&gt;D9</formula>
    </cfRule>
  </conditionalFormatting>
  <conditionalFormatting sqref="L4">
    <cfRule type="expression" dxfId="422" priority="71">
      <formula>$P$7="No"</formula>
    </cfRule>
  </conditionalFormatting>
  <conditionalFormatting sqref="R4">
    <cfRule type="expression" dxfId="421" priority="70">
      <formula>$V$7="No"</formula>
    </cfRule>
  </conditionalFormatting>
  <conditionalFormatting sqref="X9:X100">
    <cfRule type="expression" dxfId="420" priority="5">
      <formula>$AF$4="Nei"</formula>
    </cfRule>
    <cfRule type="expression" dxfId="419" priority="6">
      <formula>$Y9=2</formula>
    </cfRule>
  </conditionalFormatting>
  <conditionalFormatting sqref="X4">
    <cfRule type="expression" dxfId="418" priority="3">
      <formula>$AF$4=ais_no</formula>
    </cfRule>
  </conditionalFormatting>
  <dataValidations count="19">
    <dataValidation type="decimal" operator="lessThanOrEqual" allowBlank="1" showInputMessage="1" showErrorMessage="1" errorTitle="Invalid entry" error="Cannot award more credits than available" sqref="R10:R14 E10:E14 L10:L14 R91:R99 L91:L99 E91:E99 R64 R62 L62 E62 E83:E87 L83:L87 R83:R87 R75:R79 L75:L79 E75:E79 E68:E71 L68:L71 R68:R71 L64 E64 E60 L60 R60 R53:R56 L53:L56 E53:E56 E44:E49 L44:L49 R44:R49 R31:R40 L31:L40 E31:E40 E20:E27 L20:L27 R20:R27 R18 L18 E18" xr:uid="{00000000-0002-0000-0200-000000000000}">
      <formula1>$D10</formula1>
    </dataValidation>
    <dataValidation allowBlank="1" showInputMessage="1" showErrorMessage="1" promptTitle="Sorting" prompt="Sort from smallest to largest to get original sorting" sqref="A8" xr:uid="{00000000-0002-0000-0200-000001000000}"/>
    <dataValidation type="list" allowBlank="1" showInputMessage="1" showErrorMessage="1" sqref="P7 V7" xr:uid="{00000000-0002-0000-0200-000002000000}">
      <formula1>AD_YesNo</formula1>
    </dataValidation>
    <dataValidation type="list" allowBlank="1" showInputMessage="1" showErrorMessage="1" sqref="R61 E19 E61 L19 R19 L61" xr:uid="{00000000-0002-0000-0200-000003000000}">
      <formula1>janei</formula1>
    </dataValidation>
    <dataValidation type="list" operator="lessThanOrEqual" allowBlank="1" showInputMessage="1" showErrorMessage="1" errorTitle="Invalid entry" error="Cannot award more credits than available" sqref="L63 E63 R63" xr:uid="{00000000-0002-0000-0200-000004000000}">
      <formula1>janei</formula1>
    </dataValidation>
    <dataValidation type="list" allowBlank="1" showInputMessage="1" showErrorMessage="1" sqref="I10:I14 I18:I27 I31:I40 I44:I49 I53:I56 I60:I64 I68:I71 I75:I79 I83:I87 I91:I99 N10:N14 N18:N27 N31:N40 N44:N49 N53:N56 N60:N64 N68:N71 N75:N79 N83:N87 N91:N99 T10:T14 T18:T27 T31:T40 T44:T49 T53:T56 T60:T64 T68:T71 T75:T79 T83:T87 T91:T99" xr:uid="{00000000-0002-0000-0200-000009000000}">
      <formula1>status</formula1>
    </dataValidation>
    <dataValidation type="list" allowBlank="1" showInputMessage="1" showErrorMessage="1" sqref="X10" xr:uid="{DB3CADF3-8BC5-476F-81CA-6BDA2C5277F8}">
      <formula1>$AO$10:$AP$10</formula1>
    </dataValidation>
    <dataValidation type="list" allowBlank="1" showInputMessage="1" showErrorMessage="1" sqref="X11" xr:uid="{9350211D-61B2-4DA7-BE0E-7C11E1E6B433}">
      <formula1>AO10:AP10</formula1>
    </dataValidation>
    <dataValidation type="list" allowBlank="1" showInputMessage="1" showErrorMessage="1" sqref="X13 X21:X22 X86:X87 X35 X38:X39 X84 X64 X54 X33" xr:uid="{F0C1D095-7E66-46D9-A85F-66F520A2EB89}">
      <formula1>AN13:AQ13</formula1>
    </dataValidation>
    <dataValidation type="list" allowBlank="1" showInputMessage="1" showErrorMessage="1" sqref="X14 X31 X34 X36 X40 X53" xr:uid="{D98CD08E-0EE3-4406-9E21-0FBC679D511E}">
      <formula1>AN14:AP14</formula1>
    </dataValidation>
    <dataValidation type="list" allowBlank="1" showInputMessage="1" showErrorMessage="1" sqref="X23" xr:uid="{4C2207EF-568B-47C8-9151-2773F5E6F66A}">
      <formula1>$AO$23:$AP$23</formula1>
    </dataValidation>
    <dataValidation type="list" allowBlank="1" showInputMessage="1" showErrorMessage="1" sqref="X32" xr:uid="{1331576C-E601-4F1C-A204-89C25D50F13A}">
      <formula1>$AN$32:$AS$32</formula1>
    </dataValidation>
    <dataValidation type="list" allowBlank="1" showInputMessage="1" showErrorMessage="1" sqref="X70" xr:uid="{1D790340-B611-4D8C-807E-51EA2B2982E1}">
      <formula1>$AO$70:$AP$70</formula1>
    </dataValidation>
    <dataValidation type="list" allowBlank="1" showInputMessage="1" showErrorMessage="1" sqref="X71" xr:uid="{B6D98BD2-E44A-45F0-85A9-DD6C63C7B0A6}">
      <formula1>$AO$71:$AP$71</formula1>
    </dataValidation>
    <dataValidation type="list" allowBlank="1" showInputMessage="1" showErrorMessage="1" sqref="X18" xr:uid="{C3729FE3-E8D4-44CC-A21D-4515CC7AAB60}">
      <formula1>$AN$18:$AT$18</formula1>
    </dataValidation>
    <dataValidation type="list" allowBlank="1" showInputMessage="1" showErrorMessage="1" sqref="X83" xr:uid="{BB53C0A7-3B79-4BA3-8464-4D5B1B5FF110}">
      <formula1>$AN$83:$AR$83</formula1>
    </dataValidation>
    <dataValidation type="list" allowBlank="1" showInputMessage="1" showErrorMessage="1" sqref="X55" xr:uid="{75B977C5-2350-4159-ABB6-5AEF25C36DC6}">
      <formula1>$AN$55:$AR$55</formula1>
    </dataValidation>
    <dataValidation type="list" allowBlank="1" showInputMessage="1" showErrorMessage="1" sqref="X20" xr:uid="{392145BC-95C6-4582-97CF-A0374FD78752}">
      <formula1>$AN$20:$AS$20</formula1>
    </dataValidation>
    <dataValidation type="list" allowBlank="1" showInputMessage="1" showErrorMessage="1" sqref="X12 X19 X24:X27 X37 X44:X49 X56 X60:X63 X68:X69 X75:X79 X85 X91:X99" xr:uid="{023AEDB0-0A68-4401-A6A1-3F72B4EA8505}">
      <formula1>AIS_NA</formula1>
    </dataValidation>
  </dataValidations>
  <pageMargins left="0.25" right="0.25" top="0.75" bottom="0.75" header="0.3" footer="0.3"/>
  <pageSetup paperSize="9" scale="53" fitToHeight="0" orientation="landscape" r:id="rId1"/>
  <headerFooter>
    <oddFooter xml:space="preserve">&amp;L&amp;F&amp;C&amp;D&amp;RPage &amp;P of &amp;N  </oddFooter>
  </headerFooter>
  <ignoredErrors>
    <ignoredError sqref="V5" formula="1"/>
    <ignoredError sqref="X15:X17 X28:X30 X41:X43 X57:X59 X65:X67 X88:X90 X72:X74 X50:X52 X80:X82" unlocked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76" id="{26E8AFB8-EB8E-4549-91E2-6F0B5A9F2377}">
            <xm:f>$P$7='Assessment Details'!$N$23</xm:f>
            <x14:dxf>
              <font>
                <color theme="0"/>
              </font>
              <fill>
                <patternFill>
                  <bgColor theme="0"/>
                </patternFill>
              </fill>
              <border>
                <vertical/>
                <horizontal/>
              </border>
            </x14:dxf>
          </x14:cfRule>
          <xm:sqref>L4:P6 L44:M47 O44:P47 L49:M49 O49:P49 L8:P43 L50:P100</xm:sqref>
        </x14:conditionalFormatting>
        <x14:conditionalFormatting xmlns:xm="http://schemas.microsoft.com/office/excel/2006/main">
          <x14:cfRule type="expression" priority="75" id="{F07B10D0-2688-4D2D-9352-51F0145E8B48}">
            <xm:f>$P$7='Assessment Details'!$N$23</xm:f>
            <x14:dxf>
              <border>
                <left style="thin">
                  <color theme="0"/>
                </left>
                <right style="thin">
                  <color theme="0"/>
                </right>
                <top style="thin">
                  <color theme="0"/>
                </top>
                <bottom style="thin">
                  <color theme="0"/>
                </bottom>
                <vertical/>
                <horizontal/>
              </border>
            </x14:dxf>
          </x14:cfRule>
          <xm:sqref>L44:M47 O44:P47 L49:M49 O49:P49 L8:P43 L50:P100</xm:sqref>
        </x14:conditionalFormatting>
        <x14:conditionalFormatting xmlns:xm="http://schemas.microsoft.com/office/excel/2006/main">
          <x14:cfRule type="expression" priority="74" id="{1A60305C-32B7-4D4F-9804-69A16324B9A7}">
            <xm:f>$P$7='Assessment Details'!$N$23</xm:f>
            <x14:dxf>
              <border>
                <vertical/>
                <horizontal/>
              </border>
            </x14:dxf>
          </x14:cfRule>
          <xm:sqref>L8:P8</xm:sqref>
        </x14:conditionalFormatting>
        <x14:conditionalFormatting xmlns:xm="http://schemas.microsoft.com/office/excel/2006/main">
          <x14:cfRule type="expression" priority="73" id="{1B653B29-3D42-40C1-932B-B69CCB31110E}">
            <xm:f>$V$7='Assessment Details'!$N$23</xm:f>
            <x14:dxf>
              <font>
                <color theme="0"/>
              </font>
              <fill>
                <patternFill>
                  <bgColor theme="0"/>
                </patternFill>
              </fill>
            </x14:dxf>
          </x14:cfRule>
          <xm:sqref>R4:V6 R44:S47 U44:V47 R49:S49 U49:V49 R8:V43 R50:V100</xm:sqref>
        </x14:conditionalFormatting>
        <x14:conditionalFormatting xmlns:xm="http://schemas.microsoft.com/office/excel/2006/main">
          <x14:cfRule type="expression" priority="72" id="{EF72BBD8-21BF-47F9-A216-8FDC90D5599B}">
            <xm:f>$V$7='Assessment Details'!$N$23</xm:f>
            <x14:dxf>
              <border>
                <left style="thin">
                  <color theme="0"/>
                </left>
                <right style="thin">
                  <color theme="0"/>
                </right>
                <top style="thin">
                  <color theme="0"/>
                </top>
                <bottom style="thin">
                  <color theme="0"/>
                </bottom>
                <vertical/>
                <horizontal/>
              </border>
            </x14:dxf>
          </x14:cfRule>
          <xm:sqref>R44:S47 U44:V47 R49:S49 U49:V49 R8:V43 R50:V100</xm:sqref>
        </x14:conditionalFormatting>
        <x14:conditionalFormatting xmlns:xm="http://schemas.microsoft.com/office/excel/2006/main">
          <x14:cfRule type="expression" priority="53" id="{F8280F47-8FC8-4A1A-9E5F-8B50489C029F}">
            <xm:f>$P$7='Assessment Details'!$N$23</xm:f>
            <x14:dxf>
              <font>
                <color theme="0"/>
              </font>
              <fill>
                <patternFill>
                  <bgColor theme="0"/>
                </patternFill>
              </fill>
              <border>
                <vertical/>
                <horizontal/>
              </border>
            </x14:dxf>
          </x14:cfRule>
          <xm:sqref>L48:M48 O48:P48</xm:sqref>
        </x14:conditionalFormatting>
        <x14:conditionalFormatting xmlns:xm="http://schemas.microsoft.com/office/excel/2006/main">
          <x14:cfRule type="expression" priority="52" id="{37E528B0-9684-41A1-BADB-747F1A6A3CCC}">
            <xm:f>$P$7='Assessment Details'!$N$23</xm:f>
            <x14:dxf>
              <border>
                <left style="thin">
                  <color theme="0"/>
                </left>
                <right style="thin">
                  <color theme="0"/>
                </right>
                <top style="thin">
                  <color theme="0"/>
                </top>
                <bottom style="thin">
                  <color theme="0"/>
                </bottom>
                <vertical/>
                <horizontal/>
              </border>
            </x14:dxf>
          </x14:cfRule>
          <xm:sqref>L48:M48 O48:P48</xm:sqref>
        </x14:conditionalFormatting>
        <x14:conditionalFormatting xmlns:xm="http://schemas.microsoft.com/office/excel/2006/main">
          <x14:cfRule type="expression" priority="51" id="{042C2617-1E62-4C2A-BA30-629223D4A0D9}">
            <xm:f>$V$7='Assessment Details'!$N$23</xm:f>
            <x14:dxf>
              <font>
                <color theme="0"/>
              </font>
              <fill>
                <patternFill>
                  <bgColor theme="0"/>
                </patternFill>
              </fill>
            </x14:dxf>
          </x14:cfRule>
          <xm:sqref>R48:S48 U48:V48</xm:sqref>
        </x14:conditionalFormatting>
        <x14:conditionalFormatting xmlns:xm="http://schemas.microsoft.com/office/excel/2006/main">
          <x14:cfRule type="expression" priority="50" id="{12F59400-B995-47DD-9390-A2FE94D5B978}">
            <xm:f>$V$7='Assessment Details'!$N$23</xm:f>
            <x14:dxf>
              <border>
                <left style="thin">
                  <color theme="0"/>
                </left>
                <right style="thin">
                  <color theme="0"/>
                </right>
                <top style="thin">
                  <color theme="0"/>
                </top>
                <bottom style="thin">
                  <color theme="0"/>
                </bottom>
                <vertical/>
                <horizontal/>
              </border>
            </x14:dxf>
          </x14:cfRule>
          <xm:sqref>R48:S48 U48:V48</xm:sqref>
        </x14:conditionalFormatting>
        <x14:conditionalFormatting xmlns:xm="http://schemas.microsoft.com/office/excel/2006/main">
          <x14:cfRule type="expression" priority="20" id="{44A3DE4A-E7C1-432D-B1C5-43E156FE2EEC}">
            <xm:f>$P$7='Assessment Details'!$N$23</xm:f>
            <x14:dxf>
              <font>
                <color theme="0"/>
              </font>
              <fill>
                <patternFill>
                  <bgColor theme="0"/>
                </patternFill>
              </fill>
              <border>
                <vertical/>
                <horizontal/>
              </border>
            </x14:dxf>
          </x14:cfRule>
          <xm:sqref>N44:N49</xm:sqref>
        </x14:conditionalFormatting>
        <x14:conditionalFormatting xmlns:xm="http://schemas.microsoft.com/office/excel/2006/main">
          <x14:cfRule type="expression" priority="19" id="{B9E880E0-A1F5-49C6-A0AB-0E0C77DE1DB5}">
            <xm:f>$P$7='Assessment Details'!$N$23</xm:f>
            <x14:dxf>
              <border>
                <left style="thin">
                  <color theme="0"/>
                </left>
                <right style="thin">
                  <color theme="0"/>
                </right>
                <top style="thin">
                  <color theme="0"/>
                </top>
                <bottom style="thin">
                  <color theme="0"/>
                </bottom>
                <vertical/>
                <horizontal/>
              </border>
            </x14:dxf>
          </x14:cfRule>
          <xm:sqref>N44:N49</xm:sqref>
        </x14:conditionalFormatting>
        <x14:conditionalFormatting xmlns:xm="http://schemas.microsoft.com/office/excel/2006/main">
          <x14:cfRule type="expression" priority="13" id="{298FF334-4DB7-4037-AC51-CCBD53BC371E}">
            <xm:f>$V$7='Assessment Details'!$N$23</xm:f>
            <x14:dxf>
              <font>
                <color theme="0"/>
              </font>
              <fill>
                <patternFill>
                  <bgColor theme="0"/>
                </patternFill>
              </fill>
            </x14:dxf>
          </x14:cfRule>
          <xm:sqref>T44:T49</xm:sqref>
        </x14:conditionalFormatting>
        <x14:conditionalFormatting xmlns:xm="http://schemas.microsoft.com/office/excel/2006/main">
          <x14:cfRule type="expression" priority="12" id="{138C7480-E586-47BB-852D-AF06A9873F8E}">
            <xm:f>$V$7='Assessment Details'!$N$23</xm:f>
            <x14:dxf>
              <border>
                <left style="thin">
                  <color theme="0"/>
                </left>
                <right style="thin">
                  <color theme="0"/>
                </right>
                <top style="thin">
                  <color theme="0"/>
                </top>
                <bottom style="thin">
                  <color theme="0"/>
                </bottom>
                <vertical/>
                <horizontal/>
              </border>
            </x14:dxf>
          </x14:cfRule>
          <xm:sqref>T44:T49</xm:sqref>
        </x14:conditionalFormatting>
        <x14:conditionalFormatting xmlns:xm="http://schemas.microsoft.com/office/excel/2006/main">
          <x14:cfRule type="expression" priority="2" id="{3B48386A-6E88-435D-96E3-7ECE48307FC5}">
            <xm:f>$V$7='Assessment Details'!$N$23</xm:f>
            <x14:dxf>
              <font>
                <color theme="0"/>
              </font>
              <fill>
                <patternFill>
                  <bgColor theme="0"/>
                </patternFill>
              </fill>
            </x14:dxf>
          </x14:cfRule>
          <xm:sqref>X8</xm:sqref>
        </x14:conditionalFormatting>
        <x14:conditionalFormatting xmlns:xm="http://schemas.microsoft.com/office/excel/2006/main">
          <x14:cfRule type="expression" priority="1" id="{DD02E5C0-2556-4DD5-BD85-B262FB3B1D1C}">
            <xm:f>$V$7='Assessment Details'!$N$23</xm:f>
            <x14:dxf>
              <border>
                <left style="thin">
                  <color theme="0"/>
                </left>
                <right style="thin">
                  <color theme="0"/>
                </right>
                <top style="thin">
                  <color theme="0"/>
                </top>
                <bottom style="thin">
                  <color theme="0"/>
                </bottom>
                <vertical/>
                <horizontal/>
              </border>
            </x14:dxf>
          </x14:cfRule>
          <xm:sqref>X8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173"/>
  <sheetViews>
    <sheetView zoomScale="85" zoomScaleNormal="85" workbookViewId="0">
      <pane xSplit="3" topLeftCell="D1" activePane="topRight" state="frozen"/>
      <selection pane="topRight" activeCell="D45" sqref="D45"/>
    </sheetView>
  </sheetViews>
  <sheetFormatPr defaultColWidth="9.140625" defaultRowHeight="15" x14ac:dyDescent="0.25"/>
  <cols>
    <col min="1" max="1" width="4.140625" style="106" customWidth="1"/>
    <col min="2" max="2" width="4.28515625" style="106" customWidth="1"/>
    <col min="3" max="3" width="7.28515625" style="106" bestFit="1" customWidth="1"/>
    <col min="4" max="4" width="60.28515625" style="106" bestFit="1" customWidth="1"/>
    <col min="5" max="9" width="11.28515625" style="106" customWidth="1"/>
    <col min="10" max="10" width="5.7109375" style="106" customWidth="1"/>
    <col min="11" max="11" width="15.7109375" style="106" customWidth="1"/>
    <col min="12" max="12" width="7" style="106" customWidth="1"/>
    <col min="13" max="13" width="5.5703125" style="106" customWidth="1"/>
    <col min="14" max="14" width="6.5703125" style="106" customWidth="1"/>
    <col min="15" max="15" width="6.85546875" style="106" customWidth="1"/>
    <col min="16" max="16" width="9" style="106" bestFit="1" customWidth="1"/>
    <col min="17" max="17" width="5.7109375" style="106" customWidth="1"/>
    <col min="18" max="18" width="14" style="106" customWidth="1"/>
    <col min="19" max="19" width="6.85546875" style="106" customWidth="1"/>
    <col min="20" max="20" width="14.5703125" style="106" customWidth="1"/>
    <col min="21" max="21" width="17.5703125" style="106" customWidth="1"/>
    <col min="22" max="22" width="8.42578125" style="106" customWidth="1"/>
    <col min="23" max="23" width="14.42578125" style="106" customWidth="1"/>
    <col min="24" max="24" width="10.42578125" style="106" customWidth="1"/>
    <col min="25" max="25" width="9.5703125" style="106" customWidth="1"/>
    <col min="26" max="26" width="9.42578125" style="106" customWidth="1"/>
    <col min="27" max="31" width="4.28515625" style="106" customWidth="1"/>
    <col min="32" max="32" width="3.7109375" style="106" customWidth="1"/>
    <col min="33" max="37" width="4.28515625" style="106" customWidth="1"/>
    <col min="38" max="38" width="3.140625" style="106" customWidth="1"/>
    <col min="39" max="42" width="4" style="106" customWidth="1"/>
    <col min="43" max="43" width="4.28515625" style="106" customWidth="1"/>
    <col min="44" max="44" width="10.85546875" style="106" customWidth="1"/>
    <col min="45" max="45" width="26.7109375" style="106" customWidth="1"/>
    <col min="46" max="46" width="5.85546875" style="106" customWidth="1"/>
    <col min="47" max="47" width="6.7109375" style="106" customWidth="1"/>
    <col min="48" max="48" width="26.7109375" style="106" customWidth="1"/>
    <col min="49" max="49" width="6.5703125" style="106" customWidth="1"/>
    <col min="50" max="50" width="6.7109375" style="106" customWidth="1"/>
    <col min="51" max="51" width="26.7109375" style="106" customWidth="1"/>
    <col min="52" max="52" width="5.7109375" style="106" customWidth="1"/>
    <col min="53" max="54" width="9.140625" style="106" customWidth="1"/>
    <col min="55" max="55" width="12.7109375" style="106" customWidth="1"/>
    <col min="56" max="56" width="9.140625" style="106" customWidth="1"/>
    <col min="57" max="57" width="12.7109375" style="106" customWidth="1"/>
    <col min="58" max="58" width="7.5703125" style="106" customWidth="1"/>
    <col min="59" max="59" width="12.5703125" style="106" customWidth="1"/>
    <col min="60" max="61" width="9.140625" style="106" customWidth="1"/>
    <col min="62" max="62" width="17.140625" style="106" customWidth="1"/>
    <col min="63" max="63" width="9.140625" style="106"/>
    <col min="64" max="64" width="30.7109375" style="106" bestFit="1" customWidth="1"/>
    <col min="65" max="65" width="14.7109375" style="106" bestFit="1" customWidth="1"/>
    <col min="66" max="67" width="9.140625" style="106"/>
    <col min="68" max="68" width="20.85546875" style="106" bestFit="1" customWidth="1"/>
    <col min="69" max="69" width="11.28515625" style="106" bestFit="1" customWidth="1"/>
    <col min="70" max="70" width="8.7109375" style="106" bestFit="1" customWidth="1"/>
    <col min="71" max="71" width="12.7109375" style="106" bestFit="1" customWidth="1"/>
    <col min="72" max="72" width="9.140625" style="106"/>
    <col min="73" max="73" width="14.28515625" style="106" bestFit="1" customWidth="1"/>
    <col min="74" max="74" width="9.140625" style="106"/>
    <col min="75" max="75" width="12.28515625" style="106" customWidth="1"/>
    <col min="76" max="16384" width="9.140625" style="106"/>
  </cols>
  <sheetData>
    <row r="1" spans="1:78" x14ac:dyDescent="0.25">
      <c r="C1" s="106">
        <v>1</v>
      </c>
      <c r="D1" s="106">
        <v>2</v>
      </c>
      <c r="E1" s="106">
        <v>3</v>
      </c>
      <c r="F1" s="106">
        <v>4</v>
      </c>
      <c r="G1" s="106">
        <v>5</v>
      </c>
      <c r="H1" s="106">
        <v>6</v>
      </c>
      <c r="I1" s="106">
        <v>7</v>
      </c>
      <c r="J1" s="106">
        <v>8</v>
      </c>
      <c r="K1" s="106">
        <v>9</v>
      </c>
      <c r="L1" s="106">
        <v>10</v>
      </c>
      <c r="M1" s="106">
        <v>11</v>
      </c>
      <c r="N1" s="106">
        <v>12</v>
      </c>
      <c r="O1" s="106">
        <v>13</v>
      </c>
      <c r="P1" s="106">
        <v>14</v>
      </c>
      <c r="Q1" s="106">
        <v>15</v>
      </c>
      <c r="R1" s="106">
        <v>16</v>
      </c>
      <c r="S1" s="106">
        <v>17</v>
      </c>
      <c r="T1" s="106">
        <v>18</v>
      </c>
      <c r="U1" s="106">
        <v>19</v>
      </c>
      <c r="V1" s="106">
        <v>20</v>
      </c>
      <c r="W1" s="106">
        <v>21</v>
      </c>
      <c r="X1" s="106">
        <v>22</v>
      </c>
      <c r="Y1" s="106">
        <v>23</v>
      </c>
      <c r="Z1" s="106">
        <v>24</v>
      </c>
      <c r="AA1" s="106">
        <v>25</v>
      </c>
      <c r="AB1" s="106">
        <v>26</v>
      </c>
      <c r="AC1" s="106">
        <v>27</v>
      </c>
      <c r="AD1" s="106">
        <v>28</v>
      </c>
      <c r="AE1" s="106">
        <v>29</v>
      </c>
      <c r="AF1" s="106">
        <v>30</v>
      </c>
      <c r="AG1" s="106">
        <v>31</v>
      </c>
      <c r="AH1" s="106">
        <v>32</v>
      </c>
      <c r="AI1" s="106">
        <v>33</v>
      </c>
      <c r="AJ1" s="106">
        <v>34</v>
      </c>
      <c r="AK1" s="106">
        <v>35</v>
      </c>
      <c r="AL1" s="106">
        <v>36</v>
      </c>
      <c r="AM1" s="106">
        <v>37</v>
      </c>
      <c r="AN1" s="106">
        <v>38</v>
      </c>
      <c r="AO1" s="106">
        <v>39</v>
      </c>
      <c r="AP1" s="106">
        <v>40</v>
      </c>
      <c r="AQ1" s="106">
        <v>41</v>
      </c>
      <c r="AR1" s="106">
        <v>42</v>
      </c>
      <c r="AS1" s="106">
        <v>43</v>
      </c>
      <c r="AT1" s="106">
        <v>44</v>
      </c>
      <c r="AU1" s="106">
        <v>45</v>
      </c>
      <c r="AV1" s="106">
        <v>46</v>
      </c>
      <c r="AW1" s="106">
        <v>47</v>
      </c>
      <c r="AX1" s="106">
        <v>48</v>
      </c>
      <c r="AY1" s="106">
        <v>49</v>
      </c>
      <c r="AZ1" s="106">
        <v>50</v>
      </c>
    </row>
    <row r="2" spans="1:78" ht="15.75" thickBot="1" x14ac:dyDescent="0.3">
      <c r="A2" s="167" t="s">
        <v>91</v>
      </c>
      <c r="B2" s="167"/>
      <c r="C2" s="167"/>
      <c r="D2" s="167"/>
      <c r="E2" s="167"/>
      <c r="F2" s="167"/>
      <c r="G2" s="167"/>
      <c r="H2" s="167"/>
      <c r="I2" s="167"/>
    </row>
    <row r="3" spans="1:78" ht="15.75" thickBot="1" x14ac:dyDescent="0.3">
      <c r="F3" s="106" t="s">
        <v>524</v>
      </c>
      <c r="BL3" s="860" t="s">
        <v>543</v>
      </c>
      <c r="BM3" s="861" t="s">
        <v>529</v>
      </c>
      <c r="BO3" s="855" t="s">
        <v>549</v>
      </c>
      <c r="BP3" s="106">
        <v>0</v>
      </c>
      <c r="BQ3" s="106" t="s">
        <v>14</v>
      </c>
    </row>
    <row r="4" spans="1:78" ht="15.75" thickBot="1" x14ac:dyDescent="0.3">
      <c r="D4" s="168" t="s">
        <v>104</v>
      </c>
      <c r="F4" s="106" t="s">
        <v>525</v>
      </c>
      <c r="G4" s="169"/>
      <c r="I4" s="170"/>
      <c r="R4" s="442" t="s">
        <v>405</v>
      </c>
      <c r="S4" s="443" t="str">
        <f>'Manuell filtrering og justering'!H2</f>
        <v>No</v>
      </c>
      <c r="BL4" s="306" t="str">
        <f>'Pre-Assessment Estimator'!AF4</f>
        <v>Nei</v>
      </c>
      <c r="BM4" s="291" t="str">
        <f>'Pre-Assessment Estimator'!AF7</f>
        <v>Ja</v>
      </c>
      <c r="BO4" s="862" t="s">
        <v>551</v>
      </c>
      <c r="BP4" s="106">
        <v>1</v>
      </c>
    </row>
    <row r="5" spans="1:78" ht="15.75" thickBot="1" x14ac:dyDescent="0.3">
      <c r="D5" s="171" t="str">
        <f>ADBT0</f>
        <v>Office</v>
      </c>
      <c r="F5" s="106" t="s">
        <v>15</v>
      </c>
      <c r="AQ5" s="172"/>
    </row>
    <row r="6" spans="1:78" ht="15.75" thickBot="1" x14ac:dyDescent="0.3">
      <c r="AQ6" s="172"/>
    </row>
    <row r="7" spans="1:78" ht="51" customHeight="1" thickBot="1" x14ac:dyDescent="0.3">
      <c r="C7" s="173" t="s">
        <v>103</v>
      </c>
      <c r="D7" s="174" t="s">
        <v>90</v>
      </c>
      <c r="E7" s="915" t="s">
        <v>241</v>
      </c>
      <c r="F7" s="916"/>
      <c r="G7" s="916"/>
      <c r="H7" s="916"/>
      <c r="I7" s="916"/>
      <c r="K7" s="61" t="s">
        <v>246</v>
      </c>
      <c r="L7" s="917" t="s">
        <v>247</v>
      </c>
      <c r="M7" s="918"/>
      <c r="N7" s="918"/>
      <c r="O7" s="918"/>
      <c r="P7" s="919"/>
      <c r="Q7" s="175" t="s">
        <v>230</v>
      </c>
      <c r="R7" s="63" t="s">
        <v>16</v>
      </c>
      <c r="T7" s="63" t="s">
        <v>85</v>
      </c>
      <c r="U7" s="63" t="s">
        <v>86</v>
      </c>
      <c r="W7" s="63" t="s">
        <v>248</v>
      </c>
      <c r="X7" s="63" t="s">
        <v>249</v>
      </c>
      <c r="Y7" s="63" t="s">
        <v>250</v>
      </c>
      <c r="AA7" s="920" t="s">
        <v>255</v>
      </c>
      <c r="AB7" s="921"/>
      <c r="AC7" s="921"/>
      <c r="AD7" s="921"/>
      <c r="AE7" s="922"/>
      <c r="AG7" s="920" t="s">
        <v>10</v>
      </c>
      <c r="AH7" s="921"/>
      <c r="AI7" s="921"/>
      <c r="AJ7" s="921"/>
      <c r="AK7" s="922"/>
      <c r="AM7" s="920" t="str">
        <f>"Chosen "&amp;D5</f>
        <v>Chosen Office</v>
      </c>
      <c r="AN7" s="921"/>
      <c r="AO7" s="921"/>
      <c r="AP7" s="921"/>
      <c r="AQ7" s="921"/>
      <c r="AR7" s="903" t="s">
        <v>248</v>
      </c>
      <c r="AS7" s="904"/>
      <c r="AT7" s="904"/>
      <c r="AU7" s="905" t="s">
        <v>249</v>
      </c>
      <c r="AV7" s="901"/>
      <c r="AW7" s="902"/>
      <c r="AX7" s="900" t="s">
        <v>250</v>
      </c>
      <c r="AY7" s="901"/>
      <c r="AZ7" s="902"/>
      <c r="BK7" s="301" t="s">
        <v>544</v>
      </c>
      <c r="BL7" s="301"/>
      <c r="BM7" s="301"/>
      <c r="BN7" s="301"/>
      <c r="BO7" s="301"/>
      <c r="BP7" s="301"/>
      <c r="BQ7" s="864" t="s">
        <v>554</v>
      </c>
      <c r="BR7" s="864" t="s">
        <v>556</v>
      </c>
      <c r="BS7" s="301" t="s">
        <v>553</v>
      </c>
      <c r="BT7" s="301"/>
      <c r="BU7" s="301"/>
      <c r="BV7" s="301"/>
      <c r="BW7" s="869" t="s">
        <v>579</v>
      </c>
      <c r="BX7" s="301"/>
      <c r="BY7" s="301"/>
      <c r="BZ7" s="301"/>
    </row>
    <row r="8" spans="1:78" ht="15.75" thickBot="1" x14ac:dyDescent="0.3">
      <c r="A8" s="106">
        <v>1</v>
      </c>
      <c r="C8" s="176"/>
      <c r="D8" s="177" t="s">
        <v>66</v>
      </c>
      <c r="E8" s="178" t="str">
        <f>ADBT2</f>
        <v>Office</v>
      </c>
      <c r="F8" s="178" t="str">
        <f>ADBT3</f>
        <v>Retail</v>
      </c>
      <c r="G8" s="178" t="str">
        <f>ADBT12</f>
        <v>Residential</v>
      </c>
      <c r="H8" s="178" t="str">
        <f>ADBT1</f>
        <v>Industrial</v>
      </c>
      <c r="I8" s="179" t="str">
        <f>ADBT8</f>
        <v>Education</v>
      </c>
      <c r="K8" s="180" t="str">
        <f>$D$5</f>
        <v>Office</v>
      </c>
      <c r="L8" s="181"/>
      <c r="M8" s="182"/>
      <c r="N8" s="182"/>
      <c r="O8" s="182"/>
      <c r="P8" s="444" t="s">
        <v>405</v>
      </c>
      <c r="Q8" s="183" t="s">
        <v>230</v>
      </c>
      <c r="R8" s="184"/>
      <c r="W8" s="85"/>
      <c r="X8" s="64"/>
      <c r="Y8" s="64"/>
      <c r="AA8" s="185" t="s">
        <v>92</v>
      </c>
      <c r="AB8" s="186" t="s">
        <v>93</v>
      </c>
      <c r="AC8" s="186" t="s">
        <v>94</v>
      </c>
      <c r="AD8" s="186" t="s">
        <v>254</v>
      </c>
      <c r="AE8" s="187" t="s">
        <v>95</v>
      </c>
      <c r="AG8" s="176" t="s">
        <v>92</v>
      </c>
      <c r="AH8" s="177" t="s">
        <v>93</v>
      </c>
      <c r="AI8" s="177" t="s">
        <v>94</v>
      </c>
      <c r="AJ8" s="177" t="s">
        <v>254</v>
      </c>
      <c r="AK8" s="188" t="s">
        <v>95</v>
      </c>
      <c r="AM8" s="176" t="s">
        <v>92</v>
      </c>
      <c r="AN8" s="177" t="s">
        <v>93</v>
      </c>
      <c r="AO8" s="177" t="s">
        <v>94</v>
      </c>
      <c r="AP8" s="177" t="s">
        <v>254</v>
      </c>
      <c r="AQ8" s="189" t="s">
        <v>95</v>
      </c>
      <c r="AR8" s="190" t="s">
        <v>256</v>
      </c>
      <c r="AS8" s="191" t="s">
        <v>55</v>
      </c>
      <c r="AT8" s="191"/>
      <c r="AU8" s="192" t="s">
        <v>256</v>
      </c>
      <c r="AV8" s="193" t="s">
        <v>55</v>
      </c>
      <c r="AW8" s="194"/>
      <c r="AX8" s="195" t="s">
        <v>256</v>
      </c>
      <c r="AY8" s="193" t="s">
        <v>55</v>
      </c>
      <c r="AZ8" s="196"/>
      <c r="BB8" s="106">
        <v>5</v>
      </c>
      <c r="BC8" s="106" t="s">
        <v>83</v>
      </c>
      <c r="BK8" s="177"/>
      <c r="BL8" s="177" t="str">
        <f>D8</f>
        <v>Management</v>
      </c>
      <c r="BM8" s="177" t="s">
        <v>547</v>
      </c>
      <c r="BN8" s="177" t="s">
        <v>545</v>
      </c>
      <c r="BO8" s="177" t="s">
        <v>555</v>
      </c>
      <c r="BP8" s="177" t="s">
        <v>552</v>
      </c>
      <c r="BU8" s="106" t="s">
        <v>548</v>
      </c>
    </row>
    <row r="9" spans="1:78" x14ac:dyDescent="0.25">
      <c r="A9" s="106">
        <v>2</v>
      </c>
      <c r="C9" s="197" t="s">
        <v>96</v>
      </c>
      <c r="D9" s="356" t="s">
        <v>341</v>
      </c>
      <c r="E9" s="351">
        <v>4</v>
      </c>
      <c r="F9" s="351">
        <v>4</v>
      </c>
      <c r="G9" s="351">
        <v>4</v>
      </c>
      <c r="H9" s="351">
        <v>4</v>
      </c>
      <c r="I9" s="352">
        <v>4</v>
      </c>
      <c r="K9" s="201">
        <f>HLOOKUP($D$5,$E$8:$I$99,$A9,FALSE)</f>
        <v>4</v>
      </c>
      <c r="L9" s="202"/>
      <c r="M9" s="203"/>
      <c r="N9" s="203"/>
      <c r="O9" s="203">
        <f>'Manuell filtrering og justering'!D7</f>
        <v>0</v>
      </c>
      <c r="P9" s="204">
        <f>VLOOKUP(C9,'Manuell filtrering og justering'!$A$7:$G$97,'Manuell filtrering og justering'!$G$1,FALSE)</f>
        <v>4</v>
      </c>
      <c r="Q9" s="205">
        <f>IF(SUM(L9:O9)&gt;K9,K9,SUM(L9:O9))</f>
        <v>0</v>
      </c>
      <c r="R9" s="206">
        <f>IF($S$4='Manuell filtrering og justering'!$I$2,P9,(K9-Q9))</f>
        <v>4</v>
      </c>
      <c r="T9" s="207">
        <f>(BP_32/Man_Credits)*Man01_credits</f>
        <v>2.4E-2</v>
      </c>
      <c r="U9" s="207">
        <f>IF(R9=0,0,(Man01_38/Man01_credits)*W9)</f>
        <v>0</v>
      </c>
      <c r="W9" s="208">
        <f>IF(VLOOKUP(D9,'Pre-Assessment Estimator'!$C$10:$W$100,'Pre-Assessment Estimator'!$E$2,FALSE)&gt;R9,R9,VLOOKUP(D9,'Pre-Assessment Estimator'!$C$10:$W$100,'Pre-Assessment Estimator'!$E$2,FALSE))</f>
        <v>0</v>
      </c>
      <c r="X9" s="208">
        <f>IF(VLOOKUP(D9,'Pre-Assessment Estimator'!$C$10:$W$100,'Pre-Assessment Estimator'!$L$2,FALSE)&gt;R9,R9,VLOOKUP(D9,'Pre-Assessment Estimator'!$C$10:$W$100,'Pre-Assessment Estimator'!$L$2,FALSE))</f>
        <v>0</v>
      </c>
      <c r="Y9" s="208">
        <f>IF(VLOOKUP(D9,'Pre-Assessment Estimator'!$C$10:$W$100,'Pre-Assessment Estimator'!$R$2,FALSE)&gt;R9,R9,VLOOKUP(D9,'Pre-Assessment Estimator'!$C$10:$W$100,'Pre-Assessment Estimator'!$R$2,FALSE))</f>
        <v>0</v>
      </c>
      <c r="AA9" s="209"/>
      <c r="AB9" s="358"/>
      <c r="AC9" s="358"/>
      <c r="AD9" s="358"/>
      <c r="AE9" s="210"/>
      <c r="AF9" s="359"/>
      <c r="AG9" s="209"/>
      <c r="AH9" s="358"/>
      <c r="AI9" s="358"/>
      <c r="AJ9" s="358"/>
      <c r="AK9" s="210"/>
      <c r="AL9" s="172"/>
      <c r="AM9" s="211"/>
      <c r="AN9" s="212"/>
      <c r="AO9" s="212"/>
      <c r="AP9" s="212"/>
      <c r="AQ9" s="213">
        <f t="shared" ref="AQ9:AQ69" si="0">IF($D$5=$G$8,AK9,AE9)</f>
        <v>0</v>
      </c>
      <c r="AR9" s="211">
        <f>IF(AQ9=0,9,IF(W9&gt;=AQ9,5,IF(W9&gt;=AP9,4,IF(W9&gt;=AO9,3,IF(W9&gt;=AN9,2,IF(W9&lt;AM9,0,1))))))</f>
        <v>9</v>
      </c>
      <c r="AS9" s="214" t="str">
        <f t="shared" ref="AS9:AS15" si="1">VLOOKUP(AR9,$BB$8:$BC$14,2,FALSE)</f>
        <v>N/A</v>
      </c>
      <c r="AT9" s="215"/>
      <c r="AU9" s="211">
        <f t="shared" ref="AU9:AU15" si="2">IF(AQ9=0,9,IF(X9&gt;=AQ9,5,IF(X9&gt;=AP9,4,IF(X9&gt;=AO9,3,IF(X9&gt;=AN9,2,IF(X9&lt;AM9,0,1))))))</f>
        <v>9</v>
      </c>
      <c r="AV9" s="214" t="str">
        <f t="shared" ref="AV9:AV15" si="3">VLOOKUP(AU9,$BB$8:$BC$14,2,FALSE)</f>
        <v>N/A</v>
      </c>
      <c r="AW9" s="215"/>
      <c r="AX9" s="211">
        <f>IF(AQ9=0,9,IF(Y9&gt;=AQ9,5,IF(Y9&gt;=AP9,4,IF(Y9&gt;=AO9,3,IF(Y9&gt;=AN9,2,IF(Y9&lt;AM9,0,1))))))</f>
        <v>9</v>
      </c>
      <c r="AY9" s="214" t="str">
        <f t="shared" ref="AY9:AY15" si="4">VLOOKUP(AX9,$BB$8:$BC$14,2,FALSE)</f>
        <v>N/A</v>
      </c>
      <c r="AZ9" s="215"/>
      <c r="BB9" s="106">
        <v>4</v>
      </c>
      <c r="BC9" s="106" t="s">
        <v>82</v>
      </c>
      <c r="BK9" s="858" t="str">
        <f>C9</f>
        <v>Man 01</v>
      </c>
      <c r="BL9" s="858" t="str">
        <f>IFERROR(VLOOKUP($D9,'Pre-Assessment Estimator'!$C$10:$X$100,'Pre-Assessment Estimator'!X$2,FALSE),"")</f>
        <v>No</v>
      </c>
      <c r="BM9" s="356">
        <f>IFERROR(VLOOKUP($D9,'Pre-Assessment Estimator'!$C$10:$AE$100,'Pre-Assessment Estimator'!AE$2,FALSE),"")</f>
        <v>0</v>
      </c>
      <c r="BN9" s="356">
        <f>IFERROR(VLOOKUP($BL9,$D$140:$G$173,E$138,FALSE),"")</f>
        <v>1</v>
      </c>
      <c r="BO9" s="356">
        <f t="shared" ref="BO9:BQ9" si="5">IFERROR(VLOOKUP($BL9,$D$140:$G$173,F$138,FALSE),"")</f>
        <v>0</v>
      </c>
      <c r="BP9" s="356"/>
      <c r="BQ9" s="106" t="str">
        <f t="shared" si="5"/>
        <v/>
      </c>
    </row>
    <row r="10" spans="1:78" x14ac:dyDescent="0.25">
      <c r="A10" s="106">
        <v>3</v>
      </c>
      <c r="C10" s="202" t="s">
        <v>97</v>
      </c>
      <c r="D10" s="354" t="s">
        <v>342</v>
      </c>
      <c r="E10" s="350">
        <v>4</v>
      </c>
      <c r="F10" s="350">
        <v>4</v>
      </c>
      <c r="G10" s="350">
        <v>4</v>
      </c>
      <c r="H10" s="350">
        <v>4</v>
      </c>
      <c r="I10" s="355">
        <v>4</v>
      </c>
      <c r="K10" s="218">
        <f t="shared" ref="K10:K16" si="6">HLOOKUP($D$5,$E$8:$I$99,$A10,FALSE)</f>
        <v>4</v>
      </c>
      <c r="L10" s="202"/>
      <c r="M10" s="203"/>
      <c r="N10" s="203"/>
      <c r="O10" s="203">
        <f>'Manuell filtrering og justering'!D8</f>
        <v>0</v>
      </c>
      <c r="P10" s="204">
        <f>VLOOKUP(C10,'Manuell filtrering og justering'!$A$7:$G$97,'Manuell filtrering og justering'!$G$1,FALSE)</f>
        <v>4</v>
      </c>
      <c r="Q10" s="205">
        <f t="shared" ref="Q10:Q15" si="7">IF(SUM(L10:O10)&gt;K10,K10,SUM(L10:O10))</f>
        <v>0</v>
      </c>
      <c r="R10" s="206">
        <f>IF($S$4='Manuell filtrering og justering'!$I$2,P10,(K10-Q10))</f>
        <v>4</v>
      </c>
      <c r="T10" s="207">
        <f>(BP_32/Man_Credits)*Man02_credits</f>
        <v>2.4E-2</v>
      </c>
      <c r="U10" s="207">
        <f>IF(R10=0,0,(Man02_11/Man02_credits)*Man02_user)</f>
        <v>0</v>
      </c>
      <c r="W10" s="208">
        <f>IF(VLOOKUP(D10,'Pre-Assessment Estimator'!$C$10:$W$100,'Pre-Assessment Estimator'!$E$2,FALSE)&gt;R10,R10,VLOOKUP(D10,'Pre-Assessment Estimator'!$C$10:$W$100,'Pre-Assessment Estimator'!$E$2,FALSE))</f>
        <v>0</v>
      </c>
      <c r="X10" s="208">
        <f>IF(VLOOKUP(D10,'Pre-Assessment Estimator'!$C$10:$W$100,'Pre-Assessment Estimator'!$L$2,FALSE)&gt;R10,R10,VLOOKUP(D10,'Pre-Assessment Estimator'!$C$10:$W$100,'Pre-Assessment Estimator'!$L$2,FALSE))</f>
        <v>0</v>
      </c>
      <c r="Y10" s="208">
        <f>IF(VLOOKUP(D10,'Pre-Assessment Estimator'!$C$10:$W$100,'Pre-Assessment Estimator'!$R$2,FALSE)&gt;R10,R10,VLOOKUP(D10,'Pre-Assessment Estimator'!$C$10:$W$100,'Pre-Assessment Estimator'!$R$2,FALSE))</f>
        <v>0</v>
      </c>
      <c r="AA10" s="360"/>
      <c r="AB10" s="219"/>
      <c r="AC10" s="219"/>
      <c r="AD10" s="219"/>
      <c r="AE10" s="224"/>
      <c r="AF10" s="359"/>
      <c r="AG10" s="360"/>
      <c r="AH10" s="219"/>
      <c r="AI10" s="219"/>
      <c r="AJ10" s="219"/>
      <c r="AK10" s="224"/>
      <c r="AL10" s="172"/>
      <c r="AM10" s="220"/>
      <c r="AN10" s="221"/>
      <c r="AO10" s="221"/>
      <c r="AP10" s="221"/>
      <c r="AQ10" s="222">
        <f t="shared" si="0"/>
        <v>0</v>
      </c>
      <c r="AR10" s="220">
        <f>IF(AQ10=0,9,IF(W10&gt;=AQ10,5,IF(W10&gt;=AP10,4,IF(W10&gt;=AO10,3,IF(W10&gt;=AN10,2,IF(W10&lt;AM10,0,1))))))</f>
        <v>9</v>
      </c>
      <c r="AS10" s="203" t="str">
        <f t="shared" si="1"/>
        <v>N/A</v>
      </c>
      <c r="AT10" s="223"/>
      <c r="AU10" s="220">
        <f t="shared" si="2"/>
        <v>9</v>
      </c>
      <c r="AV10" s="203" t="str">
        <f t="shared" si="3"/>
        <v>N/A</v>
      </c>
      <c r="AW10" s="223"/>
      <c r="AX10" s="220">
        <f t="shared" ref="AX10:AX70" si="8">IF(AQ10=0,9,IF(Y10&gt;=AQ10,5,IF(Y10&gt;=AP10,4,IF(Y10&gt;=AO10,3,IF(Y10&gt;=AN10,2,IF(Y10&lt;AM10,0,1))))))</f>
        <v>9</v>
      </c>
      <c r="AY10" s="203" t="str">
        <f t="shared" si="4"/>
        <v>N/A</v>
      </c>
      <c r="AZ10" s="223"/>
      <c r="BB10" s="106">
        <v>3</v>
      </c>
      <c r="BC10" s="106" t="s">
        <v>81</v>
      </c>
      <c r="BK10" s="859" t="str">
        <f t="shared" ref="BK10:BK13" si="9">C10</f>
        <v>Man 02</v>
      </c>
      <c r="BL10" s="859" t="str">
        <f>IFERROR(VLOOKUP($D10,'Pre-Assessment Estimator'!$C$10:$X$100,'Pre-Assessment Estimator'!X$2,FALSE),"")</f>
        <v>No</v>
      </c>
      <c r="BM10" s="354">
        <f>IFERROR(VLOOKUP($D10,'Pre-Assessment Estimator'!$C$10:$AE$100,'Pre-Assessment Estimator'!AE$2,FALSE),"")</f>
        <v>0</v>
      </c>
      <c r="BN10" s="354">
        <f t="shared" ref="BN10:BN73" si="10">IFERROR(VLOOKUP($BL10,$D$140:$G$173,E$138,FALSE),"")</f>
        <v>1</v>
      </c>
      <c r="BO10" s="354">
        <f t="shared" ref="BO10:BO73" si="11">IFERROR(VLOOKUP($BL10,$D$140:$G$173,F$138,FALSE),"")</f>
        <v>0</v>
      </c>
      <c r="BP10" s="354"/>
      <c r="BQ10" s="106" t="str">
        <f t="shared" ref="BQ10:BQ73" si="12">IFERROR(VLOOKUP($BL10,$D$140:$G$173,H$138,FALSE),"")</f>
        <v/>
      </c>
    </row>
    <row r="11" spans="1:78" x14ac:dyDescent="0.25">
      <c r="A11" s="106">
        <v>4</v>
      </c>
      <c r="C11" s="202" t="s">
        <v>98</v>
      </c>
      <c r="D11" s="354" t="s">
        <v>343</v>
      </c>
      <c r="E11" s="350">
        <v>6</v>
      </c>
      <c r="F11" s="350">
        <v>6</v>
      </c>
      <c r="G11" s="350">
        <v>6</v>
      </c>
      <c r="H11" s="350">
        <v>6</v>
      </c>
      <c r="I11" s="355">
        <v>6</v>
      </c>
      <c r="K11" s="218">
        <f t="shared" si="6"/>
        <v>6</v>
      </c>
      <c r="L11" s="202"/>
      <c r="M11" s="203"/>
      <c r="N11" s="203"/>
      <c r="O11" s="203">
        <f>'Manuell filtrering og justering'!D9</f>
        <v>0</v>
      </c>
      <c r="P11" s="204">
        <f>VLOOKUP(C11,'Manuell filtrering og justering'!$A$7:$G$97,'Manuell filtrering og justering'!$G$1,FALSE)</f>
        <v>6</v>
      </c>
      <c r="Q11" s="205">
        <f t="shared" si="7"/>
        <v>0</v>
      </c>
      <c r="R11" s="206">
        <f>IF($S$4='Manuell filtrering og justering'!$I$2,P11,(K11-Q11))</f>
        <v>6</v>
      </c>
      <c r="T11" s="207">
        <f>(BP_32/Man_Credits)*Man03_credits</f>
        <v>3.6000000000000004E-2</v>
      </c>
      <c r="U11" s="207">
        <f>IF(R11=0,0,(Man03_12/Man03_credits)*Man03_user)</f>
        <v>0</v>
      </c>
      <c r="W11" s="208">
        <f>IF(VLOOKUP(D11,'Pre-Assessment Estimator'!$C$10:$W$100,'Pre-Assessment Estimator'!$E$2,FALSE)&gt;R11,R11,VLOOKUP(D11,'Pre-Assessment Estimator'!$C$10:$W$100,'Pre-Assessment Estimator'!$E$2,FALSE))</f>
        <v>0</v>
      </c>
      <c r="X11" s="208">
        <f>IF(VLOOKUP(D11,'Pre-Assessment Estimator'!$C$10:$W$100,'Pre-Assessment Estimator'!$L$2,FALSE)&gt;R11,R11,VLOOKUP(D11,'Pre-Assessment Estimator'!$C$10:$W$100,'Pre-Assessment Estimator'!$L$2,FALSE))</f>
        <v>0</v>
      </c>
      <c r="Y11" s="208">
        <f>IF(VLOOKUP(D11,'Pre-Assessment Estimator'!$C$10:$W$100,'Pre-Assessment Estimator'!$R$2,FALSE)&gt;R11,R11,VLOOKUP(D11,'Pre-Assessment Estimator'!$C$10:$W$100,'Pre-Assessment Estimator'!$R$2,FALSE))</f>
        <v>0</v>
      </c>
      <c r="AA11" s="373"/>
      <c r="AB11" s="374"/>
      <c r="AC11" s="374"/>
      <c r="AD11" s="374">
        <v>1</v>
      </c>
      <c r="AE11" s="375">
        <v>2</v>
      </c>
      <c r="AF11" s="359"/>
      <c r="AG11" s="373"/>
      <c r="AH11" s="374"/>
      <c r="AI11" s="374"/>
      <c r="AJ11" s="374">
        <v>1</v>
      </c>
      <c r="AK11" s="375">
        <v>2</v>
      </c>
      <c r="AL11" s="172"/>
      <c r="AM11" s="220"/>
      <c r="AN11" s="221"/>
      <c r="AO11" s="221"/>
      <c r="AP11" s="221">
        <f t="shared" ref="AP11:AP12" si="13">IF($D$5=$G$8,AJ11,AD11)</f>
        <v>1</v>
      </c>
      <c r="AQ11" s="222">
        <f t="shared" si="0"/>
        <v>2</v>
      </c>
      <c r="AR11" s="220">
        <f t="shared" ref="AR11:AR74" si="14">IF(AQ11=0,9,IF(W11&gt;=AQ11,5,IF(W11&gt;=AP11,4,IF(W11&gt;=AO11,3,IF(W11&gt;=AN11,2,IF(W11&lt;AM11,0,1))))))</f>
        <v>3</v>
      </c>
      <c r="AS11" s="203" t="str">
        <f t="shared" si="1"/>
        <v>Very Good</v>
      </c>
      <c r="AT11" s="223"/>
      <c r="AU11" s="220">
        <f t="shared" si="2"/>
        <v>3</v>
      </c>
      <c r="AV11" s="203" t="str">
        <f t="shared" si="3"/>
        <v>Very Good</v>
      </c>
      <c r="AW11" s="223"/>
      <c r="AX11" s="220">
        <f t="shared" si="8"/>
        <v>3</v>
      </c>
      <c r="AY11" s="203" t="str">
        <f t="shared" si="4"/>
        <v>Very Good</v>
      </c>
      <c r="AZ11" s="223"/>
      <c r="BB11" s="106">
        <v>2</v>
      </c>
      <c r="BC11" s="106" t="s">
        <v>80</v>
      </c>
      <c r="BK11" s="859" t="str">
        <f t="shared" si="9"/>
        <v>Man 03</v>
      </c>
      <c r="BL11" s="859" t="str">
        <f>IFERROR(VLOOKUP($D11,'Pre-Assessment Estimator'!$C$10:$X$100,'Pre-Assessment Estimator'!X$2,FALSE),"")</f>
        <v>N/A</v>
      </c>
      <c r="BM11" s="354">
        <f>IFERROR(VLOOKUP($D11,'Pre-Assessment Estimator'!$C$10:$AE$100,'Pre-Assessment Estimator'!AE$2,FALSE),"")</f>
        <v>0</v>
      </c>
      <c r="BN11" s="354">
        <f t="shared" si="10"/>
        <v>1</v>
      </c>
      <c r="BO11" s="354">
        <f t="shared" si="11"/>
        <v>0</v>
      </c>
      <c r="BP11" s="354"/>
      <c r="BQ11" s="106" t="str">
        <f t="shared" si="12"/>
        <v/>
      </c>
    </row>
    <row r="12" spans="1:78" x14ac:dyDescent="0.25">
      <c r="A12" s="106">
        <v>5</v>
      </c>
      <c r="C12" s="202" t="s">
        <v>99</v>
      </c>
      <c r="D12" s="354" t="s">
        <v>505</v>
      </c>
      <c r="E12" s="350">
        <v>3</v>
      </c>
      <c r="F12" s="350">
        <v>3</v>
      </c>
      <c r="G12" s="350">
        <v>3</v>
      </c>
      <c r="H12" s="350">
        <v>3</v>
      </c>
      <c r="I12" s="355">
        <v>3</v>
      </c>
      <c r="K12" s="218">
        <f t="shared" si="6"/>
        <v>3</v>
      </c>
      <c r="L12" s="202"/>
      <c r="M12" s="203"/>
      <c r="N12" s="203"/>
      <c r="O12" s="203">
        <f>'Manuell filtrering og justering'!D10</f>
        <v>0</v>
      </c>
      <c r="P12" s="204">
        <f>VLOOKUP(C12,'Manuell filtrering og justering'!$A$7:$G$97,'Manuell filtrering og justering'!$G$1,FALSE)</f>
        <v>3</v>
      </c>
      <c r="Q12" s="205">
        <f t="shared" si="7"/>
        <v>0</v>
      </c>
      <c r="R12" s="206">
        <f>IF($S$4='Manuell filtrering og justering'!$I$2,P12,(K12-Q12))</f>
        <v>3</v>
      </c>
      <c r="T12" s="207">
        <f>(BP_32/Man_Credits)*Man04_credits</f>
        <v>1.8000000000000002E-2</v>
      </c>
      <c r="U12" s="207">
        <f>IF(R12=0,0,(Man04_17/Man04_credits)*Man04_user)</f>
        <v>0</v>
      </c>
      <c r="W12" s="208">
        <f>IF(VLOOKUP(D12,'Pre-Assessment Estimator'!$C$10:$W$100,'Pre-Assessment Estimator'!$E$2,FALSE)&gt;R12,R12,VLOOKUP(D12,'Pre-Assessment Estimator'!$C$10:$W$100,'Pre-Assessment Estimator'!$E$2,FALSE))</f>
        <v>0</v>
      </c>
      <c r="X12" s="208">
        <f>IF(VLOOKUP(D12,'Pre-Assessment Estimator'!$C$10:$W$100,'Pre-Assessment Estimator'!$L$2,FALSE)&gt;R12,R12,VLOOKUP(D12,'Pre-Assessment Estimator'!$C$10:$W$100,'Pre-Assessment Estimator'!$L$2,FALSE))</f>
        <v>0</v>
      </c>
      <c r="Y12" s="208">
        <f>IF(VLOOKUP(D12,'Pre-Assessment Estimator'!$C$10:$W$100,'Pre-Assessment Estimator'!$R$2,FALSE)&gt;R12,R12,VLOOKUP(D12,'Pre-Assessment Estimator'!$C$10:$W$100,'Pre-Assessment Estimator'!$R$2,FALSE))</f>
        <v>0</v>
      </c>
      <c r="AA12" s="373">
        <v>1</v>
      </c>
      <c r="AB12" s="374">
        <v>1</v>
      </c>
      <c r="AC12" s="374">
        <v>2</v>
      </c>
      <c r="AD12" s="374">
        <v>2</v>
      </c>
      <c r="AE12" s="375">
        <v>3</v>
      </c>
      <c r="AF12" s="359"/>
      <c r="AG12" s="373">
        <v>1</v>
      </c>
      <c r="AH12" s="374">
        <v>1</v>
      </c>
      <c r="AI12" s="374">
        <v>2</v>
      </c>
      <c r="AJ12" s="374">
        <v>2</v>
      </c>
      <c r="AK12" s="375">
        <v>3</v>
      </c>
      <c r="AL12" s="172"/>
      <c r="AM12" s="220">
        <f>IF($D$5=$G$8,AG12,AA12)</f>
        <v>1</v>
      </c>
      <c r="AN12" s="221">
        <f>IF($D$5=$G$8,AH12,AB12)</f>
        <v>1</v>
      </c>
      <c r="AO12" s="221">
        <f t="shared" ref="AO12" si="15">IF($D$5=$G$8,AI12,AC12)</f>
        <v>2</v>
      </c>
      <c r="AP12" s="221">
        <f t="shared" si="13"/>
        <v>2</v>
      </c>
      <c r="AQ12" s="225">
        <f t="shared" si="0"/>
        <v>3</v>
      </c>
      <c r="AR12" s="220">
        <f t="shared" si="14"/>
        <v>0</v>
      </c>
      <c r="AS12" s="203" t="str">
        <f t="shared" si="1"/>
        <v>Unclassified</v>
      </c>
      <c r="AT12" s="223"/>
      <c r="AU12" s="220">
        <f t="shared" si="2"/>
        <v>0</v>
      </c>
      <c r="AV12" s="203" t="str">
        <f t="shared" si="3"/>
        <v>Unclassified</v>
      </c>
      <c r="AW12" s="223"/>
      <c r="AX12" s="220">
        <f t="shared" si="8"/>
        <v>0</v>
      </c>
      <c r="AY12" s="203" t="str">
        <f t="shared" si="4"/>
        <v>Unclassified</v>
      </c>
      <c r="AZ12" s="223"/>
      <c r="BB12" s="106">
        <v>1</v>
      </c>
      <c r="BC12" s="106" t="s">
        <v>79</v>
      </c>
      <c r="BK12" s="859" t="str">
        <f t="shared" si="9"/>
        <v>Man 04</v>
      </c>
      <c r="BL12" s="859" t="str">
        <f>IFERROR(VLOOKUP($D12,'Pre-Assessment Estimator'!$C$10:$X$100,'Pre-Assessment Estimator'!X$2,FALSE),"")</f>
        <v>No</v>
      </c>
      <c r="BM12" s="354">
        <f>IFERROR(VLOOKUP($D12,'Pre-Assessment Estimator'!$C$10:$AE$100,'Pre-Assessment Estimator'!AE$2,FALSE),"")</f>
        <v>0</v>
      </c>
      <c r="BN12" s="354">
        <f t="shared" si="10"/>
        <v>1</v>
      </c>
      <c r="BO12" s="354">
        <f t="shared" si="11"/>
        <v>0</v>
      </c>
      <c r="BP12" s="354"/>
      <c r="BQ12" s="106" t="str">
        <f t="shared" si="12"/>
        <v/>
      </c>
    </row>
    <row r="13" spans="1:78" x14ac:dyDescent="0.25">
      <c r="A13" s="106">
        <v>6</v>
      </c>
      <c r="C13" s="202" t="s">
        <v>100</v>
      </c>
      <c r="D13" s="354" t="s">
        <v>345</v>
      </c>
      <c r="E13" s="350">
        <v>3</v>
      </c>
      <c r="F13" s="350">
        <v>3</v>
      </c>
      <c r="G13" s="350">
        <v>3</v>
      </c>
      <c r="H13" s="350">
        <v>3</v>
      </c>
      <c r="I13" s="355">
        <v>3</v>
      </c>
      <c r="K13" s="218">
        <f t="shared" si="6"/>
        <v>3</v>
      </c>
      <c r="L13" s="202"/>
      <c r="M13" s="203"/>
      <c r="N13" s="203"/>
      <c r="O13" s="203">
        <f>'Manuell filtrering og justering'!D11</f>
        <v>0</v>
      </c>
      <c r="P13" s="204">
        <f>VLOOKUP(C13,'Manuell filtrering og justering'!$A$7:$G$97,'Manuell filtrering og justering'!$G$1,FALSE)</f>
        <v>3</v>
      </c>
      <c r="Q13" s="205">
        <f t="shared" si="7"/>
        <v>0</v>
      </c>
      <c r="R13" s="206">
        <f>IF($S$4='Manuell filtrering og justering'!$I$2,P13,(K13-Q13))</f>
        <v>3</v>
      </c>
      <c r="T13" s="207">
        <f>(BP_32/Man_Credits)*Man05_credits</f>
        <v>1.8000000000000002E-2</v>
      </c>
      <c r="U13" s="207">
        <f>IF(R13=0,0,(Man05_10/Man05_credits)*Man05_user)</f>
        <v>0</v>
      </c>
      <c r="W13" s="208">
        <f>IF(VLOOKUP(D13,'Pre-Assessment Estimator'!$C$10:$W$100,'Pre-Assessment Estimator'!$E$2,FALSE)&gt;R13,R13,VLOOKUP(D13,'Pre-Assessment Estimator'!$C$10:$W$100,'Pre-Assessment Estimator'!$E$2,FALSE))</f>
        <v>0</v>
      </c>
      <c r="X13" s="208">
        <f>IF(VLOOKUP(D13,'Pre-Assessment Estimator'!$C$10:$W$100,'Pre-Assessment Estimator'!$L$2,FALSE)&gt;R13,R13,VLOOKUP(D13,'Pre-Assessment Estimator'!$C$10:$W$100,'Pre-Assessment Estimator'!$L$2,FALSE))</f>
        <v>0</v>
      </c>
      <c r="Y13" s="208">
        <f>IF(VLOOKUP(D13,'Pre-Assessment Estimator'!$C$10:$W$100,'Pre-Assessment Estimator'!$R$2,FALSE)&gt;R13,R13,VLOOKUP(D13,'Pre-Assessment Estimator'!$C$10:$W$100,'Pre-Assessment Estimator'!$R$2,FALSE))</f>
        <v>0</v>
      </c>
      <c r="AA13" s="376"/>
      <c r="AB13" s="377"/>
      <c r="AC13" s="377"/>
      <c r="AD13" s="377">
        <v>1</v>
      </c>
      <c r="AE13" s="378">
        <v>1</v>
      </c>
      <c r="AF13" s="169"/>
      <c r="AG13" s="376"/>
      <c r="AH13" s="377"/>
      <c r="AI13" s="377"/>
      <c r="AJ13" s="377">
        <v>1</v>
      </c>
      <c r="AK13" s="378">
        <v>1</v>
      </c>
      <c r="AM13" s="226"/>
      <c r="AN13" s="227"/>
      <c r="AO13" s="227"/>
      <c r="AP13" s="227">
        <f>IF($D$5=$G$8,AJ13,AD13)</f>
        <v>1</v>
      </c>
      <c r="AQ13" s="228">
        <f>IF($D$5=$G$8,AK13,AE13)</f>
        <v>1</v>
      </c>
      <c r="AR13" s="220">
        <f t="shared" si="14"/>
        <v>3</v>
      </c>
      <c r="AS13" s="203" t="str">
        <f t="shared" si="1"/>
        <v>Very Good</v>
      </c>
      <c r="AT13" s="223"/>
      <c r="AU13" s="220">
        <f t="shared" si="2"/>
        <v>3</v>
      </c>
      <c r="AV13" s="203" t="str">
        <f t="shared" si="3"/>
        <v>Very Good</v>
      </c>
      <c r="AW13" s="223"/>
      <c r="AX13" s="220">
        <f t="shared" si="8"/>
        <v>3</v>
      </c>
      <c r="AY13" s="203" t="str">
        <f t="shared" si="4"/>
        <v>Very Good</v>
      </c>
      <c r="AZ13" s="223"/>
      <c r="BB13" s="106">
        <v>0</v>
      </c>
      <c r="BC13" s="106" t="s">
        <v>77</v>
      </c>
      <c r="BK13" s="859" t="str">
        <f t="shared" si="9"/>
        <v>Man 05</v>
      </c>
      <c r="BL13" s="859" t="str">
        <f>IFERROR(VLOOKUP($D13,'Pre-Assessment Estimator'!$C$10:$X$100,'Pre-Assessment Estimator'!X$2,FALSE),"")</f>
        <v>No</v>
      </c>
      <c r="BM13" s="354">
        <f>IFERROR(VLOOKUP($D13,'Pre-Assessment Estimator'!$C$10:$AE$100,'Pre-Assessment Estimator'!AE$2,FALSE),"")</f>
        <v>0</v>
      </c>
      <c r="BN13" s="354">
        <f t="shared" si="10"/>
        <v>1</v>
      </c>
      <c r="BO13" s="354">
        <f t="shared" si="11"/>
        <v>0</v>
      </c>
      <c r="BP13" s="354"/>
      <c r="BQ13" s="106" t="s">
        <v>550</v>
      </c>
    </row>
    <row r="14" spans="1:78" x14ac:dyDescent="0.25">
      <c r="A14" s="106">
        <v>7</v>
      </c>
      <c r="C14" s="202" t="s">
        <v>101</v>
      </c>
      <c r="D14" s="203"/>
      <c r="E14" s="216"/>
      <c r="F14" s="216"/>
      <c r="G14" s="216"/>
      <c r="H14" s="216"/>
      <c r="I14" s="217"/>
      <c r="K14" s="218">
        <f t="shared" si="6"/>
        <v>0</v>
      </c>
      <c r="L14" s="202"/>
      <c r="M14" s="203"/>
      <c r="N14" s="203"/>
      <c r="O14" s="203">
        <f>'Manuell filtrering og justering'!D12</f>
        <v>0</v>
      </c>
      <c r="P14" s="204"/>
      <c r="Q14" s="205">
        <f t="shared" si="7"/>
        <v>0</v>
      </c>
      <c r="R14" s="206">
        <f>IF($S$4='Manuell filtrering og justering'!$I$2,P14,(K14-Q14))</f>
        <v>0</v>
      </c>
      <c r="T14" s="207">
        <f>(BP_32/Man_Credits)*Man06_credits</f>
        <v>0</v>
      </c>
      <c r="U14" s="207">
        <f>IF(R14=0,0,(T14/Man06_credits)*Man06_user)</f>
        <v>0</v>
      </c>
      <c r="W14" s="208"/>
      <c r="X14" s="208"/>
      <c r="Y14" s="208"/>
      <c r="AA14" s="361"/>
      <c r="AB14" s="362"/>
      <c r="AC14" s="362"/>
      <c r="AD14" s="362"/>
      <c r="AE14" s="363"/>
      <c r="AF14" s="169"/>
      <c r="AG14" s="361"/>
      <c r="AH14" s="362"/>
      <c r="AI14" s="362"/>
      <c r="AJ14" s="362"/>
      <c r="AK14" s="363"/>
      <c r="AM14" s="226"/>
      <c r="AN14" s="229"/>
      <c r="AO14" s="227"/>
      <c r="AP14" s="227"/>
      <c r="AQ14" s="222">
        <f t="shared" si="0"/>
        <v>0</v>
      </c>
      <c r="AR14" s="220">
        <f t="shared" si="14"/>
        <v>9</v>
      </c>
      <c r="AS14" s="203" t="str">
        <f t="shared" si="1"/>
        <v>N/A</v>
      </c>
      <c r="AT14" s="223"/>
      <c r="AU14" s="220">
        <f t="shared" si="2"/>
        <v>9</v>
      </c>
      <c r="AV14" s="203" t="str">
        <f t="shared" si="3"/>
        <v>N/A</v>
      </c>
      <c r="AW14" s="223"/>
      <c r="AX14" s="220">
        <f t="shared" si="8"/>
        <v>9</v>
      </c>
      <c r="AY14" s="203" t="str">
        <f t="shared" si="4"/>
        <v>N/A</v>
      </c>
      <c r="AZ14" s="223"/>
      <c r="BB14" s="106">
        <v>9</v>
      </c>
      <c r="BC14" s="106" t="s">
        <v>15</v>
      </c>
      <c r="BK14" s="203"/>
      <c r="BL14" s="203" t="str">
        <f>IFERROR(VLOOKUP($D14,'Pre-Assessment Estimator'!$C$10:$X$100,'Pre-Assessment Estimator'!X$2,FALSE),"")</f>
        <v/>
      </c>
      <c r="BM14" s="203" t="str">
        <f>IFERROR(VLOOKUP($D14,'Pre-Assessment Estimator'!$C$10:$AE$100,'Pre-Assessment Estimator'!AE$2,FALSE),"")</f>
        <v/>
      </c>
      <c r="BN14" s="203" t="str">
        <f t="shared" si="10"/>
        <v/>
      </c>
      <c r="BO14" s="203" t="str">
        <f t="shared" si="11"/>
        <v/>
      </c>
      <c r="BP14" s="203"/>
      <c r="BQ14" s="106" t="str">
        <f t="shared" si="12"/>
        <v/>
      </c>
    </row>
    <row r="15" spans="1:78" ht="15.75" thickBot="1" x14ac:dyDescent="0.3">
      <c r="A15" s="106">
        <v>8</v>
      </c>
      <c r="C15" s="230" t="s">
        <v>102</v>
      </c>
      <c r="D15" s="231"/>
      <c r="E15" s="232"/>
      <c r="F15" s="232"/>
      <c r="G15" s="232"/>
      <c r="H15" s="232"/>
      <c r="I15" s="233"/>
      <c r="K15" s="234">
        <f t="shared" si="6"/>
        <v>0</v>
      </c>
      <c r="L15" s="202"/>
      <c r="M15" s="203"/>
      <c r="N15" s="203"/>
      <c r="O15" s="203">
        <f>'Manuell filtrering og justering'!D13</f>
        <v>0</v>
      </c>
      <c r="P15" s="204"/>
      <c r="Q15" s="205">
        <f t="shared" si="7"/>
        <v>0</v>
      </c>
      <c r="R15" s="206">
        <f>IF($S$4='Manuell filtrering og justering'!$I$2,P15,(K15-Q15))</f>
        <v>0</v>
      </c>
      <c r="T15" s="207">
        <f>(BP_32/Man_Credits)*Man07_credits</f>
        <v>0</v>
      </c>
      <c r="U15" s="207">
        <f>IF(R15=0,0,(T15/Man07_credits)*Man07_user)</f>
        <v>0</v>
      </c>
      <c r="W15" s="208"/>
      <c r="X15" s="208"/>
      <c r="Y15" s="208"/>
      <c r="AA15" s="364"/>
      <c r="AB15" s="365"/>
      <c r="AC15" s="365"/>
      <c r="AD15" s="365"/>
      <c r="AE15" s="366"/>
      <c r="AF15" s="169"/>
      <c r="AG15" s="364"/>
      <c r="AH15" s="365"/>
      <c r="AI15" s="365"/>
      <c r="AJ15" s="365"/>
      <c r="AK15" s="366"/>
      <c r="AM15" s="237"/>
      <c r="AN15" s="238"/>
      <c r="AO15" s="239"/>
      <c r="AP15" s="239"/>
      <c r="AQ15" s="240">
        <f t="shared" si="0"/>
        <v>0</v>
      </c>
      <c r="AR15" s="241">
        <f t="shared" si="14"/>
        <v>9</v>
      </c>
      <c r="AS15" s="242" t="str">
        <f t="shared" si="1"/>
        <v>N/A</v>
      </c>
      <c r="AT15" s="243"/>
      <c r="AU15" s="241">
        <f t="shared" si="2"/>
        <v>9</v>
      </c>
      <c r="AV15" s="242" t="str">
        <f t="shared" si="3"/>
        <v>N/A</v>
      </c>
      <c r="AW15" s="243"/>
      <c r="AX15" s="241">
        <f t="shared" si="8"/>
        <v>9</v>
      </c>
      <c r="AY15" s="242" t="str">
        <f t="shared" si="4"/>
        <v>N/A</v>
      </c>
      <c r="AZ15" s="243"/>
      <c r="BK15" s="231"/>
      <c r="BL15" s="231" t="str">
        <f>IFERROR(VLOOKUP($D15,'Pre-Assessment Estimator'!$C$10:$X$100,'Pre-Assessment Estimator'!X$2,FALSE),"")</f>
        <v/>
      </c>
      <c r="BM15" s="231" t="str">
        <f>IFERROR(VLOOKUP($D15,'Pre-Assessment Estimator'!$C$10:$AE$100,'Pre-Assessment Estimator'!AE$2,FALSE),"")</f>
        <v/>
      </c>
      <c r="BN15" s="231" t="str">
        <f t="shared" si="10"/>
        <v/>
      </c>
      <c r="BO15" s="231" t="str">
        <f t="shared" si="11"/>
        <v/>
      </c>
      <c r="BP15" s="231"/>
      <c r="BQ15" s="106" t="str">
        <f t="shared" si="12"/>
        <v/>
      </c>
    </row>
    <row r="16" spans="1:78" ht="15.75" thickBot="1" x14ac:dyDescent="0.3">
      <c r="A16" s="106">
        <v>9</v>
      </c>
      <c r="C16" s="244"/>
      <c r="D16" s="245" t="s">
        <v>230</v>
      </c>
      <c r="E16" s="245">
        <f>SUM(E9:E15)</f>
        <v>20</v>
      </c>
      <c r="F16" s="245">
        <f>SUM(F9:F15)</f>
        <v>20</v>
      </c>
      <c r="G16" s="245">
        <f>SUM(G9:G15)</f>
        <v>20</v>
      </c>
      <c r="H16" s="245">
        <f>SUM(H9:H15)</f>
        <v>20</v>
      </c>
      <c r="I16" s="246">
        <f>SUM(I9:I15)</f>
        <v>20</v>
      </c>
      <c r="K16" s="247">
        <f t="shared" si="6"/>
        <v>20</v>
      </c>
      <c r="L16" s="248"/>
      <c r="M16" s="249"/>
      <c r="N16" s="249"/>
      <c r="O16" s="249"/>
      <c r="P16" s="250"/>
      <c r="Q16" s="251">
        <f>SUM(Q9:Q15)</f>
        <v>0</v>
      </c>
      <c r="R16" s="252">
        <f>SUM(R9:R15)</f>
        <v>20</v>
      </c>
      <c r="T16" s="253">
        <f>SUM(T9:T15)</f>
        <v>0.12000000000000001</v>
      </c>
      <c r="U16" s="253">
        <f>SUM(U9:U15)</f>
        <v>0</v>
      </c>
      <c r="W16" s="86">
        <f>SUM(W9:W15)</f>
        <v>0</v>
      </c>
      <c r="X16" s="86">
        <f>SUM(X9:X15)</f>
        <v>0</v>
      </c>
      <c r="Y16" s="86">
        <f>SUM(Y9:Y15)</f>
        <v>0</v>
      </c>
      <c r="AA16" s="169"/>
      <c r="AB16" s="169"/>
      <c r="AC16" s="169"/>
      <c r="AD16" s="169"/>
      <c r="AE16" s="169"/>
      <c r="AF16" s="169"/>
      <c r="AG16" s="169"/>
      <c r="AH16" s="169"/>
      <c r="AI16" s="169"/>
      <c r="AJ16" s="169"/>
      <c r="AK16" s="169"/>
      <c r="AM16" s="107"/>
      <c r="AN16" s="254"/>
      <c r="AO16" s="107"/>
      <c r="AP16" s="107"/>
      <c r="AQ16" s="107"/>
      <c r="BK16" s="245"/>
      <c r="BL16" s="245" t="str">
        <f>IFERROR(VLOOKUP($D16,'Pre-Assessment Estimator'!$C$10:$X$100,'Pre-Assessment Estimator'!X$2,FALSE),"")</f>
        <v/>
      </c>
      <c r="BM16" s="245" t="str">
        <f>IFERROR(VLOOKUP($D16,'Pre-Assessment Estimator'!$C$10:$AE$100,'Pre-Assessment Estimator'!AE$2,FALSE),"")</f>
        <v/>
      </c>
      <c r="BN16" s="245" t="str">
        <f t="shared" si="10"/>
        <v/>
      </c>
      <c r="BO16" s="245" t="str">
        <f t="shared" si="11"/>
        <v/>
      </c>
      <c r="BP16" s="245"/>
      <c r="BQ16" s="106" t="str">
        <f t="shared" si="12"/>
        <v/>
      </c>
    </row>
    <row r="17" spans="1:75" ht="15.75" thickBot="1" x14ac:dyDescent="0.3">
      <c r="A17" s="106">
        <v>10</v>
      </c>
      <c r="W17" s="1"/>
      <c r="X17" s="1"/>
      <c r="Y17" s="1"/>
      <c r="AA17" s="169"/>
      <c r="AB17" s="169"/>
      <c r="AC17" s="169"/>
      <c r="AD17" s="169"/>
      <c r="AE17" s="169"/>
      <c r="AF17" s="169"/>
      <c r="AG17" s="169"/>
      <c r="AH17" s="169"/>
      <c r="AI17" s="169"/>
      <c r="AJ17" s="169"/>
      <c r="AK17" s="169"/>
      <c r="AM17" s="107"/>
      <c r="AN17" s="254"/>
      <c r="AO17" s="107"/>
      <c r="AP17" s="107"/>
      <c r="AQ17" s="107"/>
      <c r="BL17" s="106" t="str">
        <f>IFERROR(VLOOKUP($D17,'Pre-Assessment Estimator'!$C$10:$X$100,'Pre-Assessment Estimator'!X$2,FALSE),"")</f>
        <v/>
      </c>
      <c r="BM17" s="106" t="str">
        <f>IFERROR(VLOOKUP($D17,'Pre-Assessment Estimator'!$C$10:$AE$100,'Pre-Assessment Estimator'!AE$2,FALSE),"")</f>
        <v/>
      </c>
      <c r="BN17" s="106" t="str">
        <f t="shared" si="10"/>
        <v/>
      </c>
      <c r="BO17" s="106" t="str">
        <f t="shared" si="11"/>
        <v/>
      </c>
      <c r="BQ17" s="106" t="str">
        <f t="shared" si="12"/>
        <v/>
      </c>
    </row>
    <row r="18" spans="1:75" ht="15.75" thickBot="1" x14ac:dyDescent="0.3">
      <c r="A18" s="106">
        <v>11</v>
      </c>
      <c r="C18" s="176"/>
      <c r="D18" s="177" t="s">
        <v>69</v>
      </c>
      <c r="E18" s="178" t="str">
        <f>$E$8</f>
        <v>Office</v>
      </c>
      <c r="F18" s="178" t="str">
        <f>$F$8</f>
        <v>Retail</v>
      </c>
      <c r="G18" s="178" t="str">
        <f>$G$8</f>
        <v>Residential</v>
      </c>
      <c r="H18" s="178" t="str">
        <f>$H$8</f>
        <v>Industrial</v>
      </c>
      <c r="I18" s="179" t="str">
        <f>$I$8</f>
        <v>Education</v>
      </c>
      <c r="K18" s="168" t="str">
        <f>$D$5</f>
        <v>Office</v>
      </c>
      <c r="L18" s="255"/>
      <c r="M18" s="256"/>
      <c r="N18" s="848"/>
      <c r="O18" s="256"/>
      <c r="P18" s="444" t="s">
        <v>405</v>
      </c>
      <c r="Q18" s="183" t="s">
        <v>230</v>
      </c>
      <c r="R18" s="168"/>
      <c r="W18" s="44"/>
      <c r="X18" s="64"/>
      <c r="Y18" s="64"/>
      <c r="AA18" s="169"/>
      <c r="AB18" s="169"/>
      <c r="AC18" s="169"/>
      <c r="AD18" s="169"/>
      <c r="AE18" s="169"/>
      <c r="AF18" s="169"/>
      <c r="AG18" s="169"/>
      <c r="AH18" s="169"/>
      <c r="AI18" s="169"/>
      <c r="AJ18" s="169"/>
      <c r="AK18" s="169"/>
      <c r="AM18" s="107"/>
      <c r="AN18" s="254"/>
      <c r="AO18" s="107"/>
      <c r="AP18" s="107"/>
      <c r="AQ18" s="107"/>
      <c r="BD18" s="185" t="s">
        <v>304</v>
      </c>
      <c r="BE18" s="186" t="s">
        <v>90</v>
      </c>
      <c r="BF18" s="186" t="s">
        <v>302</v>
      </c>
      <c r="BG18" s="186" t="s">
        <v>303</v>
      </c>
      <c r="BH18" s="187" t="s">
        <v>1</v>
      </c>
      <c r="BK18" s="177"/>
      <c r="BL18" s="177" t="str">
        <f>D18</f>
        <v>Health &amp; Wellbeing</v>
      </c>
      <c r="BM18" s="177">
        <f>IFERROR(VLOOKUP($D18,'Pre-Assessment Estimator'!$C$10:$AE$100,'Pre-Assessment Estimator'!AE$2,FALSE),"")</f>
        <v>0</v>
      </c>
      <c r="BN18" s="177" t="str">
        <f t="shared" si="10"/>
        <v/>
      </c>
      <c r="BO18" s="177" t="str">
        <f t="shared" si="11"/>
        <v/>
      </c>
      <c r="BP18" s="177"/>
      <c r="BQ18" s="106" t="str">
        <f t="shared" si="12"/>
        <v/>
      </c>
    </row>
    <row r="19" spans="1:75" x14ac:dyDescent="0.25">
      <c r="A19" s="106">
        <v>12</v>
      </c>
      <c r="C19" s="197" t="s">
        <v>124</v>
      </c>
      <c r="D19" s="198" t="s">
        <v>122</v>
      </c>
      <c r="E19" s="199">
        <v>4</v>
      </c>
      <c r="F19" s="199">
        <v>4</v>
      </c>
      <c r="G19" s="199">
        <v>4</v>
      </c>
      <c r="H19" s="199">
        <v>4</v>
      </c>
      <c r="I19" s="200">
        <v>4</v>
      </c>
      <c r="K19" s="257">
        <f t="shared" ref="K19:K28" si="16">HLOOKUP($D$5,$E$8:$I$99,$A19,FALSE)</f>
        <v>4</v>
      </c>
      <c r="L19" s="202"/>
      <c r="M19" s="203"/>
      <c r="N19" s="203"/>
      <c r="O19" s="203">
        <f>'Manuell filtrering og justering'!D17</f>
        <v>0</v>
      </c>
      <c r="P19" s="204">
        <f>VLOOKUP(C19,'Manuell filtrering og justering'!$A$7:$G$97,'Manuell filtrering og justering'!$G$1,FALSE)</f>
        <v>4</v>
      </c>
      <c r="Q19" s="205">
        <f>IF(SUM(L19:O19)&gt;K19,K19,SUM(L19:O19))</f>
        <v>0</v>
      </c>
      <c r="R19" s="206">
        <f>IF($S$4='Manuell filtrering og justering'!$I$2,P19,(K19-Q19))</f>
        <v>4</v>
      </c>
      <c r="T19" s="207">
        <f>(Hea_Weight/Hea_Credits)*Hea01_credits</f>
        <v>0.03</v>
      </c>
      <c r="U19" s="207">
        <f>IF(R19=0,0,(Hea01_26/Hea01_credits)*Hea01_user)</f>
        <v>0</v>
      </c>
      <c r="W19" s="259">
        <f>IF(VLOOKUP(D19,'Pre-Assessment Estimator'!$C$10:$W$100,'Pre-Assessment Estimator'!$E$2,FALSE)=0,0,IF((IF(VLOOKUP(D19,'Pre-Assessment Estimator'!$C$10:$W$100,'Pre-Assessment Estimator'!$E$2,FALSE)&gt;R19,R19,VLOOKUP(D19,'Pre-Assessment Estimator'!$C$10:$W$100,'Pre-Assessment Estimator'!$E$2,FALSE))+BU19)&lt;0,0,(IF(VLOOKUP(D19,'Pre-Assessment Estimator'!$C$10:$W$100,'Pre-Assessment Estimator'!$E$2,FALSE)&gt;R19,R19,VLOOKUP(D19,'Pre-Assessment Estimator'!$C$10:$W$100,'Pre-Assessment Estimator'!$E$2,FALSE))+BU19)))</f>
        <v>0</v>
      </c>
      <c r="X19" s="208">
        <f>IF(VLOOKUP(D19,'Pre-Assessment Estimator'!$C$10:$W$100,'Pre-Assessment Estimator'!$L$2,FALSE)=0,0,IF((IF(VLOOKUP(D19,'Pre-Assessment Estimator'!$C$10:$W$100,'Pre-Assessment Estimator'!$L$2,FALSE)&gt;R19,R19,VLOOKUP(D19,'Pre-Assessment Estimator'!$C$10:$W$100,'Pre-Assessment Estimator'!$L$2,FALSE))+BU19)&lt;0,0,(IF(VLOOKUP(D19,'Pre-Assessment Estimator'!$C$10:$W$100,'Pre-Assessment Estimator'!$L$2,FALSE)&gt;R19,R19,VLOOKUP(D19,'Pre-Assessment Estimator'!$C$10:$W$100,'Pre-Assessment Estimator'!$L$2,FALSE))+BU19)))</f>
        <v>0</v>
      </c>
      <c r="Y19" s="208">
        <f>IF(VLOOKUP(D19,'Pre-Assessment Estimator'!$C$10:$W$100,'Pre-Assessment Estimator'!$R$2,FALSE)=0,0,IF((IF(VLOOKUP(D19,'Pre-Assessment Estimator'!$C$10:$W$100,'Pre-Assessment Estimator'!$R$2,FALSE)&gt;R19,R19,VLOOKUP(D19,'Pre-Assessment Estimator'!$C$10:$W$100,'Pre-Assessment Estimator'!$R$2,FALSE))+BU19)&lt;0,0,(IF(VLOOKUP(D19,'Pre-Assessment Estimator'!$C$10:$W$100,'Pre-Assessment Estimator'!$R$2,FALSE)&gt;R19,R19,VLOOKUP(D19,'Pre-Assessment Estimator'!$C$10:$W$100,'Pre-Assessment Estimator'!$R$2,FALSE))+BU19)))</f>
        <v>0</v>
      </c>
      <c r="Z19" s="106" t="s">
        <v>546</v>
      </c>
      <c r="AA19" s="367"/>
      <c r="AB19" s="368"/>
      <c r="AC19" s="368"/>
      <c r="AD19" s="368"/>
      <c r="AE19" s="369"/>
      <c r="AF19" s="169"/>
      <c r="AG19" s="367"/>
      <c r="AH19" s="368"/>
      <c r="AI19" s="368"/>
      <c r="AJ19" s="368"/>
      <c r="AK19" s="369"/>
      <c r="AM19" s="263"/>
      <c r="AN19" s="264"/>
      <c r="AO19" s="264"/>
      <c r="AP19" s="264"/>
      <c r="AQ19" s="265">
        <f t="shared" si="0"/>
        <v>0</v>
      </c>
      <c r="AR19" s="211">
        <f t="shared" si="14"/>
        <v>9</v>
      </c>
      <c r="AS19" s="214" t="str">
        <f t="shared" ref="AS19:AS27" si="17">VLOOKUP(AR19,$BB$8:$BC$14,2,FALSE)</f>
        <v>N/A</v>
      </c>
      <c r="AT19" s="215"/>
      <c r="AU19" s="211">
        <f t="shared" ref="AU19:AU27" si="18">IF(AQ19=0,9,IF(X19&gt;=AQ19,5,IF(X19&gt;=AP19,4,IF(X19&gt;=AO19,3,IF(X19&gt;=AN19,2,IF(X19&lt;AM19,0,1))))))</f>
        <v>9</v>
      </c>
      <c r="AV19" s="214" t="str">
        <f t="shared" ref="AV19:AV27" si="19">VLOOKUP(AU19,$BB$8:$BC$14,2,FALSE)</f>
        <v>N/A</v>
      </c>
      <c r="AW19" s="215"/>
      <c r="AX19" s="211">
        <f t="shared" si="8"/>
        <v>9</v>
      </c>
      <c r="AY19" s="214" t="str">
        <f t="shared" ref="AY19:AY27" si="20">VLOOKUP(AX19,$BB$8:$BC$14,2,FALSE)</f>
        <v>N/A</v>
      </c>
      <c r="AZ19" s="215"/>
      <c r="BD19" s="394" t="s">
        <v>98</v>
      </c>
      <c r="BE19" s="214" t="s">
        <v>98</v>
      </c>
      <c r="BF19" s="214">
        <f>VLOOKUP($BD19,$C$9:$AY$104,AR$1,FALSE)</f>
        <v>3</v>
      </c>
      <c r="BG19" s="214">
        <f>VLOOKUP($BD19,$C$9:$AY$104,AU$1,FALSE)</f>
        <v>3</v>
      </c>
      <c r="BH19" s="215">
        <f>VLOOKUP($BD19,$C$9:$AY$104,AX$1,FALSE)</f>
        <v>3</v>
      </c>
      <c r="BK19" s="856" t="str">
        <f>C19</f>
        <v>Hea 01</v>
      </c>
      <c r="BL19" s="198" t="str">
        <f>IFERROR(VLOOKUP($D19,'Pre-Assessment Estimator'!$C$10:$X$100,'Pre-Assessment Estimator'!X$2,FALSE),"")</f>
        <v>No</v>
      </c>
      <c r="BM19" s="856" t="str">
        <f>IFERROR(VLOOKUP($D19,'Pre-Assessment Estimator'!$C$10:$AE$100,'Pre-Assessment Estimator'!AE$2,FALSE),"")</f>
        <v>Ja</v>
      </c>
      <c r="BN19" s="198">
        <f t="shared" si="10"/>
        <v>1</v>
      </c>
      <c r="BO19" s="854" t="s">
        <v>549</v>
      </c>
      <c r="BP19" s="198">
        <f>G145</f>
        <v>2</v>
      </c>
      <c r="BQ19" s="106" t="str">
        <f t="shared" si="12"/>
        <v/>
      </c>
      <c r="BR19" s="863" t="s">
        <v>524</v>
      </c>
      <c r="BS19" s="203">
        <f t="shared" ref="BS19:BS22" si="21">VLOOKUP(BO19,$BO$3:$BP$4,2,FALSE)</f>
        <v>0</v>
      </c>
      <c r="BU19" s="863">
        <f>IF($BL$4=ais_no,BS19,IF(BR19=$BM$4,IF(AND(BO19=$BO$3,BL19=$BQ$3),0,BN19),BS19))</f>
        <v>0</v>
      </c>
    </row>
    <row r="20" spans="1:75" x14ac:dyDescent="0.25">
      <c r="A20" s="106">
        <v>13</v>
      </c>
      <c r="C20" s="202" t="s">
        <v>125</v>
      </c>
      <c r="D20" s="203" t="s">
        <v>116</v>
      </c>
      <c r="E20" s="216">
        <v>7</v>
      </c>
      <c r="F20" s="216">
        <v>7</v>
      </c>
      <c r="G20" s="350">
        <v>5</v>
      </c>
      <c r="H20" s="216">
        <v>7</v>
      </c>
      <c r="I20" s="217">
        <v>7</v>
      </c>
      <c r="K20" s="266">
        <f t="shared" si="16"/>
        <v>7</v>
      </c>
      <c r="L20" s="267">
        <f>IF(ADBT0=ADBT12,0,IF(AD_Labsize=AD_Labsize03,2,IF(AD_catlevel=AD_catlevel01,1,0)))</f>
        <v>2</v>
      </c>
      <c r="M20" s="203"/>
      <c r="N20" s="203"/>
      <c r="O20" s="203">
        <f>'Manuell filtrering og justering'!D18</f>
        <v>0</v>
      </c>
      <c r="P20" s="204">
        <f>VLOOKUP(C20,'Manuell filtrering og justering'!$A$7:$G$97,'Manuell filtrering og justering'!$G$1,FALSE)</f>
        <v>5</v>
      </c>
      <c r="Q20" s="205">
        <f t="shared" ref="Q20:Q27" si="22">IF(SUM(L20:O20)&gt;K20,K20,SUM(L20:O20))</f>
        <v>2</v>
      </c>
      <c r="R20" s="206">
        <f>IF($S$4='Manuell filtrering og justering'!$I$2,P20,(K20-Q20))</f>
        <v>5</v>
      </c>
      <c r="T20" s="207">
        <f>(Hea_Weight/Hea_Credits)*Hea02_credits</f>
        <v>3.7499999999999999E-2</v>
      </c>
      <c r="U20" s="207">
        <f>IF(R20=0,0,(Hea02_25/Hea02_credits)*Hea02_user)</f>
        <v>0</v>
      </c>
      <c r="W20" s="259">
        <f>IF((IF(VLOOKUP(D20,'Pre-Assessment Estimator'!$C$10:$W$100,'Pre-Assessment Estimator'!$E$2,FALSE)&gt;R20,R20,VLOOKUP(D20,'Pre-Assessment Estimator'!$C$10:$W$100,'Pre-Assessment Estimator'!$E$2,FALSE))+BU20)&lt;0,0,(IF(VLOOKUP(D20,'Pre-Assessment Estimator'!$C$10:$W$100,'Pre-Assessment Estimator'!$E$2,FALSE)&gt;R20,R20,VLOOKUP(D20,'Pre-Assessment Estimator'!$C$10:$W$100,'Pre-Assessment Estimator'!$E$2,FALSE))+BU20))</f>
        <v>0</v>
      </c>
      <c r="X20" s="208">
        <f>IF((IF(VLOOKUP(D20,'Pre-Assessment Estimator'!$C$10:$W$100,'Pre-Assessment Estimator'!$L$2,FALSE)&gt;R20,R20,VLOOKUP(D20,'Pre-Assessment Estimator'!$C$10:$W$100,'Pre-Assessment Estimator'!$L$2,FALSE))+BU20)&lt;0,0,(IF(VLOOKUP(D20,'Pre-Assessment Estimator'!$C$10:$W$100,'Pre-Assessment Estimator'!$L$2,FALSE)&gt;R20,R20,VLOOKUP(D20,'Pre-Assessment Estimator'!$C$10:$W$100,'Pre-Assessment Estimator'!$L$2,FALSE))+BU20))</f>
        <v>0</v>
      </c>
      <c r="Y20" s="208">
        <f>IF((IF(VLOOKUP(D20,'Pre-Assessment Estimator'!$C$10:$W$100,'Pre-Assessment Estimator'!$R$2,FALSE)&gt;R20,R20,VLOOKUP(D20,'Pre-Assessment Estimator'!$C$10:$W$100,'Pre-Assessment Estimator'!$R$2,FALSE))+BU20)&lt;0,0,(IF(VLOOKUP(D20,'Pre-Assessment Estimator'!$C$10:$W$100,'Pre-Assessment Estimator'!$R$2,FALSE)&gt;R20,R20,VLOOKUP(D20,'Pre-Assessment Estimator'!$C$10:$W$100,'Pre-Assessment Estimator'!$R$2,FALSE))+BU20))</f>
        <v>0</v>
      </c>
      <c r="Z20" s="106" t="s">
        <v>546</v>
      </c>
      <c r="AA20" s="360"/>
      <c r="AB20" s="219"/>
      <c r="AC20" s="374">
        <v>2</v>
      </c>
      <c r="AD20" s="219">
        <v>3</v>
      </c>
      <c r="AE20" s="224">
        <v>3</v>
      </c>
      <c r="AF20" s="169"/>
      <c r="AG20" s="360"/>
      <c r="AH20" s="219"/>
      <c r="AI20" s="374">
        <v>2</v>
      </c>
      <c r="AJ20" s="219">
        <v>3</v>
      </c>
      <c r="AK20" s="224">
        <v>3</v>
      </c>
      <c r="AM20" s="220"/>
      <c r="AN20" s="221"/>
      <c r="AO20" s="221">
        <f>IF($D$5=$G$8,AI20,AC20)</f>
        <v>2</v>
      </c>
      <c r="AP20" s="221">
        <f>IF($D$5=$G$8,AJ20,AD20)</f>
        <v>3</v>
      </c>
      <c r="AQ20" s="213">
        <f>IF($D$5=$G$8,AK20,AE20)</f>
        <v>3</v>
      </c>
      <c r="AR20" s="870">
        <f>IF(AQ20=0,9,IF((W20-BU20)&gt;=AQ20,5,IF((W20-BU20)&gt;=AP20,4,IF((W20-BU20)&gt;=AO20,3,IF((W20-BU20)&gt;=AN20,2,IF((W20-BU20)&lt;AM20,0,1))))))</f>
        <v>2</v>
      </c>
      <c r="AS20" s="203" t="str">
        <f t="shared" si="17"/>
        <v>Good</v>
      </c>
      <c r="AT20" s="223"/>
      <c r="AU20" s="220">
        <f>IF(AQ20=0,9,IF((X20-BU20)&gt;=AQ20,5,IF((X20-BU20)&gt;=AP20,4,IF((X20-BU20)&gt;=AO20,3,IF((X20-BU20)&gt;=AN20,2,IF((X20-BU20)&lt;AM20,0,1))))))</f>
        <v>2</v>
      </c>
      <c r="AV20" s="203" t="str">
        <f t="shared" si="19"/>
        <v>Good</v>
      </c>
      <c r="AW20" s="223"/>
      <c r="AX20" s="220">
        <f>IF(AQ20=0,9,IF((Y20-BU20)&gt;=AQ20,5,IF((Y20-BU20)&gt;=AP20,4,IF((Y20-BU20)&gt;=AO20,3,IF((Y20-BU20)&gt;=AN20,2,IF((Y20-BU20)&lt;AM20,0,1))))))</f>
        <v>2</v>
      </c>
      <c r="AY20" s="203" t="str">
        <f t="shared" si="20"/>
        <v>Good</v>
      </c>
      <c r="AZ20" s="223"/>
      <c r="BA20" s="106" t="s">
        <v>580</v>
      </c>
      <c r="BD20" s="202" t="s">
        <v>99</v>
      </c>
      <c r="BE20" s="203" t="s">
        <v>99</v>
      </c>
      <c r="BF20" s="203">
        <f>VLOOKUP($BD20,$C$9:$AY$104,AR$1,FALSE)</f>
        <v>0</v>
      </c>
      <c r="BG20" s="203">
        <f>VLOOKUP($BD20,$C$9:$AY$104,AU$1,FALSE)</f>
        <v>0</v>
      </c>
      <c r="BH20" s="223">
        <f>VLOOKUP($BD20,$C$9:$AY$104,AX$1,FALSE)</f>
        <v>0</v>
      </c>
      <c r="BK20" s="203" t="str">
        <f t="shared" ref="BK20:BK27" si="23">C20</f>
        <v>Hea 02</v>
      </c>
      <c r="BL20" s="203" t="str">
        <f>IFERROR(VLOOKUP($D20,'Pre-Assessment Estimator'!$C$10:$X$100,'Pre-Assessment Estimator'!X$2,FALSE),"")</f>
        <v>O2: VOC (AC 8-9: -1,0 c)</v>
      </c>
      <c r="BM20" s="278" t="str">
        <f>IFERROR(VLOOKUP($D20,'Pre-Assessment Estimator'!$C$10:$AE$100,'Pre-Assessment Estimator'!AE$2,FALSE),"")</f>
        <v>Ja</v>
      </c>
      <c r="BN20" s="203">
        <f t="shared" si="10"/>
        <v>-1</v>
      </c>
      <c r="BO20" s="854" t="s">
        <v>549</v>
      </c>
      <c r="BP20" s="203">
        <f>G150</f>
        <v>5</v>
      </c>
      <c r="BQ20" s="106" t="s">
        <v>550</v>
      </c>
      <c r="BR20" s="106" t="s">
        <v>557</v>
      </c>
      <c r="BS20" s="203">
        <f t="shared" si="21"/>
        <v>0</v>
      </c>
      <c r="BU20" s="863">
        <f>IF($BL$4=ais_no,BS20,IF(AND(BO20=$BO$3,BL20=$BQ$3),0,BN20))</f>
        <v>0</v>
      </c>
      <c r="BW20" s="106" t="s">
        <v>524</v>
      </c>
    </row>
    <row r="21" spans="1:75" x14ac:dyDescent="0.25">
      <c r="A21" s="106">
        <v>14</v>
      </c>
      <c r="C21" s="202" t="s">
        <v>126</v>
      </c>
      <c r="D21" s="203" t="s">
        <v>117</v>
      </c>
      <c r="E21" s="216">
        <v>2</v>
      </c>
      <c r="F21" s="216">
        <v>2</v>
      </c>
      <c r="G21" s="216">
        <v>2</v>
      </c>
      <c r="H21" s="216">
        <v>2</v>
      </c>
      <c r="I21" s="217">
        <v>2</v>
      </c>
      <c r="K21" s="266">
        <f t="shared" si="16"/>
        <v>2</v>
      </c>
      <c r="L21" s="267">
        <f>IF(AND(ADBT0=ADBT1,ADIND_option03=AD_no),Poeng!K21,0)</f>
        <v>0</v>
      </c>
      <c r="M21" s="203"/>
      <c r="N21" s="203"/>
      <c r="O21" s="203">
        <f>'Manuell filtrering og justering'!D19</f>
        <v>0</v>
      </c>
      <c r="P21" s="204">
        <f>VLOOKUP(C21,'Manuell filtrering og justering'!$A$7:$G$97,'Manuell filtrering og justering'!$G$1,FALSE)</f>
        <v>2</v>
      </c>
      <c r="Q21" s="205">
        <f t="shared" si="22"/>
        <v>0</v>
      </c>
      <c r="R21" s="206">
        <f>IF($S$4='Manuell filtrering og justering'!$I$2,P21,(K21-Q21))</f>
        <v>2</v>
      </c>
      <c r="T21" s="207">
        <f>(Hea_Weight/Hea_Credits)*Hea03_credits</f>
        <v>1.4999999999999999E-2</v>
      </c>
      <c r="U21" s="207">
        <f>IF(R21=0,0,(Hea03_09/Hea03_credits)*Hea03_user)</f>
        <v>0</v>
      </c>
      <c r="W21" s="259">
        <f>IF(VLOOKUP(D21,'Pre-Assessment Estimator'!$C$10:$W$100,'Pre-Assessment Estimator'!$E$2,FALSE)&gt;R21,R21,VLOOKUP(D21,'Pre-Assessment Estimator'!$C$10:$W$100,'Pre-Assessment Estimator'!$E$2,FALSE))*BU21</f>
        <v>0</v>
      </c>
      <c r="X21" s="208">
        <f>IF(VLOOKUP(D21,'Pre-Assessment Estimator'!$C$10:$W$100,'Pre-Assessment Estimator'!$L$2,FALSE)&gt;R21,R21,VLOOKUP(D21,'Pre-Assessment Estimator'!$C$10:$W$100,'Pre-Assessment Estimator'!$L$2,FALSE))*BU21</f>
        <v>0</v>
      </c>
      <c r="Y21" s="208">
        <f>IF(VLOOKUP(D21,'Pre-Assessment Estimator'!$C$10:$W$100,'Pre-Assessment Estimator'!$R$2,FALSE)&gt;R21,R21,VLOOKUP(D21,'Pre-Assessment Estimator'!$C$10:$W$100,'Pre-Assessment Estimator'!$R$2,FALSE))*BU21</f>
        <v>0</v>
      </c>
      <c r="Z21" s="106" t="s">
        <v>546</v>
      </c>
      <c r="AA21" s="361"/>
      <c r="AB21" s="362"/>
      <c r="AC21" s="362"/>
      <c r="AD21" s="362"/>
      <c r="AE21" s="363"/>
      <c r="AF21" s="169"/>
      <c r="AG21" s="361"/>
      <c r="AH21" s="362"/>
      <c r="AI21" s="362"/>
      <c r="AJ21" s="362"/>
      <c r="AK21" s="363"/>
      <c r="AM21" s="226"/>
      <c r="AN21" s="227"/>
      <c r="AO21" s="227"/>
      <c r="AP21" s="227"/>
      <c r="AQ21" s="228">
        <f>IF($D$5=$G$8,AK21,AE21)</f>
        <v>0</v>
      </c>
      <c r="AR21" s="220">
        <f t="shared" si="14"/>
        <v>9</v>
      </c>
      <c r="AS21" s="203" t="str">
        <f t="shared" si="17"/>
        <v>N/A</v>
      </c>
      <c r="AT21" s="223"/>
      <c r="AU21" s="220">
        <f t="shared" si="18"/>
        <v>9</v>
      </c>
      <c r="AV21" s="203" t="str">
        <f t="shared" si="19"/>
        <v>N/A</v>
      </c>
      <c r="AW21" s="223"/>
      <c r="AX21" s="220">
        <f t="shared" si="8"/>
        <v>9</v>
      </c>
      <c r="AY21" s="203" t="str">
        <f t="shared" si="20"/>
        <v>N/A</v>
      </c>
      <c r="AZ21" s="223"/>
      <c r="BD21" s="202" t="s">
        <v>100</v>
      </c>
      <c r="BE21" s="203" t="s">
        <v>100</v>
      </c>
      <c r="BF21" s="203">
        <f>VLOOKUP($BD21,$C$9:$AY$104,AR$1,FALSE)</f>
        <v>3</v>
      </c>
      <c r="BG21" s="203">
        <f>VLOOKUP($BD21,$C$9:$AY$104,AU$1,FALSE)</f>
        <v>3</v>
      </c>
      <c r="BH21" s="223">
        <f>VLOOKUP($BD21,$C$9:$AY$104,AX$1,FALSE)</f>
        <v>3</v>
      </c>
      <c r="BK21" s="203" t="str">
        <f t="shared" si="23"/>
        <v>Hea 03</v>
      </c>
      <c r="BL21" s="203" t="str">
        <f>IFERROR(VLOOKUP($D21,'Pre-Assessment Estimator'!$C$10:$X$100,'Pre-Assessment Estimator'!X$2,FALSE),"")</f>
        <v>No</v>
      </c>
      <c r="BM21" s="278" t="str">
        <f>IFERROR(VLOOKUP($D21,'Pre-Assessment Estimator'!$C$10:$AE$100,'Pre-Assessment Estimator'!AE$2,FALSE),"")</f>
        <v>Ja</v>
      </c>
      <c r="BN21" s="203">
        <f t="shared" si="10"/>
        <v>1</v>
      </c>
      <c r="BO21" s="862" t="s">
        <v>551</v>
      </c>
      <c r="BP21" s="203"/>
      <c r="BQ21" s="106" t="str">
        <f t="shared" si="12"/>
        <v/>
      </c>
      <c r="BR21" s="106" t="s">
        <v>557</v>
      </c>
      <c r="BS21" s="203">
        <f t="shared" si="21"/>
        <v>1</v>
      </c>
      <c r="BU21" s="863">
        <f>IF($BL$4=ais_no,BS21,IF(AND(BO21=$BO$3,BL21=$BQ$3),0,BN21))</f>
        <v>1</v>
      </c>
    </row>
    <row r="22" spans="1:75" x14ac:dyDescent="0.25">
      <c r="A22" s="106">
        <v>15</v>
      </c>
      <c r="C22" s="202" t="s">
        <v>127</v>
      </c>
      <c r="D22" s="203" t="s">
        <v>118</v>
      </c>
      <c r="E22" s="216">
        <v>1</v>
      </c>
      <c r="F22" s="216">
        <v>1</v>
      </c>
      <c r="G22" s="216">
        <v>1</v>
      </c>
      <c r="H22" s="216">
        <v>1</v>
      </c>
      <c r="I22" s="217">
        <v>1</v>
      </c>
      <c r="K22" s="266">
        <f t="shared" si="16"/>
        <v>1</v>
      </c>
      <c r="L22" s="202"/>
      <c r="M22" s="203"/>
      <c r="N22" s="203"/>
      <c r="O22" s="203">
        <f>'Manuell filtrering og justering'!D20</f>
        <v>0</v>
      </c>
      <c r="P22" s="204">
        <f>VLOOKUP(C22,'Manuell filtrering og justering'!$A$7:$G$97,'Manuell filtrering og justering'!$G$1,FALSE)</f>
        <v>1</v>
      </c>
      <c r="Q22" s="205">
        <f t="shared" si="22"/>
        <v>0</v>
      </c>
      <c r="R22" s="206">
        <f>IF($S$4='Manuell filtrering og justering'!$I$2,P22,(K22-Q22))</f>
        <v>1</v>
      </c>
      <c r="T22" s="207">
        <f>(Hea_Weight/Hea_Credits)*Hea04_credits</f>
        <v>7.4999999999999997E-3</v>
      </c>
      <c r="U22" s="207">
        <f>IF(R22=0,0,(Hea04_12/Hea04_credits)*Hea04_user)</f>
        <v>0</v>
      </c>
      <c r="W22" s="259">
        <f>IF(VLOOKUP(D22,'Pre-Assessment Estimator'!$C$10:$W$100,'Pre-Assessment Estimator'!$E$2,FALSE)&gt;R22,R22,VLOOKUP(D22,'Pre-Assessment Estimator'!$C$10:$W$100,'Pre-Assessment Estimator'!$E$2,FALSE))*BU22</f>
        <v>0</v>
      </c>
      <c r="X22" s="208">
        <f>IF(VLOOKUP(D22,'Pre-Assessment Estimator'!$C$10:$W$100,'Pre-Assessment Estimator'!$L$2,FALSE)&gt;R22,R22,VLOOKUP(D22,'Pre-Assessment Estimator'!$C$10:$W$100,'Pre-Assessment Estimator'!$L$2,FALSE))*BU22</f>
        <v>0</v>
      </c>
      <c r="Y22" s="208">
        <f>IF(VLOOKUP(D22,'Pre-Assessment Estimator'!$C$10:$W$100,'Pre-Assessment Estimator'!$R$2,FALSE)&gt;R22,R22,VLOOKUP(D22,'Pre-Assessment Estimator'!$C$10:$W$100,'Pre-Assessment Estimator'!$R$2,FALSE))*BU22</f>
        <v>0</v>
      </c>
      <c r="Z22" s="106" t="s">
        <v>546</v>
      </c>
      <c r="AA22" s="361"/>
      <c r="AB22" s="362"/>
      <c r="AC22" s="362"/>
      <c r="AD22" s="362"/>
      <c r="AE22" s="363"/>
      <c r="AF22" s="169"/>
      <c r="AG22" s="361"/>
      <c r="AH22" s="362"/>
      <c r="AI22" s="362"/>
      <c r="AJ22" s="362"/>
      <c r="AK22" s="363"/>
      <c r="AM22" s="226"/>
      <c r="AN22" s="227"/>
      <c r="AO22" s="227"/>
      <c r="AP22" s="227"/>
      <c r="AQ22" s="228">
        <f>IF($D$5=$G$8,AK22,AE22)</f>
        <v>0</v>
      </c>
      <c r="AR22" s="220">
        <f t="shared" si="14"/>
        <v>9</v>
      </c>
      <c r="AS22" s="203" t="str">
        <f t="shared" si="17"/>
        <v>N/A</v>
      </c>
      <c r="AT22" s="223"/>
      <c r="AU22" s="220">
        <f t="shared" si="18"/>
        <v>9</v>
      </c>
      <c r="AV22" s="203" t="str">
        <f t="shared" si="19"/>
        <v>N/A</v>
      </c>
      <c r="AW22" s="223"/>
      <c r="AX22" s="220">
        <f t="shared" si="8"/>
        <v>9</v>
      </c>
      <c r="AY22" s="203" t="str">
        <f t="shared" si="20"/>
        <v>N/A</v>
      </c>
      <c r="AZ22" s="223"/>
      <c r="BC22" s="292"/>
      <c r="BD22" s="202" t="s">
        <v>47</v>
      </c>
      <c r="BE22" s="203" t="s">
        <v>124</v>
      </c>
      <c r="BF22" s="203">
        <f>VLOOKUP($BD22,$C$9:$AY$104,AR$1,FALSE)</f>
        <v>0</v>
      </c>
      <c r="BG22" s="203">
        <f>VLOOKUP($BD22,$C$9:$AY$104,AU$1,FALSE)</f>
        <v>0</v>
      </c>
      <c r="BH22" s="223">
        <f>VLOOKUP($BD22,$C$9:$AY$104,AX$1,FALSE)</f>
        <v>0</v>
      </c>
      <c r="BK22" s="203" t="str">
        <f t="shared" si="23"/>
        <v>Hea 04</v>
      </c>
      <c r="BL22" s="203" t="str">
        <f>IFERROR(VLOOKUP($D22,'Pre-Assessment Estimator'!$C$10:$X$100,'Pre-Assessment Estimator'!X$2,FALSE),"")</f>
        <v>No</v>
      </c>
      <c r="BM22" s="278" t="str">
        <f>IFERROR(VLOOKUP($D22,'Pre-Assessment Estimator'!$C$10:$AE$100,'Pre-Assessment Estimator'!AE$2,FALSE),"")</f>
        <v>Ja</v>
      </c>
      <c r="BN22" s="203">
        <f t="shared" si="10"/>
        <v>1</v>
      </c>
      <c r="BO22" s="862" t="s">
        <v>551</v>
      </c>
      <c r="BP22" s="203"/>
      <c r="BQ22" s="106" t="str">
        <f t="shared" si="12"/>
        <v/>
      </c>
      <c r="BR22" s="106" t="s">
        <v>557</v>
      </c>
      <c r="BS22" s="203">
        <f t="shared" si="21"/>
        <v>1</v>
      </c>
      <c r="BU22" s="863">
        <f>IF($BL$4=ais_no,BS22,IF(AND(BO22=$BO$3,BL22=$BQ$3),0,BN22))</f>
        <v>1</v>
      </c>
    </row>
    <row r="23" spans="1:75" x14ac:dyDescent="0.25">
      <c r="A23" s="106">
        <v>16</v>
      </c>
      <c r="C23" s="202" t="s">
        <v>128</v>
      </c>
      <c r="D23" s="203" t="s">
        <v>134</v>
      </c>
      <c r="E23" s="216">
        <v>2</v>
      </c>
      <c r="F23" s="216">
        <v>2</v>
      </c>
      <c r="G23" s="216">
        <v>4</v>
      </c>
      <c r="H23" s="216">
        <v>2</v>
      </c>
      <c r="I23" s="217">
        <v>2</v>
      </c>
      <c r="K23" s="266">
        <f t="shared" si="16"/>
        <v>2</v>
      </c>
      <c r="L23" s="202"/>
      <c r="M23" s="203"/>
      <c r="N23" s="203"/>
      <c r="O23" s="203">
        <f>'Manuell filtrering og justering'!D21</f>
        <v>0</v>
      </c>
      <c r="P23" s="204">
        <f>VLOOKUP(C23,'Manuell filtrering og justering'!$A$7:$G$97,'Manuell filtrering og justering'!$G$1,FALSE)</f>
        <v>2</v>
      </c>
      <c r="Q23" s="205">
        <f t="shared" si="22"/>
        <v>0</v>
      </c>
      <c r="R23" s="206">
        <f>IF($S$4='Manuell filtrering og justering'!$I$2,P23,(K23-Q23))</f>
        <v>2</v>
      </c>
      <c r="T23" s="207">
        <f>(Hea_Weight/Hea_Credits)*Hea05_credits</f>
        <v>1.4999999999999999E-2</v>
      </c>
      <c r="U23" s="207">
        <f>IF(R23=0,0,(Hea05_07/Hea05_credits)*Hea05_user)</f>
        <v>0</v>
      </c>
      <c r="W23" s="259">
        <f>IF(VLOOKUP(D23,'Pre-Assessment Estimator'!$C$10:$W$100,'Pre-Assessment Estimator'!$E$2,FALSE)&gt;R23,R23,VLOOKUP(D23,'Pre-Assessment Estimator'!$C$10:$W$100,'Pre-Assessment Estimator'!$E$2,FALSE))</f>
        <v>0</v>
      </c>
      <c r="X23" s="208">
        <f>IF(VLOOKUP(D23,'Pre-Assessment Estimator'!$C$10:$W$100,'Pre-Assessment Estimator'!$L$2,FALSE)&gt;R23,R23,VLOOKUP(D23,'Pre-Assessment Estimator'!$C$10:$W$100,'Pre-Assessment Estimator'!$L$2,FALSE))</f>
        <v>0</v>
      </c>
      <c r="Y23" s="208">
        <f>IF(VLOOKUP(D23,'Pre-Assessment Estimator'!$C$10:$W$100,'Pre-Assessment Estimator'!$R$2,FALSE)&gt;R23,R23,VLOOKUP(D23,'Pre-Assessment Estimator'!$C$10:$W$100,'Pre-Assessment Estimator'!$R$2,FALSE))</f>
        <v>0</v>
      </c>
      <c r="AA23" s="361"/>
      <c r="AB23" s="362"/>
      <c r="AC23" s="362"/>
      <c r="AD23" s="362"/>
      <c r="AE23" s="363"/>
      <c r="AF23" s="169"/>
      <c r="AG23" s="361"/>
      <c r="AH23" s="362"/>
      <c r="AI23" s="362"/>
      <c r="AJ23" s="362"/>
      <c r="AK23" s="363"/>
      <c r="AM23" s="226"/>
      <c r="AN23" s="227"/>
      <c r="AO23" s="227"/>
      <c r="AP23" s="227"/>
      <c r="AQ23" s="228">
        <f t="shared" si="0"/>
        <v>0</v>
      </c>
      <c r="AR23" s="220">
        <f t="shared" si="14"/>
        <v>9</v>
      </c>
      <c r="AS23" s="203" t="str">
        <f t="shared" si="17"/>
        <v>N/A</v>
      </c>
      <c r="AT23" s="223"/>
      <c r="AU23" s="220">
        <f t="shared" si="18"/>
        <v>9</v>
      </c>
      <c r="AV23" s="203" t="str">
        <f t="shared" si="19"/>
        <v>N/A</v>
      </c>
      <c r="AW23" s="223"/>
      <c r="AX23" s="220">
        <f t="shared" si="8"/>
        <v>9</v>
      </c>
      <c r="AY23" s="203" t="str">
        <f t="shared" si="20"/>
        <v>N/A</v>
      </c>
      <c r="AZ23" s="223"/>
      <c r="BC23" s="292"/>
      <c r="BD23" s="202" t="s">
        <v>125</v>
      </c>
      <c r="BE23" s="203" t="s">
        <v>125</v>
      </c>
      <c r="BF23" s="203">
        <f>VLOOKUP($BD23,$C$9:$AY$104,AR$1,FALSE)</f>
        <v>2</v>
      </c>
      <c r="BG23" s="203">
        <f>VLOOKUP($BD23,$C$9:$AY$104,AU$1,FALSE)</f>
        <v>2</v>
      </c>
      <c r="BH23" s="223">
        <f>VLOOKUP($BD23,$C$9:$AY$104,AX$1,FALSE)</f>
        <v>2</v>
      </c>
      <c r="BK23" s="203" t="str">
        <f t="shared" si="23"/>
        <v>Hea 05</v>
      </c>
      <c r="BL23" s="203" t="str">
        <f>IFERROR(VLOOKUP($D23,'Pre-Assessment Estimator'!$C$10:$X$100,'Pre-Assessment Estimator'!X$2,FALSE),"")</f>
        <v>No</v>
      </c>
      <c r="BM23" s="203">
        <f>IFERROR(VLOOKUP($D23,'Pre-Assessment Estimator'!$C$10:$AE$100,'Pre-Assessment Estimator'!AE$2,FALSE),"")</f>
        <v>0</v>
      </c>
      <c r="BN23" s="203">
        <f t="shared" si="10"/>
        <v>1</v>
      </c>
      <c r="BO23" s="203">
        <f t="shared" si="11"/>
        <v>0</v>
      </c>
      <c r="BP23" s="203"/>
      <c r="BQ23" s="106" t="str">
        <f t="shared" si="12"/>
        <v/>
      </c>
    </row>
    <row r="24" spans="1:75" x14ac:dyDescent="0.25">
      <c r="A24" s="106">
        <v>17</v>
      </c>
      <c r="C24" s="202" t="s">
        <v>129</v>
      </c>
      <c r="D24" s="203" t="s">
        <v>119</v>
      </c>
      <c r="E24" s="216">
        <v>2</v>
      </c>
      <c r="F24" s="216">
        <v>2</v>
      </c>
      <c r="G24" s="216">
        <v>3</v>
      </c>
      <c r="H24" s="216">
        <v>2</v>
      </c>
      <c r="I24" s="217">
        <v>2</v>
      </c>
      <c r="K24" s="266">
        <f t="shared" si="16"/>
        <v>2</v>
      </c>
      <c r="L24" s="267">
        <f>IF(AD_SiteAccess=AD_no,K24,0)</f>
        <v>0</v>
      </c>
      <c r="M24" s="203"/>
      <c r="N24" s="203"/>
      <c r="O24" s="203">
        <f>'Manuell filtrering og justering'!D22</f>
        <v>0</v>
      </c>
      <c r="P24" s="204">
        <f>VLOOKUP(C24,'Manuell filtrering og justering'!$A$7:$G$97,'Manuell filtrering og justering'!$G$1,FALSE)</f>
        <v>2</v>
      </c>
      <c r="Q24" s="205">
        <f t="shared" si="22"/>
        <v>0</v>
      </c>
      <c r="R24" s="206">
        <f>IF($S$4='Manuell filtrering og justering'!$I$2,P24,(K24-Q24))</f>
        <v>2</v>
      </c>
      <c r="T24" s="207">
        <f>(Hea_Weight/Hea_Credits)*Hea06_credits</f>
        <v>1.4999999999999999E-2</v>
      </c>
      <c r="U24" s="207">
        <f>IF(R24=0,0,(Hea06_07/Hea06_credits)*Hea06_user)</f>
        <v>0</v>
      </c>
      <c r="W24" s="259">
        <f>IF(VLOOKUP(D24,'Pre-Assessment Estimator'!$C$10:$W$100,'Pre-Assessment Estimator'!$E$2,FALSE)&gt;R24,R24,VLOOKUP(D24,'Pre-Assessment Estimator'!$C$10:$W$100,'Pre-Assessment Estimator'!$E$2,FALSE))</f>
        <v>0</v>
      </c>
      <c r="X24" s="208">
        <f>IF(VLOOKUP(D24,'Pre-Assessment Estimator'!$C$10:$W$100,'Pre-Assessment Estimator'!$L$2,FALSE)&gt;R24,R24,VLOOKUP(D24,'Pre-Assessment Estimator'!$C$10:$W$100,'Pre-Assessment Estimator'!$L$2,FALSE))</f>
        <v>0</v>
      </c>
      <c r="Y24" s="208">
        <f>IF(VLOOKUP(D24,'Pre-Assessment Estimator'!$C$10:$W$100,'Pre-Assessment Estimator'!$R$2,FALSE)&gt;R24,R24,VLOOKUP(D24,'Pre-Assessment Estimator'!$C$10:$W$100,'Pre-Assessment Estimator'!$R$2,FALSE))</f>
        <v>0</v>
      </c>
      <c r="AA24" s="361"/>
      <c r="AB24" s="362"/>
      <c r="AC24" s="362"/>
      <c r="AD24" s="362"/>
      <c r="AE24" s="363"/>
      <c r="AF24" s="169"/>
      <c r="AG24" s="361"/>
      <c r="AH24" s="362"/>
      <c r="AI24" s="362"/>
      <c r="AJ24" s="362"/>
      <c r="AK24" s="363"/>
      <c r="AM24" s="226"/>
      <c r="AN24" s="227"/>
      <c r="AO24" s="227"/>
      <c r="AP24" s="227"/>
      <c r="AQ24" s="228">
        <f t="shared" si="0"/>
        <v>0</v>
      </c>
      <c r="AR24" s="220">
        <f t="shared" si="14"/>
        <v>9</v>
      </c>
      <c r="AS24" s="203" t="str">
        <f t="shared" si="17"/>
        <v>N/A</v>
      </c>
      <c r="AT24" s="223"/>
      <c r="AU24" s="220">
        <f t="shared" si="18"/>
        <v>9</v>
      </c>
      <c r="AV24" s="203" t="str">
        <f t="shared" si="19"/>
        <v>N/A</v>
      </c>
      <c r="AW24" s="223"/>
      <c r="AX24" s="220">
        <f t="shared" si="8"/>
        <v>9</v>
      </c>
      <c r="AY24" s="203" t="str">
        <f t="shared" si="20"/>
        <v>N/A</v>
      </c>
      <c r="AZ24" s="223"/>
      <c r="BC24" s="292"/>
      <c r="BD24" s="202" t="s">
        <v>131</v>
      </c>
      <c r="BE24" s="203" t="str">
        <f>IF(D5&lt;&gt;G8,"","Hea 08")</f>
        <v/>
      </c>
      <c r="BF24" s="203" t="str">
        <f>IF(D5&lt;&gt;G8,"",VLOOKUP($BD24,$C$9:$AY$104,AR$1,FALSE))</f>
        <v/>
      </c>
      <c r="BG24" s="203" t="str">
        <f>IF(D5&lt;&gt;G8,"",VLOOKUP($BD24,$C$9:$AY$104,AR$1,FALSE))</f>
        <v/>
      </c>
      <c r="BH24" s="223" t="str">
        <f>IF(D5&lt;&gt;G8,"",VLOOKUP($BD24,$C$9:$AY$104,AR$1,FALSE))</f>
        <v/>
      </c>
      <c r="BI24" s="268" t="s">
        <v>347</v>
      </c>
      <c r="BK24" s="203" t="str">
        <f>C24</f>
        <v>Hea 06</v>
      </c>
      <c r="BL24" s="203" t="str">
        <f>IFERROR(VLOOKUP($D24,'Pre-Assessment Estimator'!$C$10:$X$100,'Pre-Assessment Estimator'!X$2,FALSE),"")</f>
        <v>N/A</v>
      </c>
      <c r="BM24" s="203">
        <f>IFERROR(VLOOKUP($D24,'Pre-Assessment Estimator'!$C$10:$AE$100,'Pre-Assessment Estimator'!AE$2,FALSE),"")</f>
        <v>0</v>
      </c>
      <c r="BN24" s="203">
        <f t="shared" si="10"/>
        <v>1</v>
      </c>
      <c r="BO24" s="203">
        <f t="shared" si="11"/>
        <v>0</v>
      </c>
      <c r="BP24" s="203"/>
      <c r="BQ24" s="106" t="str">
        <f t="shared" si="12"/>
        <v/>
      </c>
    </row>
    <row r="25" spans="1:75" x14ac:dyDescent="0.25">
      <c r="A25" s="106">
        <v>18</v>
      </c>
      <c r="C25" s="202" t="s">
        <v>130</v>
      </c>
      <c r="D25" s="203" t="s">
        <v>120</v>
      </c>
      <c r="E25" s="216">
        <v>1</v>
      </c>
      <c r="F25" s="216">
        <v>1</v>
      </c>
      <c r="G25" s="216">
        <v>1</v>
      </c>
      <c r="H25" s="216">
        <v>1</v>
      </c>
      <c r="I25" s="217">
        <v>1</v>
      </c>
      <c r="K25" s="266">
        <f t="shared" si="16"/>
        <v>1</v>
      </c>
      <c r="L25" s="267">
        <f>IF(AD_NaturalHazards='Assessment Details'!L58,Poeng!K25,0)</f>
        <v>0</v>
      </c>
      <c r="M25" s="203"/>
      <c r="N25" s="203"/>
      <c r="O25" s="203">
        <f>'Manuell filtrering og justering'!D23</f>
        <v>0</v>
      </c>
      <c r="P25" s="204">
        <f>VLOOKUP(C25,'Manuell filtrering og justering'!$A$7:$G$97,'Manuell filtrering og justering'!$G$1,FALSE)</f>
        <v>1</v>
      </c>
      <c r="Q25" s="205">
        <f t="shared" si="22"/>
        <v>0</v>
      </c>
      <c r="R25" s="206">
        <f>IF($S$4='Manuell filtrering og justering'!$I$2,(P25-Q25),(K25-Q25))</f>
        <v>1</v>
      </c>
      <c r="T25" s="207">
        <f>(Hea_Weight/Hea_Credits)*Hea07_Credits</f>
        <v>7.4999999999999997E-3</v>
      </c>
      <c r="U25" s="207">
        <f>IF(R25=0,0,(Hea07_07/Hea07_Credits)*Hea07_user)</f>
        <v>0</v>
      </c>
      <c r="W25" s="259">
        <f>IF(VLOOKUP(D25,'Pre-Assessment Estimator'!$C$10:$W$100,'Pre-Assessment Estimator'!$E$2,FALSE)&gt;R25,R25,VLOOKUP(D25,'Pre-Assessment Estimator'!$C$10:$W$100,'Pre-Assessment Estimator'!$E$2,FALSE))</f>
        <v>0</v>
      </c>
      <c r="X25" s="208">
        <f>IF(VLOOKUP(D25,'Pre-Assessment Estimator'!$C$10:$W$100,'Pre-Assessment Estimator'!$L$2,FALSE)&gt;R25,R25,VLOOKUP(D25,'Pre-Assessment Estimator'!$C$10:$W$100,'Pre-Assessment Estimator'!$L$2,FALSE))</f>
        <v>0</v>
      </c>
      <c r="Y25" s="208">
        <f>IF(VLOOKUP(D25,'Pre-Assessment Estimator'!$C$10:$W$100,'Pre-Assessment Estimator'!$R$2,FALSE)&gt;R25,R25,VLOOKUP(D25,'Pre-Assessment Estimator'!$C$10:$W$100,'Pre-Assessment Estimator'!$R$2,FALSE))</f>
        <v>0</v>
      </c>
      <c r="AA25" s="361"/>
      <c r="AB25" s="362"/>
      <c r="AC25" s="362"/>
      <c r="AD25" s="362"/>
      <c r="AE25" s="363"/>
      <c r="AF25" s="169"/>
      <c r="AG25" s="361"/>
      <c r="AH25" s="362"/>
      <c r="AI25" s="362"/>
      <c r="AJ25" s="362"/>
      <c r="AK25" s="363"/>
      <c r="AM25" s="226"/>
      <c r="AN25" s="227"/>
      <c r="AO25" s="227"/>
      <c r="AP25" s="227"/>
      <c r="AQ25" s="228">
        <f t="shared" si="0"/>
        <v>0</v>
      </c>
      <c r="AR25" s="220">
        <f t="shared" si="14"/>
        <v>9</v>
      </c>
      <c r="AS25" s="203" t="str">
        <f t="shared" si="17"/>
        <v>N/A</v>
      </c>
      <c r="AT25" s="223"/>
      <c r="AU25" s="220">
        <f t="shared" si="18"/>
        <v>9</v>
      </c>
      <c r="AV25" s="203" t="str">
        <f t="shared" si="19"/>
        <v>N/A</v>
      </c>
      <c r="AW25" s="223"/>
      <c r="AX25" s="220">
        <f t="shared" si="8"/>
        <v>9</v>
      </c>
      <c r="AY25" s="203" t="str">
        <f t="shared" si="20"/>
        <v>N/A</v>
      </c>
      <c r="AZ25" s="223"/>
      <c r="BC25" s="292"/>
      <c r="BD25" s="226" t="s">
        <v>132</v>
      </c>
      <c r="BE25" s="203" t="s">
        <v>132</v>
      </c>
      <c r="BF25" s="203">
        <f>VLOOKUP($BD25,$C$9:$AY$104,AR$1,FALSE)</f>
        <v>2</v>
      </c>
      <c r="BG25" s="203">
        <f>VLOOKUP($BD25,$C$9:$AY$104,AU$1,FALSE)</f>
        <v>2</v>
      </c>
      <c r="BH25" s="223">
        <f>VLOOKUP($BD25,$C$9:$AY$104,AX$1,FALSE)</f>
        <v>2</v>
      </c>
      <c r="BK25" s="203" t="str">
        <f t="shared" si="23"/>
        <v>Hea 07</v>
      </c>
      <c r="BL25" s="203" t="str">
        <f>IFERROR(VLOOKUP($D25,'Pre-Assessment Estimator'!$C$10:$X$100,'Pre-Assessment Estimator'!X$2,FALSE),"")</f>
        <v>N/A</v>
      </c>
      <c r="BM25" s="203">
        <f>IFERROR(VLOOKUP($D25,'Pre-Assessment Estimator'!$C$10:$AE$100,'Pre-Assessment Estimator'!AE$2,FALSE),"")</f>
        <v>0</v>
      </c>
      <c r="BN25" s="203">
        <f t="shared" si="10"/>
        <v>1</v>
      </c>
      <c r="BO25" s="203">
        <f t="shared" si="11"/>
        <v>0</v>
      </c>
      <c r="BP25" s="203"/>
      <c r="BQ25" s="106" t="str">
        <f t="shared" si="12"/>
        <v/>
      </c>
    </row>
    <row r="26" spans="1:75" x14ac:dyDescent="0.25">
      <c r="A26" s="106">
        <v>19</v>
      </c>
      <c r="C26" s="202" t="s">
        <v>131</v>
      </c>
      <c r="D26" s="203" t="s">
        <v>123</v>
      </c>
      <c r="E26" s="216"/>
      <c r="F26" s="216"/>
      <c r="G26" s="216">
        <v>1</v>
      </c>
      <c r="H26" s="216"/>
      <c r="I26" s="217"/>
      <c r="K26" s="266">
        <f t="shared" si="16"/>
        <v>0</v>
      </c>
      <c r="L26" s="202"/>
      <c r="M26" s="203"/>
      <c r="N26" s="203"/>
      <c r="O26" s="203">
        <f>'Manuell filtrering og justering'!D24</f>
        <v>0</v>
      </c>
      <c r="P26" s="204">
        <f>VLOOKUP(C26,'Manuell filtrering og justering'!$A$7:$G$97,'Manuell filtrering og justering'!$G$1,FALSE)</f>
        <v>0</v>
      </c>
      <c r="Q26" s="205">
        <f t="shared" si="22"/>
        <v>0</v>
      </c>
      <c r="R26" s="206">
        <f>IF($S$4='Manuell filtrering og justering'!$I$2,P26,(K26-Q26))</f>
        <v>0</v>
      </c>
      <c r="T26" s="207">
        <f>(Hea_Weight/Hea_Credits)*Hea08_Credits</f>
        <v>0</v>
      </c>
      <c r="U26" s="207">
        <f>IFERROR((Hea08_07/Hea08_Credits)*Hea08_user,0)</f>
        <v>0</v>
      </c>
      <c r="W26" s="259">
        <f>IF(VLOOKUP(D26,'Pre-Assessment Estimator'!$C$10:$W$100,'Pre-Assessment Estimator'!$E$2,FALSE)&gt;R26,R26,VLOOKUP(D26,'Pre-Assessment Estimator'!$C$10:$W$100,'Pre-Assessment Estimator'!$E$2,FALSE))</f>
        <v>0</v>
      </c>
      <c r="X26" s="208">
        <f>IF(VLOOKUP(D26,'Pre-Assessment Estimator'!$C$10:$W$100,'Pre-Assessment Estimator'!$L$2,FALSE)&gt;R26,R26,VLOOKUP(D26,'Pre-Assessment Estimator'!$C$10:$W$100,'Pre-Assessment Estimator'!$L$2,FALSE))</f>
        <v>0</v>
      </c>
      <c r="Y26" s="208">
        <f>IF(VLOOKUP(D26,'Pre-Assessment Estimator'!$C$10:$W$100,'Pre-Assessment Estimator'!$R$2,FALSE)&gt;R26,R26,VLOOKUP(D26,'Pre-Assessment Estimator'!$C$10:$W$100,'Pre-Assessment Estimator'!$R$2,FALSE))</f>
        <v>0</v>
      </c>
      <c r="AA26" s="360"/>
      <c r="AB26" s="219"/>
      <c r="AC26" s="219"/>
      <c r="AD26" s="219"/>
      <c r="AE26" s="224"/>
      <c r="AF26" s="169"/>
      <c r="AG26" s="360"/>
      <c r="AH26" s="219"/>
      <c r="AI26" s="219"/>
      <c r="AJ26" s="219"/>
      <c r="AK26" s="224">
        <v>1</v>
      </c>
      <c r="AM26" s="220"/>
      <c r="AN26" s="221"/>
      <c r="AO26" s="221"/>
      <c r="AP26" s="221"/>
      <c r="AQ26" s="225">
        <f t="shared" si="0"/>
        <v>0</v>
      </c>
      <c r="AR26" s="220">
        <f t="shared" si="14"/>
        <v>9</v>
      </c>
      <c r="AS26" s="203" t="str">
        <f t="shared" si="17"/>
        <v>N/A</v>
      </c>
      <c r="AT26" s="223"/>
      <c r="AU26" s="220">
        <f t="shared" si="18"/>
        <v>9</v>
      </c>
      <c r="AV26" s="203" t="str">
        <f t="shared" si="19"/>
        <v>N/A</v>
      </c>
      <c r="AW26" s="223"/>
      <c r="AX26" s="220">
        <f t="shared" si="8"/>
        <v>9</v>
      </c>
      <c r="AY26" s="203" t="str">
        <f t="shared" si="20"/>
        <v>N/A</v>
      </c>
      <c r="AZ26" s="223"/>
      <c r="BC26" s="292"/>
      <c r="BD26" s="202" t="s">
        <v>145</v>
      </c>
      <c r="BE26" s="203" t="s">
        <v>145</v>
      </c>
      <c r="BF26" s="203">
        <f>VLOOKUP($BD26,$C$9:$AY$104,AR$1,FALSE)</f>
        <v>3</v>
      </c>
      <c r="BG26" s="203">
        <f>VLOOKUP($BD26,$C$9:$AY$104,AU$1,FALSE)</f>
        <v>3</v>
      </c>
      <c r="BH26" s="223">
        <f>VLOOKUP($BD26,$C$9:$AY$104,AX$1,FALSE)</f>
        <v>3</v>
      </c>
      <c r="BI26" s="268"/>
      <c r="BK26" s="203" t="str">
        <f t="shared" si="23"/>
        <v>Hea 08</v>
      </c>
      <c r="BL26" s="203" t="str">
        <f>IFERROR(VLOOKUP($D26,'Pre-Assessment Estimator'!$C$10:$X$100,'Pre-Assessment Estimator'!X$2,FALSE),"")</f>
        <v>N/A</v>
      </c>
      <c r="BM26" s="203">
        <f>IFERROR(VLOOKUP($D26,'Pre-Assessment Estimator'!$C$10:$AE$100,'Pre-Assessment Estimator'!AE$2,FALSE),"")</f>
        <v>0</v>
      </c>
      <c r="BN26" s="203">
        <f t="shared" si="10"/>
        <v>1</v>
      </c>
      <c r="BO26" s="203">
        <f t="shared" si="11"/>
        <v>0</v>
      </c>
      <c r="BP26" s="203"/>
      <c r="BQ26" s="106" t="str">
        <f t="shared" si="12"/>
        <v/>
      </c>
    </row>
    <row r="27" spans="1:75" ht="15.75" thickBot="1" x14ac:dyDescent="0.3">
      <c r="A27" s="106">
        <v>20</v>
      </c>
      <c r="C27" s="230" t="s">
        <v>132</v>
      </c>
      <c r="D27" s="231" t="s">
        <v>121</v>
      </c>
      <c r="E27" s="232">
        <v>3</v>
      </c>
      <c r="F27" s="232">
        <v>3</v>
      </c>
      <c r="G27" s="232">
        <v>3</v>
      </c>
      <c r="H27" s="232">
        <v>3</v>
      </c>
      <c r="I27" s="233">
        <v>3</v>
      </c>
      <c r="K27" s="269">
        <f t="shared" si="16"/>
        <v>3</v>
      </c>
      <c r="L27" s="202"/>
      <c r="M27" s="203"/>
      <c r="N27" s="203"/>
      <c r="O27" s="203">
        <f>'Manuell filtrering og justering'!D25</f>
        <v>0</v>
      </c>
      <c r="P27" s="204">
        <f>VLOOKUP(C27,'Manuell filtrering og justering'!$A$7:$G$97,'Manuell filtrering og justering'!$G$1,FALSE)</f>
        <v>3</v>
      </c>
      <c r="Q27" s="205">
        <f t="shared" si="22"/>
        <v>0</v>
      </c>
      <c r="R27" s="206">
        <f>IF($S$4='Manuell filtrering og justering'!$I$2,P27,(K27-Q27))</f>
        <v>3</v>
      </c>
      <c r="T27" s="207">
        <f>(Hea_Weight/Hea_Credits)*Hea09_Credits</f>
        <v>2.2499999999999999E-2</v>
      </c>
      <c r="U27" s="207">
        <f>(T27/Hea09_Credits)*W27</f>
        <v>0</v>
      </c>
      <c r="W27" s="259">
        <f>IF(VLOOKUP(D27,'Pre-Assessment Estimator'!$C$10:$W$100,'Pre-Assessment Estimator'!$E$2,FALSE)&gt;R27,R27,VLOOKUP(D27,'Pre-Assessment Estimator'!$C$10:$W$100,'Pre-Assessment Estimator'!$E$2,FALSE))</f>
        <v>0</v>
      </c>
      <c r="X27" s="208">
        <f>IF(VLOOKUP(D27,'Pre-Assessment Estimator'!$C$10:$W$100,'Pre-Assessment Estimator'!$L$2,FALSE)&gt;R27,R27,VLOOKUP(D27,'Pre-Assessment Estimator'!$C$10:$W$100,'Pre-Assessment Estimator'!$L$2,FALSE))</f>
        <v>0</v>
      </c>
      <c r="Y27" s="208">
        <f>IF(VLOOKUP(D27,'Pre-Assessment Estimator'!$C$10:$W$100,'Pre-Assessment Estimator'!$R$2,FALSE)&gt;R27,R27,VLOOKUP(D27,'Pre-Assessment Estimator'!$C$10:$W$100,'Pre-Assessment Estimator'!$R$2,FALSE))</f>
        <v>0</v>
      </c>
      <c r="AA27" s="370"/>
      <c r="AB27" s="371"/>
      <c r="AC27" s="371">
        <v>1</v>
      </c>
      <c r="AD27" s="371">
        <v>1</v>
      </c>
      <c r="AE27" s="372">
        <v>1</v>
      </c>
      <c r="AF27" s="169"/>
      <c r="AG27" s="370"/>
      <c r="AH27" s="371"/>
      <c r="AI27" s="371">
        <v>1</v>
      </c>
      <c r="AJ27" s="371">
        <v>1</v>
      </c>
      <c r="AK27" s="372">
        <v>1</v>
      </c>
      <c r="AM27" s="241"/>
      <c r="AN27" s="270"/>
      <c r="AO27" s="270">
        <f t="shared" ref="AO27" si="24">IF($D$5=$G$8,AI27,AC27)</f>
        <v>1</v>
      </c>
      <c r="AP27" s="270">
        <f t="shared" ref="AP27" si="25">IF($D$5=$G$8,AJ27,AD27)</f>
        <v>1</v>
      </c>
      <c r="AQ27" s="271">
        <f t="shared" si="0"/>
        <v>1</v>
      </c>
      <c r="AR27" s="241">
        <f t="shared" si="14"/>
        <v>2</v>
      </c>
      <c r="AS27" s="242" t="str">
        <f t="shared" si="17"/>
        <v>Good</v>
      </c>
      <c r="AT27" s="243"/>
      <c r="AU27" s="241">
        <f t="shared" si="18"/>
        <v>2</v>
      </c>
      <c r="AV27" s="242" t="str">
        <f t="shared" si="19"/>
        <v>Good</v>
      </c>
      <c r="AW27" s="243"/>
      <c r="AX27" s="241">
        <f t="shared" si="8"/>
        <v>2</v>
      </c>
      <c r="AY27" s="242" t="str">
        <f t="shared" si="20"/>
        <v>Good</v>
      </c>
      <c r="AZ27" s="243"/>
      <c r="BC27" s="292"/>
      <c r="BD27" s="202" t="s">
        <v>146</v>
      </c>
      <c r="BE27" s="203" t="str">
        <f>IF(D5=G8,"","Ene 02")</f>
        <v>Ene 02</v>
      </c>
      <c r="BF27" s="203">
        <f>IF(D5=G8,"",VLOOKUP($BD27,$C$9:$AY$104,AR$1,FALSE))</f>
        <v>2</v>
      </c>
      <c r="BG27" s="203">
        <f>IF(D5=G8,"",VLOOKUP($BD27,$C$9:$AY$104,AU$1,FALSE))</f>
        <v>2</v>
      </c>
      <c r="BH27" s="223">
        <f>IF(D5=G8,"",VLOOKUP($BD27,$C$9:$AY$104,AX$1,FALSE))</f>
        <v>2</v>
      </c>
      <c r="BI27" s="268" t="s">
        <v>346</v>
      </c>
      <c r="BK27" s="231" t="str">
        <f t="shared" si="23"/>
        <v>Hea 09</v>
      </c>
      <c r="BL27" s="231" t="str">
        <f>IFERROR(VLOOKUP($D27,'Pre-Assessment Estimator'!$C$10:$X$100,'Pre-Assessment Estimator'!X$2,FALSE),"")</f>
        <v>N/A</v>
      </c>
      <c r="BM27" s="231">
        <f>IFERROR(VLOOKUP($D27,'Pre-Assessment Estimator'!$C$10:$AE$100,'Pre-Assessment Estimator'!AE$2,FALSE),"")</f>
        <v>0</v>
      </c>
      <c r="BN27" s="231">
        <f t="shared" si="10"/>
        <v>1</v>
      </c>
      <c r="BO27" s="231">
        <f t="shared" si="11"/>
        <v>0</v>
      </c>
      <c r="BP27" s="231"/>
      <c r="BQ27" s="106" t="str">
        <f t="shared" si="12"/>
        <v/>
      </c>
    </row>
    <row r="28" spans="1:75" ht="15.75" thickBot="1" x14ac:dyDescent="0.3">
      <c r="A28" s="106">
        <v>21</v>
      </c>
      <c r="C28" s="244"/>
      <c r="D28" s="245" t="s">
        <v>230</v>
      </c>
      <c r="E28" s="245">
        <f>SUM(E19:E27)</f>
        <v>22</v>
      </c>
      <c r="F28" s="245">
        <f t="shared" ref="F28:I28" si="26">SUM(F19:F27)</f>
        <v>22</v>
      </c>
      <c r="G28" s="245">
        <f t="shared" si="26"/>
        <v>24</v>
      </c>
      <c r="H28" s="245">
        <f t="shared" si="26"/>
        <v>22</v>
      </c>
      <c r="I28" s="246">
        <f t="shared" si="26"/>
        <v>22</v>
      </c>
      <c r="K28" s="272">
        <f t="shared" si="16"/>
        <v>22</v>
      </c>
      <c r="L28" s="248"/>
      <c r="M28" s="249"/>
      <c r="N28" s="249"/>
      <c r="O28" s="249"/>
      <c r="P28" s="250"/>
      <c r="Q28" s="251">
        <f>SUM(Q19:Q27)</f>
        <v>2</v>
      </c>
      <c r="R28" s="273">
        <f>SUM(R19:R27)</f>
        <v>20</v>
      </c>
      <c r="T28" s="253">
        <f>SUM(T19:T27)</f>
        <v>0.15</v>
      </c>
      <c r="U28" s="253">
        <f>SUM(U19:U27)</f>
        <v>0</v>
      </c>
      <c r="W28" s="19">
        <f>SUM(W19:W27)</f>
        <v>0</v>
      </c>
      <c r="X28" s="19">
        <f t="shared" ref="X28:Y28" si="27">SUM(X19:X27)</f>
        <v>0</v>
      </c>
      <c r="Y28" s="19">
        <f t="shared" si="27"/>
        <v>0</v>
      </c>
      <c r="AA28" s="169"/>
      <c r="AB28" s="169"/>
      <c r="AC28" s="169"/>
      <c r="AD28" s="169"/>
      <c r="AE28" s="169"/>
      <c r="AF28" s="169"/>
      <c r="AG28" s="169"/>
      <c r="AH28" s="169"/>
      <c r="AI28" s="169"/>
      <c r="AJ28" s="169"/>
      <c r="AK28" s="169"/>
      <c r="AM28" s="107"/>
      <c r="AN28" s="254"/>
      <c r="AO28" s="107"/>
      <c r="AP28" s="107"/>
      <c r="AQ28" s="107"/>
      <c r="BC28" s="292"/>
      <c r="BD28" s="202" t="s">
        <v>148</v>
      </c>
      <c r="BE28" s="203" t="s">
        <v>148</v>
      </c>
      <c r="BF28" s="203">
        <f t="shared" ref="BF28:BF34" si="28">VLOOKUP($BD28,$C$9:$AY$104,AR$1,FALSE)</f>
        <v>3</v>
      </c>
      <c r="BG28" s="203">
        <f t="shared" ref="BG28:BG34" si="29">VLOOKUP($BD28,$C$9:$AY$104,AU$1,FALSE)</f>
        <v>3</v>
      </c>
      <c r="BH28" s="223">
        <f t="shared" ref="BH28:BH34" si="30">VLOOKUP($BD28,$C$9:$AY$104,AX$1,FALSE)</f>
        <v>3</v>
      </c>
      <c r="BK28" s="245"/>
      <c r="BL28" s="245" t="str">
        <f>IFERROR(VLOOKUP($D28,'Pre-Assessment Estimator'!$C$10:$X$100,'Pre-Assessment Estimator'!X$2,FALSE),"")</f>
        <v/>
      </c>
      <c r="BM28" s="245" t="str">
        <f>IFERROR(VLOOKUP($D28,'Pre-Assessment Estimator'!$C$10:$AE$100,'Pre-Assessment Estimator'!AE$2,FALSE),"")</f>
        <v/>
      </c>
      <c r="BN28" s="245" t="str">
        <f t="shared" si="10"/>
        <v/>
      </c>
      <c r="BO28" s="245" t="str">
        <f t="shared" si="11"/>
        <v/>
      </c>
      <c r="BP28" s="245"/>
      <c r="BQ28" s="106" t="str">
        <f t="shared" si="12"/>
        <v/>
      </c>
    </row>
    <row r="29" spans="1:75" ht="15.75" thickBot="1" x14ac:dyDescent="0.3">
      <c r="A29" s="106">
        <v>22</v>
      </c>
      <c r="W29" s="3"/>
      <c r="X29" s="3"/>
      <c r="Y29" s="3"/>
      <c r="AA29" s="169"/>
      <c r="AB29" s="169"/>
      <c r="AC29" s="169"/>
      <c r="AD29" s="169"/>
      <c r="AE29" s="169"/>
      <c r="AF29" s="169"/>
      <c r="AG29" s="169"/>
      <c r="AH29" s="169"/>
      <c r="AI29" s="169"/>
      <c r="AJ29" s="169"/>
      <c r="AK29" s="169"/>
      <c r="AM29" s="107"/>
      <c r="AN29" s="107"/>
      <c r="AO29" s="107"/>
      <c r="AP29" s="107"/>
      <c r="AQ29" s="107"/>
      <c r="BC29" s="292"/>
      <c r="BD29" s="202" t="s">
        <v>154</v>
      </c>
      <c r="BE29" s="203" t="s">
        <v>154</v>
      </c>
      <c r="BF29" s="203">
        <f t="shared" si="28"/>
        <v>4</v>
      </c>
      <c r="BG29" s="203">
        <f t="shared" si="29"/>
        <v>4</v>
      </c>
      <c r="BH29" s="223">
        <f t="shared" si="30"/>
        <v>4</v>
      </c>
      <c r="BL29" s="106" t="str">
        <f>IFERROR(VLOOKUP($D29,'Pre-Assessment Estimator'!$C$10:$X$100,'Pre-Assessment Estimator'!X$2,FALSE),"")</f>
        <v/>
      </c>
      <c r="BM29" s="106" t="str">
        <f>IFERROR(VLOOKUP($D29,'Pre-Assessment Estimator'!$C$10:$AE$100,'Pre-Assessment Estimator'!AE$2,FALSE),"")</f>
        <v/>
      </c>
      <c r="BN29" s="106" t="str">
        <f t="shared" si="10"/>
        <v/>
      </c>
      <c r="BO29" s="106" t="str">
        <f t="shared" si="11"/>
        <v/>
      </c>
      <c r="BQ29" s="106" t="str">
        <f t="shared" si="12"/>
        <v/>
      </c>
    </row>
    <row r="30" spans="1:75" ht="15.75" thickBot="1" x14ac:dyDescent="0.3">
      <c r="A30" s="106">
        <v>23</v>
      </c>
      <c r="C30" s="176"/>
      <c r="D30" s="177" t="s">
        <v>70</v>
      </c>
      <c r="E30" s="178" t="str">
        <f>$E$8</f>
        <v>Office</v>
      </c>
      <c r="F30" s="178" t="str">
        <f>$F$8</f>
        <v>Retail</v>
      </c>
      <c r="G30" s="178" t="str">
        <f>$G$8</f>
        <v>Residential</v>
      </c>
      <c r="H30" s="178" t="str">
        <f>$H$8</f>
        <v>Industrial</v>
      </c>
      <c r="I30" s="179" t="str">
        <f>$I$8</f>
        <v>Education</v>
      </c>
      <c r="K30" s="168" t="str">
        <f>$D$5</f>
        <v>Office</v>
      </c>
      <c r="L30" s="255"/>
      <c r="M30" s="256"/>
      <c r="N30" s="256"/>
      <c r="O30" s="256"/>
      <c r="P30" s="444" t="s">
        <v>405</v>
      </c>
      <c r="Q30" s="183" t="s">
        <v>230</v>
      </c>
      <c r="R30" s="168"/>
      <c r="W30" s="44"/>
      <c r="X30" s="64"/>
      <c r="Y30" s="64"/>
      <c r="AA30" s="169"/>
      <c r="AB30" s="169"/>
      <c r="AC30" s="169"/>
      <c r="AD30" s="169"/>
      <c r="AE30" s="169"/>
      <c r="AF30" s="169"/>
      <c r="AG30" s="169"/>
      <c r="AH30" s="169"/>
      <c r="AI30" s="169"/>
      <c r="AJ30" s="169"/>
      <c r="AK30" s="169"/>
      <c r="AM30" s="107"/>
      <c r="AN30" s="107"/>
      <c r="AO30" s="107"/>
      <c r="AP30" s="107"/>
      <c r="AQ30" s="107"/>
      <c r="BC30" s="292"/>
      <c r="BD30" s="202" t="s">
        <v>184</v>
      </c>
      <c r="BE30" s="203" t="s">
        <v>184</v>
      </c>
      <c r="BF30" s="203">
        <f t="shared" si="28"/>
        <v>3</v>
      </c>
      <c r="BG30" s="203">
        <f t="shared" si="29"/>
        <v>3</v>
      </c>
      <c r="BH30" s="223">
        <f t="shared" si="30"/>
        <v>3</v>
      </c>
      <c r="BK30" s="177"/>
      <c r="BL30" s="177" t="str">
        <f>D30</f>
        <v>Energy</v>
      </c>
      <c r="BM30" s="177">
        <f>IFERROR(VLOOKUP($D30,'Pre-Assessment Estimator'!$C$10:$AE$100,'Pre-Assessment Estimator'!AE$2,FALSE),"")</f>
        <v>0</v>
      </c>
      <c r="BN30" s="177" t="str">
        <f t="shared" si="10"/>
        <v/>
      </c>
      <c r="BO30" s="177" t="str">
        <f t="shared" si="11"/>
        <v/>
      </c>
      <c r="BP30" s="177"/>
      <c r="BQ30" s="106" t="str">
        <f t="shared" si="12"/>
        <v/>
      </c>
    </row>
    <row r="31" spans="1:75" x14ac:dyDescent="0.25">
      <c r="A31" s="106">
        <v>24</v>
      </c>
      <c r="C31" s="197" t="s">
        <v>145</v>
      </c>
      <c r="D31" s="198" t="s">
        <v>135</v>
      </c>
      <c r="E31" s="199">
        <v>12</v>
      </c>
      <c r="F31" s="199">
        <v>12</v>
      </c>
      <c r="G31" s="199">
        <v>12</v>
      </c>
      <c r="H31" s="199">
        <v>12</v>
      </c>
      <c r="I31" s="200">
        <v>12</v>
      </c>
      <c r="K31" s="274">
        <f t="shared" ref="K31:K41" si="31">HLOOKUP($D$5,$E$8:$I$99,$A31,FALSE)</f>
        <v>12</v>
      </c>
      <c r="L31" s="202"/>
      <c r="M31" s="203"/>
      <c r="N31" s="203"/>
      <c r="O31" s="203">
        <f>'Manuell filtrering og justering'!D29</f>
        <v>0</v>
      </c>
      <c r="P31" s="204">
        <f>VLOOKUP(C31,'Manuell filtrering og justering'!$A$7:$G$97,'Manuell filtrering og justering'!$G$1,FALSE)</f>
        <v>12</v>
      </c>
      <c r="Q31" s="205">
        <f>IF(SUM(L31:O31)&gt;K31,K31,SUM(L31:O31))</f>
        <v>0</v>
      </c>
      <c r="R31" s="206">
        <f>IF($S$4='Manuell filtrering og justering'!$I$2,P31,(K31-Q31))</f>
        <v>12</v>
      </c>
      <c r="T31" s="207">
        <f>(BP_34/Ene_Credits)*Ene01_credits</f>
        <v>0.10363636363636364</v>
      </c>
      <c r="U31" s="207">
        <f>(Ene01_41/Ene01_credits)*Ene01_user</f>
        <v>0</v>
      </c>
      <c r="W31" s="259">
        <f>IF(VLOOKUP(D31,'Pre-Assessment Estimator'!$C$10:$W$100,'Pre-Assessment Estimator'!$E$2,FALSE)&gt;R31,R31,VLOOKUP(D31,'Pre-Assessment Estimator'!$C$10:$W$100,'Pre-Assessment Estimator'!$E$2,FALSE))</f>
        <v>0</v>
      </c>
      <c r="X31" s="208">
        <f>IF(VLOOKUP(D31,'Pre-Assessment Estimator'!$C$10:$W$100,'Pre-Assessment Estimator'!$L$2,FALSE)&gt;R31,R31,VLOOKUP(D31,'Pre-Assessment Estimator'!$C$10:$W$100,'Pre-Assessment Estimator'!$L$2,FALSE))</f>
        <v>0</v>
      </c>
      <c r="Y31" s="208">
        <f>IF(VLOOKUP(D31,'Pre-Assessment Estimator'!$C$10:$W$100,'Pre-Assessment Estimator'!$R$2,FALSE)&gt;R31,R31,VLOOKUP(D31,'Pre-Assessment Estimator'!$C$10:$W$100,'Pre-Assessment Estimator'!$R$2,FALSE))</f>
        <v>0</v>
      </c>
      <c r="AA31" s="209"/>
      <c r="AB31" s="358"/>
      <c r="AC31" s="358"/>
      <c r="AD31" s="379">
        <v>6</v>
      </c>
      <c r="AE31" s="380">
        <v>8</v>
      </c>
      <c r="AF31" s="169"/>
      <c r="AG31" s="209"/>
      <c r="AH31" s="358"/>
      <c r="AI31" s="358"/>
      <c r="AJ31" s="379">
        <v>6</v>
      </c>
      <c r="AK31" s="380">
        <v>8</v>
      </c>
      <c r="AM31" s="211"/>
      <c r="AN31" s="212"/>
      <c r="AO31" s="212"/>
      <c r="AP31" s="212">
        <f t="shared" ref="AP31:AP32" si="32">IF($D$5=$G$8,AJ31,AD31)</f>
        <v>6</v>
      </c>
      <c r="AQ31" s="275">
        <f>IF($D$5=$G$8,AK31,AE31)</f>
        <v>8</v>
      </c>
      <c r="AR31" s="211">
        <f t="shared" si="14"/>
        <v>3</v>
      </c>
      <c r="AS31" s="214" t="str">
        <f t="shared" ref="AS31:AS40" si="33">VLOOKUP(AR31,$BB$8:$BC$14,2,FALSE)</f>
        <v>Very Good</v>
      </c>
      <c r="AT31" s="215"/>
      <c r="AU31" s="211">
        <f t="shared" ref="AU31:AU40" si="34">IF(AQ31=0,9,IF(X31&gt;=AQ31,5,IF(X31&gt;=AP31,4,IF(X31&gt;=AO31,3,IF(X31&gt;=AN31,2,IF(X31&lt;AM31,0,1))))))</f>
        <v>3</v>
      </c>
      <c r="AV31" s="214" t="str">
        <f t="shared" ref="AV31:AV40" si="35">VLOOKUP(AU31,$BB$8:$BC$14,2,FALSE)</f>
        <v>Very Good</v>
      </c>
      <c r="AW31" s="215"/>
      <c r="AX31" s="211">
        <f t="shared" si="8"/>
        <v>3</v>
      </c>
      <c r="AY31" s="214" t="str">
        <f t="shared" ref="AY31:AY40" si="36">VLOOKUP(AX31,$BB$8:$BC$14,2,FALSE)</f>
        <v>Very Good</v>
      </c>
      <c r="AZ31" s="215"/>
      <c r="BC31" s="292"/>
      <c r="BD31" s="202" t="s">
        <v>4</v>
      </c>
      <c r="BE31" s="203" t="s">
        <v>188</v>
      </c>
      <c r="BF31" s="203">
        <f t="shared" si="28"/>
        <v>0</v>
      </c>
      <c r="BG31" s="203">
        <f t="shared" si="29"/>
        <v>0</v>
      </c>
      <c r="BH31" s="223">
        <f t="shared" si="30"/>
        <v>0</v>
      </c>
      <c r="BK31" s="198" t="str">
        <f t="shared" ref="BK31:BK40" si="37">C31</f>
        <v>Ene 01</v>
      </c>
      <c r="BL31" s="198" t="str">
        <f>IFERROR(VLOOKUP($D31,'Pre-Assessment Estimator'!$C$10:$X$100,'Pre-Assessment Estimator'!X$2,FALSE),"")</f>
        <v>No</v>
      </c>
      <c r="BM31" s="198">
        <f>IFERROR(VLOOKUP($D31,'Pre-Assessment Estimator'!$C$10:$AE$100,'Pre-Assessment Estimator'!AE$2,FALSE),"")</f>
        <v>0</v>
      </c>
      <c r="BN31" s="198">
        <f t="shared" si="10"/>
        <v>1</v>
      </c>
      <c r="BO31" s="198">
        <f t="shared" si="11"/>
        <v>0</v>
      </c>
      <c r="BP31" s="198"/>
      <c r="BQ31" s="106" t="str">
        <f t="shared" si="12"/>
        <v/>
      </c>
    </row>
    <row r="32" spans="1:75" x14ac:dyDescent="0.25">
      <c r="A32" s="106">
        <v>25</v>
      </c>
      <c r="C32" s="202" t="s">
        <v>146</v>
      </c>
      <c r="D32" s="203" t="s">
        <v>144</v>
      </c>
      <c r="E32" s="216">
        <v>3</v>
      </c>
      <c r="F32" s="216">
        <v>3</v>
      </c>
      <c r="G32" s="216">
        <v>2</v>
      </c>
      <c r="H32" s="216">
        <v>3</v>
      </c>
      <c r="I32" s="217">
        <v>3</v>
      </c>
      <c r="K32" s="266">
        <f t="shared" si="31"/>
        <v>3</v>
      </c>
      <c r="L32" s="202"/>
      <c r="M32" s="203"/>
      <c r="N32" s="203"/>
      <c r="O32" s="203">
        <f>'Manuell filtrering og justering'!D30</f>
        <v>0</v>
      </c>
      <c r="P32" s="204">
        <f>VLOOKUP(C32,'Manuell filtrering og justering'!$A$7:$G$97,'Manuell filtrering og justering'!$G$1,FALSE)</f>
        <v>3</v>
      </c>
      <c r="Q32" s="205">
        <f t="shared" ref="Q32:Q40" si="38">IF(SUM(L32:O32)&gt;K32,K32,SUM(L32:O32))</f>
        <v>0</v>
      </c>
      <c r="R32" s="206">
        <f>IF($S$4='Manuell filtrering og justering'!$I$2,P32,(K32-Q32))</f>
        <v>3</v>
      </c>
      <c r="T32" s="207">
        <f>(BP_34/Ene_Credits)*Ene02_credits</f>
        <v>2.5909090909090909E-2</v>
      </c>
      <c r="U32" s="207">
        <f>(Ene02_10/Ene02_credits)*Ene02_user</f>
        <v>0</v>
      </c>
      <c r="W32" s="259">
        <f>IF(VLOOKUP(D32,'Pre-Assessment Estimator'!$C$10:$W$100,'Pre-Assessment Estimator'!$E$2,FALSE)=0,0,IF((IF(VLOOKUP(D32,'Pre-Assessment Estimator'!$C$10:$W$100,'Pre-Assessment Estimator'!$E$2,FALSE)&gt;R32,R32,VLOOKUP(D32,'Pre-Assessment Estimator'!$C$10:$W$100,'Pre-Assessment Estimator'!$E$2,FALSE))+BU32)&lt;0,0,(IF(VLOOKUP(D32,'Pre-Assessment Estimator'!$C$10:$W$100,'Pre-Assessment Estimator'!$E$2,FALSE)&gt;R32,R32,VLOOKUP(D32,'Pre-Assessment Estimator'!$C$10:$W$100,'Pre-Assessment Estimator'!$E$2,FALSE))+BU32)))</f>
        <v>0</v>
      </c>
      <c r="X32" s="208">
        <f>IF(VLOOKUP(D32,'Pre-Assessment Estimator'!$C$10:$W$100,'Pre-Assessment Estimator'!$L$2,FALSE)=0,0,IF((IF(VLOOKUP(D32,'Pre-Assessment Estimator'!$C$10:$W$100,'Pre-Assessment Estimator'!$L$2,FALSE)&gt;R32,R32,VLOOKUP(D32,'Pre-Assessment Estimator'!$C$10:$W$100,'Pre-Assessment Estimator'!$L$2,FALSE))+BU32)&lt;0,0,(IF(VLOOKUP(D32,'Pre-Assessment Estimator'!$C$10:$W$100,'Pre-Assessment Estimator'!$L$2,FALSE)&gt;R32,R32,VLOOKUP(D32,'Pre-Assessment Estimator'!$C$10:$W$100,'Pre-Assessment Estimator'!$L$2,FALSE))+BU32)))</f>
        <v>0</v>
      </c>
      <c r="Y32" s="208">
        <f>IF(VLOOKUP(D32,'Pre-Assessment Estimator'!$C$10:$W$100,'Pre-Assessment Estimator'!$R$2,FALSE)=0,0,IF((IF(VLOOKUP(D32,'Pre-Assessment Estimator'!$C$10:$W$100,'Pre-Assessment Estimator'!$R$2,FALSE)&gt;R32,R32,VLOOKUP(D32,'Pre-Assessment Estimator'!$C$10:$W$100,'Pre-Assessment Estimator'!$R$2,FALSE))+BU32)&lt;0,0,(IF(VLOOKUP(D32,'Pre-Assessment Estimator'!$C$10:$W$100,'Pre-Assessment Estimator'!$R$2,FALSE)&gt;R32,R32,VLOOKUP(D32,'Pre-Assessment Estimator'!$C$10:$W$100,'Pre-Assessment Estimator'!$R$2,FALSE))+BU32)))</f>
        <v>0</v>
      </c>
      <c r="Z32" s="106" t="s">
        <v>546</v>
      </c>
      <c r="AA32" s="360"/>
      <c r="AB32" s="219"/>
      <c r="AC32" s="219">
        <v>1</v>
      </c>
      <c r="AD32" s="219">
        <v>1</v>
      </c>
      <c r="AE32" s="224">
        <v>1</v>
      </c>
      <c r="AF32" s="169"/>
      <c r="AG32" s="360"/>
      <c r="AH32" s="219"/>
      <c r="AI32" s="219"/>
      <c r="AJ32" s="219"/>
      <c r="AK32" s="224"/>
      <c r="AM32" s="220"/>
      <c r="AN32" s="221"/>
      <c r="AO32" s="221">
        <f t="shared" ref="AO32" si="39">IF($D$5=$G$8,AI32,AC32)</f>
        <v>1</v>
      </c>
      <c r="AP32" s="221">
        <f t="shared" si="32"/>
        <v>1</v>
      </c>
      <c r="AQ32" s="225">
        <f>IF($D$5=$G$8,AK32,AE32)</f>
        <v>1</v>
      </c>
      <c r="AR32" s="220">
        <f>IF(AQ32=0,9,IF((W32-BU32)&gt;=AQ32,5,IF((W32-BU32)&gt;=AP32,4,IF((W32-BU32)&gt;=AO32,3,IF((W32-BU32)&gt;=AN32,2,IF((W32-BU32)&lt;AM32,0,1))))))</f>
        <v>2</v>
      </c>
      <c r="AS32" s="203" t="str">
        <f t="shared" si="33"/>
        <v>Good</v>
      </c>
      <c r="AT32" s="223"/>
      <c r="AU32" s="220">
        <f>IF(AQ32=0,9,IF((X32-BU32)&gt;=AQ32,5,IF((X32-BU32)&gt;=AP32,4,IF((X32-BU32)&gt;=AO32,3,IF((X32-BU32)&gt;=AN32,2,IF((X32-BU32)&lt;AM32,0,1))))))</f>
        <v>2</v>
      </c>
      <c r="AV32" s="203" t="str">
        <f t="shared" si="35"/>
        <v>Good</v>
      </c>
      <c r="AW32" s="223"/>
      <c r="AX32" s="220">
        <f>IF(AQ32=0,9,IF((Y32-BU32)&gt;=AQ32,5,IF((Y32-BU32)&gt;=AP32,4,IF((Y32-BU32)&gt;=AO32,3,IF((Y32-BU32)&gt;=AN32,2,IF((Y32-BU32)&lt;AM32,0,1))))))</f>
        <v>2</v>
      </c>
      <c r="AY32" s="203" t="str">
        <f t="shared" si="36"/>
        <v>Good</v>
      </c>
      <c r="AZ32" s="223"/>
      <c r="BC32" s="292"/>
      <c r="BD32" s="202" t="s">
        <v>350</v>
      </c>
      <c r="BE32" s="203" t="s">
        <v>189</v>
      </c>
      <c r="BF32" s="203">
        <f t="shared" si="28"/>
        <v>0</v>
      </c>
      <c r="BG32" s="203">
        <f t="shared" si="29"/>
        <v>0</v>
      </c>
      <c r="BH32" s="223">
        <f t="shared" si="30"/>
        <v>0</v>
      </c>
      <c r="BK32" s="203" t="str">
        <f t="shared" si="37"/>
        <v>Ene 02</v>
      </c>
      <c r="BL32" s="203" t="str">
        <f>IFERROR(VLOOKUP($D32,'Pre-Assessment Estimator'!$C$10:$X$100,'Pre-Assessment Estimator'!X$2,FALSE),"")</f>
        <v>O2: Sub-met. (AC 4-7: -1,0 c)</v>
      </c>
      <c r="BM32" s="278" t="str">
        <f>IFERROR(VLOOKUP($D32,'Pre-Assessment Estimator'!$C$10:$AE$100,'Pre-Assessment Estimator'!AE$2,FALSE),"")</f>
        <v>Ja</v>
      </c>
      <c r="BN32" s="203">
        <f t="shared" si="10"/>
        <v>-1</v>
      </c>
      <c r="BO32" s="854" t="s">
        <v>549</v>
      </c>
      <c r="BP32" s="203">
        <f>G155</f>
        <v>1</v>
      </c>
      <c r="BQ32" s="106" t="str">
        <f t="shared" si="12"/>
        <v/>
      </c>
      <c r="BR32" s="863" t="s">
        <v>524</v>
      </c>
      <c r="BS32" s="203">
        <f>VLOOKUP(BO32,$BO$3:$BP$4,2,FALSE)</f>
        <v>0</v>
      </c>
      <c r="BU32" s="863">
        <f>IF($BL$4=ais_no,BS32,IF(BR32=$BM$4,IF(AND(BO32=$BO$3,BL32=$BQ$3),0,BN32),BS32))</f>
        <v>0</v>
      </c>
      <c r="BW32" s="106" t="s">
        <v>524</v>
      </c>
    </row>
    <row r="33" spans="1:73" x14ac:dyDescent="0.25">
      <c r="A33" s="106">
        <v>26</v>
      </c>
      <c r="C33" s="202" t="s">
        <v>147</v>
      </c>
      <c r="D33" s="203" t="s">
        <v>136</v>
      </c>
      <c r="E33" s="216">
        <v>1</v>
      </c>
      <c r="F33" s="216">
        <v>1</v>
      </c>
      <c r="G33" s="216">
        <v>1</v>
      </c>
      <c r="H33" s="216">
        <v>1</v>
      </c>
      <c r="I33" s="217">
        <v>1</v>
      </c>
      <c r="K33" s="266">
        <f t="shared" si="31"/>
        <v>1</v>
      </c>
      <c r="L33" s="202"/>
      <c r="M33" s="203"/>
      <c r="N33" s="203"/>
      <c r="O33" s="203">
        <f>'Manuell filtrering og justering'!D31</f>
        <v>0</v>
      </c>
      <c r="P33" s="204">
        <f>VLOOKUP(C33,'Manuell filtrering og justering'!$A$7:$G$97,'Manuell filtrering og justering'!$G$1,FALSE)</f>
        <v>1</v>
      </c>
      <c r="Q33" s="205">
        <f t="shared" si="38"/>
        <v>0</v>
      </c>
      <c r="R33" s="206">
        <f>IF($S$4='Manuell filtrering og justering'!$I$2,P33,(K33-Q33))</f>
        <v>1</v>
      </c>
      <c r="T33" s="207">
        <f>(BP_34/Ene_Credits)*Ene03_credits</f>
        <v>8.6363636363636365E-3</v>
      </c>
      <c r="U33" s="207">
        <f>(Ene03_05/Ene03_credits)*Ene03_user</f>
        <v>0</v>
      </c>
      <c r="W33" s="259">
        <f>IF(VLOOKUP(D33,'Pre-Assessment Estimator'!$C$10:$W$100,'Pre-Assessment Estimator'!$E$2,FALSE)&gt;R33,R33,VLOOKUP(D33,'Pre-Assessment Estimator'!$C$10:$W$100,'Pre-Assessment Estimator'!$E$2,FALSE))*BU33</f>
        <v>0</v>
      </c>
      <c r="X33" s="208">
        <f>IF(VLOOKUP(D33,'Pre-Assessment Estimator'!$C$10:$W$100,'Pre-Assessment Estimator'!$L$2,FALSE)&gt;R33,R33,VLOOKUP(D33,'Pre-Assessment Estimator'!$C$10:$W$100,'Pre-Assessment Estimator'!$L$2,FALSE))*BU33</f>
        <v>0</v>
      </c>
      <c r="Y33" s="208">
        <f>IF(VLOOKUP(D33,'Pre-Assessment Estimator'!$C$10:$W$100,'Pre-Assessment Estimator'!$R$2,FALSE)&gt;R33,R33,VLOOKUP(D33,'Pre-Assessment Estimator'!$C$10:$W$100,'Pre-Assessment Estimator'!$R$2,FALSE))*BU33</f>
        <v>0</v>
      </c>
      <c r="Z33" s="106" t="s">
        <v>546</v>
      </c>
      <c r="AA33" s="361"/>
      <c r="AB33" s="362"/>
      <c r="AC33" s="362"/>
      <c r="AD33" s="362"/>
      <c r="AE33" s="363"/>
      <c r="AF33" s="169"/>
      <c r="AG33" s="361"/>
      <c r="AH33" s="362"/>
      <c r="AI33" s="362"/>
      <c r="AJ33" s="362"/>
      <c r="AK33" s="363"/>
      <c r="AM33" s="226"/>
      <c r="AN33" s="227"/>
      <c r="AO33" s="227"/>
      <c r="AP33" s="227"/>
      <c r="AQ33" s="228">
        <f>IF($D$5=$G$8,AK33,AE33)</f>
        <v>0</v>
      </c>
      <c r="AR33" s="220">
        <f t="shared" si="14"/>
        <v>9</v>
      </c>
      <c r="AS33" s="203" t="str">
        <f t="shared" si="33"/>
        <v>N/A</v>
      </c>
      <c r="AT33" s="223"/>
      <c r="AU33" s="220">
        <f t="shared" si="34"/>
        <v>9</v>
      </c>
      <c r="AV33" s="203" t="str">
        <f t="shared" si="35"/>
        <v>N/A</v>
      </c>
      <c r="AW33" s="223"/>
      <c r="AX33" s="220">
        <f t="shared" si="8"/>
        <v>9</v>
      </c>
      <c r="AY33" s="203" t="str">
        <f t="shared" si="36"/>
        <v>N/A</v>
      </c>
      <c r="AZ33" s="223"/>
      <c r="BA33" s="106" t="s">
        <v>580</v>
      </c>
      <c r="BC33" s="292"/>
      <c r="BD33" s="202" t="s">
        <v>192</v>
      </c>
      <c r="BE33" s="203" t="s">
        <v>192</v>
      </c>
      <c r="BF33" s="203">
        <f t="shared" si="28"/>
        <v>4</v>
      </c>
      <c r="BG33" s="203">
        <f t="shared" si="29"/>
        <v>4</v>
      </c>
      <c r="BH33" s="223">
        <f t="shared" si="30"/>
        <v>4</v>
      </c>
      <c r="BK33" s="203" t="str">
        <f t="shared" si="37"/>
        <v>Ene 03</v>
      </c>
      <c r="BL33" s="203" t="str">
        <f>IFERROR(VLOOKUP($D33,'Pre-Assessment Estimator'!$C$10:$X$100,'Pre-Assessment Estimator'!X$2,FALSE),"")</f>
        <v>No</v>
      </c>
      <c r="BM33" s="278" t="str">
        <f>IFERROR(VLOOKUP($D33,'Pre-Assessment Estimator'!$C$10:$AE$100,'Pre-Assessment Estimator'!AE$2,FALSE),"")</f>
        <v>Ja</v>
      </c>
      <c r="BN33" s="203">
        <f t="shared" si="10"/>
        <v>1</v>
      </c>
      <c r="BO33" s="862" t="s">
        <v>551</v>
      </c>
      <c r="BP33" s="203"/>
      <c r="BQ33" s="106" t="str">
        <f t="shared" si="12"/>
        <v/>
      </c>
      <c r="BR33" s="106" t="s">
        <v>557</v>
      </c>
      <c r="BS33" s="203">
        <f>VLOOKUP(BO33,$BO$3:$BP$4,2,FALSE)</f>
        <v>1</v>
      </c>
      <c r="BU33" s="863">
        <f>IF($BL$4=ais_no,BS33,IF(AND(BO33=$BO$3,BL33=$BQ$3),0,BN33))</f>
        <v>1</v>
      </c>
    </row>
    <row r="34" spans="1:73" ht="15.75" thickBot="1" x14ac:dyDescent="0.3">
      <c r="A34" s="106">
        <v>27</v>
      </c>
      <c r="C34" s="202" t="s">
        <v>148</v>
      </c>
      <c r="D34" s="203" t="s">
        <v>137</v>
      </c>
      <c r="E34" s="216">
        <v>2</v>
      </c>
      <c r="F34" s="216">
        <v>2</v>
      </c>
      <c r="G34" s="216">
        <v>2</v>
      </c>
      <c r="H34" s="216">
        <v>2</v>
      </c>
      <c r="I34" s="217">
        <v>2</v>
      </c>
      <c r="K34" s="266">
        <f t="shared" si="31"/>
        <v>2</v>
      </c>
      <c r="L34" s="202"/>
      <c r="M34" s="203"/>
      <c r="N34" s="203"/>
      <c r="O34" s="203">
        <f>'Manuell filtrering og justering'!D32</f>
        <v>0</v>
      </c>
      <c r="P34" s="204">
        <f>VLOOKUP(C34,'Manuell filtrering og justering'!$A$7:$G$97,'Manuell filtrering og justering'!$G$1,FALSE)</f>
        <v>3</v>
      </c>
      <c r="Q34" s="205">
        <f t="shared" si="38"/>
        <v>0</v>
      </c>
      <c r="R34" s="206">
        <f>IF($S$4='Manuell filtrering og justering'!$I$2,P34,(K34-Q34))</f>
        <v>2</v>
      </c>
      <c r="T34" s="207">
        <f>(BP_34/Ene_Credits)*Ene04_credits</f>
        <v>1.7272727272727273E-2</v>
      </c>
      <c r="U34" s="207">
        <f>(Ene04_19/Ene04_credits)*Ene04_user</f>
        <v>0</v>
      </c>
      <c r="W34" s="259">
        <f>IF(VLOOKUP(D34,'Pre-Assessment Estimator'!$C$10:$W$100,'Pre-Assessment Estimator'!$E$2,FALSE)&gt;R34,R34,VLOOKUP(D34,'Pre-Assessment Estimator'!$C$10:$W$100,'Pre-Assessment Estimator'!$E$2,FALSE))</f>
        <v>0</v>
      </c>
      <c r="X34" s="208">
        <f>IF(VLOOKUP(D34,'Pre-Assessment Estimator'!$C$10:$W$100,'Pre-Assessment Estimator'!$L$2,FALSE)&gt;R34,R34,VLOOKUP(D34,'Pre-Assessment Estimator'!$C$10:$W$100,'Pre-Assessment Estimator'!$L$2,FALSE))</f>
        <v>0</v>
      </c>
      <c r="Y34" s="208">
        <f>IF(VLOOKUP(D34,'Pre-Assessment Estimator'!$C$10:$W$100,'Pre-Assessment Estimator'!$R$2,FALSE)&gt;R34,R34,VLOOKUP(D34,'Pre-Assessment Estimator'!$C$10:$W$100,'Pre-Assessment Estimator'!$R$2,FALSE))</f>
        <v>0</v>
      </c>
      <c r="AA34" s="360"/>
      <c r="AB34" s="219"/>
      <c r="AC34" s="219"/>
      <c r="AD34" s="219">
        <v>1</v>
      </c>
      <c r="AE34" s="224">
        <v>1</v>
      </c>
      <c r="AF34" s="169"/>
      <c r="AG34" s="360"/>
      <c r="AH34" s="219"/>
      <c r="AI34" s="219"/>
      <c r="AJ34" s="219">
        <v>1</v>
      </c>
      <c r="AK34" s="224">
        <v>1</v>
      </c>
      <c r="AM34" s="220"/>
      <c r="AN34" s="221"/>
      <c r="AO34" s="221"/>
      <c r="AP34" s="221">
        <f t="shared" ref="AP34" si="40">IF($D$5=$G$8,AJ34,AD34)</f>
        <v>1</v>
      </c>
      <c r="AQ34" s="225">
        <f t="shared" si="0"/>
        <v>1</v>
      </c>
      <c r="AR34" s="220">
        <f t="shared" si="14"/>
        <v>3</v>
      </c>
      <c r="AS34" s="203" t="str">
        <f t="shared" si="33"/>
        <v>Very Good</v>
      </c>
      <c r="AT34" s="223"/>
      <c r="AU34" s="220">
        <f t="shared" si="34"/>
        <v>3</v>
      </c>
      <c r="AV34" s="203" t="str">
        <f t="shared" si="35"/>
        <v>Very Good</v>
      </c>
      <c r="AW34" s="223"/>
      <c r="AX34" s="220">
        <f t="shared" si="8"/>
        <v>3</v>
      </c>
      <c r="AY34" s="203" t="str">
        <f t="shared" si="36"/>
        <v>Very Good</v>
      </c>
      <c r="AZ34" s="223"/>
      <c r="BD34" s="276" t="s">
        <v>194</v>
      </c>
      <c r="BE34" s="242" t="s">
        <v>194</v>
      </c>
      <c r="BF34" s="242">
        <f t="shared" si="28"/>
        <v>3</v>
      </c>
      <c r="BG34" s="242">
        <f t="shared" si="29"/>
        <v>3</v>
      </c>
      <c r="BH34" s="243">
        <f t="shared" si="30"/>
        <v>3</v>
      </c>
      <c r="BK34" s="203" t="str">
        <f t="shared" si="37"/>
        <v>Ene 04</v>
      </c>
      <c r="BL34" s="203" t="str">
        <f>IFERROR(VLOOKUP($D34,'Pre-Assessment Estimator'!$C$10:$X$100,'Pre-Assessment Estimator'!X$2,FALSE),"")</f>
        <v>No</v>
      </c>
      <c r="BM34" s="203">
        <f>IFERROR(VLOOKUP($D34,'Pre-Assessment Estimator'!$C$10:$AE$100,'Pre-Assessment Estimator'!AE$2,FALSE),"")</f>
        <v>0</v>
      </c>
      <c r="BN34" s="203">
        <f t="shared" si="10"/>
        <v>1</v>
      </c>
      <c r="BO34" s="203">
        <f t="shared" si="11"/>
        <v>0</v>
      </c>
      <c r="BP34" s="203"/>
      <c r="BQ34" s="106" t="str">
        <f t="shared" si="12"/>
        <v/>
      </c>
    </row>
    <row r="35" spans="1:73" x14ac:dyDescent="0.25">
      <c r="A35" s="106">
        <v>28</v>
      </c>
      <c r="C35" s="202" t="s">
        <v>149</v>
      </c>
      <c r="D35" s="203" t="s">
        <v>138</v>
      </c>
      <c r="E35" s="216">
        <v>3</v>
      </c>
      <c r="F35" s="216">
        <v>3</v>
      </c>
      <c r="G35" s="216">
        <v>0</v>
      </c>
      <c r="H35" s="216">
        <v>3</v>
      </c>
      <c r="I35" s="217">
        <v>3</v>
      </c>
      <c r="K35" s="266">
        <f t="shared" si="31"/>
        <v>3</v>
      </c>
      <c r="L35" s="267">
        <f>IF(AD_refrig=AD_no,K35,0)</f>
        <v>3</v>
      </c>
      <c r="M35" s="203"/>
      <c r="N35" s="203"/>
      <c r="O35" s="203">
        <f>'Manuell filtrering og justering'!D33</f>
        <v>0</v>
      </c>
      <c r="P35" s="204">
        <f>VLOOKUP(C35,'Manuell filtrering og justering'!$A$7:$G$97,'Manuell filtrering og justering'!$G$1,FALSE)</f>
        <v>0</v>
      </c>
      <c r="Q35" s="205">
        <f t="shared" si="38"/>
        <v>3</v>
      </c>
      <c r="R35" s="206">
        <f>IF($S$4='Manuell filtrering og justering'!$I$2,P35,(K35-Q35))</f>
        <v>0</v>
      </c>
      <c r="T35" s="207">
        <f>(BP_34/Ene_Credits)*Ene05_credits</f>
        <v>0</v>
      </c>
      <c r="U35" s="207">
        <f>IFERROR((Ene05_20/Ene05_credits)*Ene05_user,0)</f>
        <v>0</v>
      </c>
      <c r="W35" s="259">
        <f>IF(VLOOKUP(D35,'Pre-Assessment Estimator'!$C$10:$W$100,'Pre-Assessment Estimator'!$E$2,FALSE)&gt;R35,R35,VLOOKUP(D35,'Pre-Assessment Estimator'!$C$10:$W$100,'Pre-Assessment Estimator'!$E$2,FALSE))*BU35</f>
        <v>0</v>
      </c>
      <c r="X35" s="208">
        <f>IF(VLOOKUP(D35,'Pre-Assessment Estimator'!$C$10:$W$100,'Pre-Assessment Estimator'!$L$2,FALSE)&gt;R35,R35,VLOOKUP(D35,'Pre-Assessment Estimator'!$C$10:$W$100,'Pre-Assessment Estimator'!$L$2,FALSE))*BU35</f>
        <v>0</v>
      </c>
      <c r="Y35" s="208">
        <f>IF(VLOOKUP(D35,'Pre-Assessment Estimator'!$C$10:$W$100,'Pre-Assessment Estimator'!$R$2,FALSE)&gt;R35,R35,VLOOKUP(D35,'Pre-Assessment Estimator'!$C$10:$W$100,'Pre-Assessment Estimator'!$R$2,FALSE))*BU35</f>
        <v>0</v>
      </c>
      <c r="Z35" s="106" t="s">
        <v>546</v>
      </c>
      <c r="AA35" s="361"/>
      <c r="AB35" s="362"/>
      <c r="AC35" s="362"/>
      <c r="AD35" s="362"/>
      <c r="AE35" s="363"/>
      <c r="AF35" s="169"/>
      <c r="AG35" s="361"/>
      <c r="AH35" s="362"/>
      <c r="AI35" s="362"/>
      <c r="AJ35" s="362"/>
      <c r="AK35" s="363"/>
      <c r="AM35" s="226"/>
      <c r="AN35" s="227"/>
      <c r="AO35" s="227"/>
      <c r="AP35" s="227"/>
      <c r="AQ35" s="228">
        <f t="shared" si="0"/>
        <v>0</v>
      </c>
      <c r="AR35" s="220">
        <f t="shared" si="14"/>
        <v>9</v>
      </c>
      <c r="AS35" s="203" t="str">
        <f t="shared" si="33"/>
        <v>N/A</v>
      </c>
      <c r="AT35" s="223"/>
      <c r="AU35" s="220">
        <f t="shared" si="34"/>
        <v>9</v>
      </c>
      <c r="AV35" s="203" t="str">
        <f t="shared" si="35"/>
        <v>N/A</v>
      </c>
      <c r="AW35" s="223"/>
      <c r="AX35" s="220">
        <f t="shared" si="8"/>
        <v>9</v>
      </c>
      <c r="AY35" s="203" t="str">
        <f t="shared" si="36"/>
        <v>N/A</v>
      </c>
      <c r="AZ35" s="223"/>
      <c r="BK35" s="203" t="str">
        <f t="shared" si="37"/>
        <v>Ene 05</v>
      </c>
      <c r="BL35" s="203" t="str">
        <f>IFERROR(VLOOKUP($D35,'Pre-Assessment Estimator'!$C$10:$X$100,'Pre-Assessment Estimator'!X$2,FALSE),"")</f>
        <v>No</v>
      </c>
      <c r="BM35" s="278" t="str">
        <f>IFERROR(VLOOKUP($D35,'Pre-Assessment Estimator'!$C$10:$AE$100,'Pre-Assessment Estimator'!AE$2,FALSE),"")</f>
        <v>Ja</v>
      </c>
      <c r="BN35" s="203">
        <f t="shared" si="10"/>
        <v>1</v>
      </c>
      <c r="BO35" s="862" t="s">
        <v>551</v>
      </c>
      <c r="BP35" s="203"/>
      <c r="BQ35" s="106" t="str">
        <f t="shared" si="12"/>
        <v/>
      </c>
      <c r="BR35" s="106" t="s">
        <v>524</v>
      </c>
      <c r="BS35" s="203">
        <f>VLOOKUP(BO35,$BO$3:$BP$4,2,FALSE)</f>
        <v>1</v>
      </c>
      <c r="BU35" s="863">
        <f>IF($BL$4=ais_no,BS35,IF(AND(BO35=$BO$3,BL35=$BQ$3),0,BN35))</f>
        <v>1</v>
      </c>
    </row>
    <row r="36" spans="1:73" x14ac:dyDescent="0.25">
      <c r="A36" s="106">
        <v>29</v>
      </c>
      <c r="C36" s="202" t="s">
        <v>150</v>
      </c>
      <c r="D36" s="203" t="s">
        <v>139</v>
      </c>
      <c r="E36" s="216">
        <v>2</v>
      </c>
      <c r="F36" s="216">
        <v>2</v>
      </c>
      <c r="G36" s="216">
        <v>2</v>
      </c>
      <c r="H36" s="216">
        <v>2</v>
      </c>
      <c r="I36" s="217">
        <v>2</v>
      </c>
      <c r="K36" s="266">
        <f t="shared" si="31"/>
        <v>2</v>
      </c>
      <c r="L36" s="267">
        <f>IF(AD_Trans=AD_no,Poeng!K36,0)</f>
        <v>2</v>
      </c>
      <c r="M36" s="203"/>
      <c r="N36" s="203"/>
      <c r="O36" s="203">
        <f>'Manuell filtrering og justering'!D34</f>
        <v>0</v>
      </c>
      <c r="P36" s="204">
        <f>VLOOKUP(C36,'Manuell filtrering og justering'!$A$7:$G$97,'Manuell filtrering og justering'!$G$1,FALSE)</f>
        <v>2</v>
      </c>
      <c r="Q36" s="205">
        <f t="shared" si="38"/>
        <v>2</v>
      </c>
      <c r="R36" s="206">
        <f>IF($S$4='Manuell filtrering og justering'!$I$2,P36,(K36-Q36))</f>
        <v>0</v>
      </c>
      <c r="T36" s="207">
        <f>(BP_34/Ene_Credits)*Ene06_credits</f>
        <v>0</v>
      </c>
      <c r="U36" s="207">
        <f>IF(Ene06_credits=0,0,(Ene06_11/Ene06_credits)*Ene06_user)</f>
        <v>0</v>
      </c>
      <c r="W36" s="259">
        <f>IF(VLOOKUP(D36,'Pre-Assessment Estimator'!$C$10:$W$100,'Pre-Assessment Estimator'!$E$2,FALSE)&gt;R36,R36,VLOOKUP(D36,'Pre-Assessment Estimator'!$C$10:$W$100,'Pre-Assessment Estimator'!$E$2,FALSE))</f>
        <v>0</v>
      </c>
      <c r="X36" s="208">
        <f>IF(VLOOKUP(D36,'Pre-Assessment Estimator'!$C$10:$W$100,'Pre-Assessment Estimator'!$L$2,FALSE)&gt;R36,R36,VLOOKUP(D36,'Pre-Assessment Estimator'!$C$10:$W$100,'Pre-Assessment Estimator'!$L$2,FALSE))</f>
        <v>0</v>
      </c>
      <c r="Y36" s="208">
        <f>IF(VLOOKUP(D36,'Pre-Assessment Estimator'!$C$10:$W$100,'Pre-Assessment Estimator'!$R$2,FALSE)&gt;R36,R36,VLOOKUP(D36,'Pre-Assessment Estimator'!$C$10:$W$100,'Pre-Assessment Estimator'!$R$2,FALSE))</f>
        <v>0</v>
      </c>
      <c r="AA36" s="361"/>
      <c r="AB36" s="362"/>
      <c r="AC36" s="362"/>
      <c r="AD36" s="362"/>
      <c r="AE36" s="363"/>
      <c r="AF36" s="169"/>
      <c r="AG36" s="361"/>
      <c r="AH36" s="362"/>
      <c r="AI36" s="362"/>
      <c r="AJ36" s="362"/>
      <c r="AK36" s="363"/>
      <c r="AM36" s="226"/>
      <c r="AN36" s="227"/>
      <c r="AO36" s="227"/>
      <c r="AP36" s="227"/>
      <c r="AQ36" s="228">
        <f t="shared" si="0"/>
        <v>0</v>
      </c>
      <c r="AR36" s="220">
        <f t="shared" si="14"/>
        <v>9</v>
      </c>
      <c r="AS36" s="203" t="str">
        <f t="shared" si="33"/>
        <v>N/A</v>
      </c>
      <c r="AT36" s="223"/>
      <c r="AU36" s="220">
        <f t="shared" si="34"/>
        <v>9</v>
      </c>
      <c r="AV36" s="203" t="str">
        <f t="shared" si="35"/>
        <v>N/A</v>
      </c>
      <c r="AW36" s="223"/>
      <c r="AX36" s="220">
        <f t="shared" si="8"/>
        <v>9</v>
      </c>
      <c r="AY36" s="203" t="str">
        <f t="shared" si="36"/>
        <v>N/A</v>
      </c>
      <c r="AZ36" s="223"/>
      <c r="BK36" s="203" t="str">
        <f t="shared" si="37"/>
        <v>Ene 06</v>
      </c>
      <c r="BL36" s="203" t="str">
        <f>IFERROR(VLOOKUP($D36,'Pre-Assessment Estimator'!$C$10:$X$100,'Pre-Assessment Estimator'!X$2,FALSE),"")</f>
        <v>No</v>
      </c>
      <c r="BM36" s="203">
        <f>IFERROR(VLOOKUP($D36,'Pre-Assessment Estimator'!$C$10:$AE$100,'Pre-Assessment Estimator'!AE$2,FALSE),"")</f>
        <v>0</v>
      </c>
      <c r="BN36" s="203">
        <f t="shared" si="10"/>
        <v>1</v>
      </c>
      <c r="BO36" s="203">
        <f t="shared" si="11"/>
        <v>0</v>
      </c>
      <c r="BP36" s="203"/>
      <c r="BQ36" s="106" t="str">
        <f t="shared" si="12"/>
        <v/>
      </c>
    </row>
    <row r="37" spans="1:73" x14ac:dyDescent="0.25">
      <c r="A37" s="106">
        <v>30</v>
      </c>
      <c r="C37" s="202" t="s">
        <v>151</v>
      </c>
      <c r="D37" s="203" t="s">
        <v>140</v>
      </c>
      <c r="E37" s="216">
        <v>5</v>
      </c>
      <c r="F37" s="216">
        <v>5</v>
      </c>
      <c r="G37" s="350">
        <v>0</v>
      </c>
      <c r="H37" s="216">
        <v>5</v>
      </c>
      <c r="I37" s="217">
        <v>5</v>
      </c>
      <c r="K37" s="266">
        <f t="shared" si="31"/>
        <v>5</v>
      </c>
      <c r="L37" s="267">
        <f>IF(AD_Labsize=AD_Labsize03,Poeng!K37,IF(AD_Labsize=AD_labsize04,4,IF(AD_Labsize=AD_Labsize01,2,0)))</f>
        <v>5</v>
      </c>
      <c r="M37" s="203"/>
      <c r="N37" s="203"/>
      <c r="O37" s="203">
        <f>'Manuell filtrering og justering'!D35</f>
        <v>0</v>
      </c>
      <c r="P37" s="204">
        <f>VLOOKUP(C37,'Manuell filtrering og justering'!$A$7:$G$97,'Manuell filtrering og justering'!$G$1,FALSE)</f>
        <v>0</v>
      </c>
      <c r="Q37" s="205">
        <f t="shared" si="38"/>
        <v>5</v>
      </c>
      <c r="R37" s="206">
        <f>IF($S$4='Manuell filtrering og justering'!$I$2,P37,(K37-Q37))</f>
        <v>0</v>
      </c>
      <c r="T37" s="207">
        <f>(BP_34/Ene_Credits)*Ene07_credits</f>
        <v>0</v>
      </c>
      <c r="U37" s="207">
        <f>IF(Ene07_credits=0,0,(Ene07_24/Ene07_credits)*Ene07_user)</f>
        <v>0</v>
      </c>
      <c r="W37" s="259">
        <f>IF(VLOOKUP(D37,'Pre-Assessment Estimator'!$C$10:$W$100,'Pre-Assessment Estimator'!$E$2,FALSE)&gt;R37,R37,VLOOKUP(D37,'Pre-Assessment Estimator'!$C$10:$W$100,'Pre-Assessment Estimator'!$E$2,FALSE))</f>
        <v>0</v>
      </c>
      <c r="X37" s="208">
        <f>IF(VLOOKUP(D37,'Pre-Assessment Estimator'!$C$10:$W$100,'Pre-Assessment Estimator'!$L$2,FALSE)&gt;R37,R37,VLOOKUP(D37,'Pre-Assessment Estimator'!$C$10:$W$100,'Pre-Assessment Estimator'!$L$2,FALSE))</f>
        <v>0</v>
      </c>
      <c r="Y37" s="208">
        <f>IF(VLOOKUP(D37,'Pre-Assessment Estimator'!$C$10:$W$100,'Pre-Assessment Estimator'!$R$2,FALSE)&gt;R37,R37,VLOOKUP(D37,'Pre-Assessment Estimator'!$C$10:$W$100,'Pre-Assessment Estimator'!$R$2,FALSE))</f>
        <v>0</v>
      </c>
      <c r="AA37" s="361"/>
      <c r="AB37" s="362"/>
      <c r="AC37" s="362"/>
      <c r="AD37" s="362"/>
      <c r="AE37" s="363"/>
      <c r="AF37" s="169"/>
      <c r="AG37" s="361"/>
      <c r="AH37" s="362"/>
      <c r="AI37" s="362"/>
      <c r="AJ37" s="362"/>
      <c r="AK37" s="363"/>
      <c r="AM37" s="226"/>
      <c r="AN37" s="227"/>
      <c r="AO37" s="227"/>
      <c r="AP37" s="227"/>
      <c r="AQ37" s="228">
        <f t="shared" si="0"/>
        <v>0</v>
      </c>
      <c r="AR37" s="220">
        <f t="shared" si="14"/>
        <v>9</v>
      </c>
      <c r="AS37" s="203" t="str">
        <f t="shared" si="33"/>
        <v>N/A</v>
      </c>
      <c r="AT37" s="223"/>
      <c r="AU37" s="220">
        <f t="shared" si="34"/>
        <v>9</v>
      </c>
      <c r="AV37" s="203" t="str">
        <f t="shared" si="35"/>
        <v>N/A</v>
      </c>
      <c r="AW37" s="223"/>
      <c r="AX37" s="220">
        <f t="shared" si="8"/>
        <v>9</v>
      </c>
      <c r="AY37" s="203" t="str">
        <f t="shared" si="36"/>
        <v>N/A</v>
      </c>
      <c r="AZ37" s="223"/>
      <c r="BK37" s="203" t="str">
        <f t="shared" si="37"/>
        <v>Ene 07</v>
      </c>
      <c r="BL37" s="203" t="str">
        <f>IFERROR(VLOOKUP($D37,'Pre-Assessment Estimator'!$C$10:$X$100,'Pre-Assessment Estimator'!X$2,FALSE),"")</f>
        <v>N/A</v>
      </c>
      <c r="BM37" s="203">
        <f>IFERROR(VLOOKUP($D37,'Pre-Assessment Estimator'!$C$10:$AE$100,'Pre-Assessment Estimator'!AE$2,FALSE),"")</f>
        <v>0</v>
      </c>
      <c r="BN37" s="203">
        <f t="shared" si="10"/>
        <v>1</v>
      </c>
      <c r="BO37" s="203">
        <f t="shared" si="11"/>
        <v>0</v>
      </c>
      <c r="BP37" s="203"/>
      <c r="BQ37" s="106" t="str">
        <f t="shared" si="12"/>
        <v/>
      </c>
    </row>
    <row r="38" spans="1:73" x14ac:dyDescent="0.25">
      <c r="A38" s="106">
        <v>31</v>
      </c>
      <c r="C38" s="202" t="s">
        <v>152</v>
      </c>
      <c r="D38" s="203" t="s">
        <v>141</v>
      </c>
      <c r="E38" s="216">
        <v>2</v>
      </c>
      <c r="F38" s="216">
        <v>2</v>
      </c>
      <c r="G38" s="216">
        <v>2</v>
      </c>
      <c r="H38" s="216">
        <v>2</v>
      </c>
      <c r="I38" s="217">
        <v>2</v>
      </c>
      <c r="K38" s="266">
        <f t="shared" si="31"/>
        <v>2</v>
      </c>
      <c r="L38" s="202"/>
      <c r="M38" s="203"/>
      <c r="N38" s="203"/>
      <c r="O38" s="203">
        <f>'Manuell filtrering og justering'!D36</f>
        <v>0</v>
      </c>
      <c r="P38" s="204">
        <f>VLOOKUP(C38,'Manuell filtrering og justering'!$A$7:$G$97,'Manuell filtrering og justering'!$G$1,FALSE)</f>
        <v>2</v>
      </c>
      <c r="Q38" s="205">
        <f t="shared" si="38"/>
        <v>0</v>
      </c>
      <c r="R38" s="206">
        <f>IF($S$4='Manuell filtrering og justering'!$I$2,P38,(K38-Q38))</f>
        <v>2</v>
      </c>
      <c r="T38" s="207">
        <f>(BP_34/Ene_Credits)*Ene08_credits</f>
        <v>1.7272727272727273E-2</v>
      </c>
      <c r="U38" s="207">
        <f>(Ene08_27/Ene08_credits)*Ene08_user</f>
        <v>0</v>
      </c>
      <c r="W38" s="259">
        <f>IF(VLOOKUP(D38,'Pre-Assessment Estimator'!$C$10:$W$100,'Pre-Assessment Estimator'!$E$2,FALSE)&gt;R38,R38,VLOOKUP(D38,'Pre-Assessment Estimator'!$C$10:$W$100,'Pre-Assessment Estimator'!$E$2,FALSE))*BU38</f>
        <v>0</v>
      </c>
      <c r="X38" s="208">
        <f>IF(VLOOKUP(D38,'Pre-Assessment Estimator'!$C$10:$W$100,'Pre-Assessment Estimator'!$L$2,FALSE)&gt;R38,R38,VLOOKUP(D38,'Pre-Assessment Estimator'!$C$10:$W$100,'Pre-Assessment Estimator'!$L$2,FALSE))*BU38</f>
        <v>0</v>
      </c>
      <c r="Y38" s="208">
        <f>IF(VLOOKUP(D38,'Pre-Assessment Estimator'!$C$10:$W$100,'Pre-Assessment Estimator'!$R$2,FALSE)&gt;R38,R38,VLOOKUP(D38,'Pre-Assessment Estimator'!$C$10:$W$100,'Pre-Assessment Estimator'!$R$2,FALSE))*BU38</f>
        <v>0</v>
      </c>
      <c r="Z38" s="106" t="s">
        <v>546</v>
      </c>
      <c r="AA38" s="361"/>
      <c r="AB38" s="362"/>
      <c r="AC38" s="362"/>
      <c r="AD38" s="362"/>
      <c r="AE38" s="363"/>
      <c r="AF38" s="169"/>
      <c r="AG38" s="361"/>
      <c r="AH38" s="362"/>
      <c r="AI38" s="362"/>
      <c r="AJ38" s="362"/>
      <c r="AK38" s="363"/>
      <c r="AM38" s="226"/>
      <c r="AN38" s="227"/>
      <c r="AO38" s="227"/>
      <c r="AP38" s="227"/>
      <c r="AQ38" s="228">
        <f t="shared" si="0"/>
        <v>0</v>
      </c>
      <c r="AR38" s="220">
        <f t="shared" si="14"/>
        <v>9</v>
      </c>
      <c r="AS38" s="203" t="str">
        <f t="shared" si="33"/>
        <v>N/A</v>
      </c>
      <c r="AT38" s="223"/>
      <c r="AU38" s="220">
        <f t="shared" si="34"/>
        <v>9</v>
      </c>
      <c r="AV38" s="203" t="str">
        <f t="shared" si="35"/>
        <v>N/A</v>
      </c>
      <c r="AW38" s="223"/>
      <c r="AX38" s="220">
        <f t="shared" si="8"/>
        <v>9</v>
      </c>
      <c r="AY38" s="203" t="str">
        <f t="shared" si="36"/>
        <v>N/A</v>
      </c>
      <c r="AZ38" s="223"/>
      <c r="BK38" s="203" t="str">
        <f t="shared" si="37"/>
        <v>Ene 08</v>
      </c>
      <c r="BL38" s="203" t="str">
        <f>IFERROR(VLOOKUP($D38,'Pre-Assessment Estimator'!$C$10:$X$100,'Pre-Assessment Estimator'!X$2,FALSE),"")</f>
        <v>No</v>
      </c>
      <c r="BM38" s="278" t="str">
        <f>IFERROR(VLOOKUP($D38,'Pre-Assessment Estimator'!$C$10:$AE$100,'Pre-Assessment Estimator'!AE$2,FALSE),"")</f>
        <v>Ja</v>
      </c>
      <c r="BN38" s="203">
        <f t="shared" si="10"/>
        <v>1</v>
      </c>
      <c r="BO38" s="862" t="s">
        <v>551</v>
      </c>
      <c r="BP38" s="203"/>
      <c r="BQ38" s="106" t="str">
        <f t="shared" si="12"/>
        <v/>
      </c>
      <c r="BR38" s="106" t="s">
        <v>557</v>
      </c>
      <c r="BS38" s="203">
        <f t="shared" ref="BS38:BS39" si="41">VLOOKUP(BO38,$BO$3:$BP$4,2,FALSE)</f>
        <v>1</v>
      </c>
      <c r="BU38" s="863">
        <f>IF($BL$4=ais_no,BS38,IF(AND(BO38=$BO$3,BL38=$BQ$3),0,BN38))</f>
        <v>1</v>
      </c>
    </row>
    <row r="39" spans="1:73" x14ac:dyDescent="0.25">
      <c r="A39" s="106">
        <v>32</v>
      </c>
      <c r="C39" s="202" t="s">
        <v>153</v>
      </c>
      <c r="D39" s="203" t="s">
        <v>142</v>
      </c>
      <c r="E39" s="216"/>
      <c r="F39" s="216"/>
      <c r="G39" s="216">
        <v>1</v>
      </c>
      <c r="H39" s="216"/>
      <c r="I39" s="217"/>
      <c r="K39" s="266">
        <f t="shared" si="31"/>
        <v>0</v>
      </c>
      <c r="L39" s="202"/>
      <c r="M39" s="203"/>
      <c r="N39" s="203"/>
      <c r="O39" s="203">
        <f>'Manuell filtrering og justering'!D37</f>
        <v>0</v>
      </c>
      <c r="P39" s="204">
        <f>VLOOKUP(C39,'Manuell filtrering og justering'!$A$7:$G$97,'Manuell filtrering og justering'!$G$1,FALSE)</f>
        <v>0</v>
      </c>
      <c r="Q39" s="205">
        <f t="shared" si="38"/>
        <v>0</v>
      </c>
      <c r="R39" s="206">
        <f>IF($S$4='Manuell filtrering og justering'!$I$2,P39,(K39-Q39))</f>
        <v>0</v>
      </c>
      <c r="T39" s="207">
        <f>(BP_34/Ene_Credits)*Ene09_credits</f>
        <v>0</v>
      </c>
      <c r="U39" s="207">
        <f>IFERROR((Ene09_07/Ene09_credits)*Ene09_user,0)</f>
        <v>0</v>
      </c>
      <c r="W39" s="259">
        <f>IF(VLOOKUP(D39,'Pre-Assessment Estimator'!$C$10:$W$100,'Pre-Assessment Estimator'!$E$2,FALSE)&gt;R39,R39,VLOOKUP(D39,'Pre-Assessment Estimator'!$C$10:$W$100,'Pre-Assessment Estimator'!$E$2,FALSE))*BU39</f>
        <v>0</v>
      </c>
      <c r="X39" s="208">
        <f>IF(VLOOKUP(D39,'Pre-Assessment Estimator'!$C$10:$W$100,'Pre-Assessment Estimator'!$L$2,FALSE)&gt;R39,R39,VLOOKUP(D39,'Pre-Assessment Estimator'!$C$10:$W$100,'Pre-Assessment Estimator'!$L$2,FALSE))*BU39</f>
        <v>0</v>
      </c>
      <c r="Y39" s="208">
        <f>IF(VLOOKUP(D39,'Pre-Assessment Estimator'!$C$10:$W$100,'Pre-Assessment Estimator'!$R$2,FALSE)&gt;R39,R39,VLOOKUP(D39,'Pre-Assessment Estimator'!$C$10:$W$100,'Pre-Assessment Estimator'!$R$2,FALSE))*BU39</f>
        <v>0</v>
      </c>
      <c r="Z39" s="106" t="s">
        <v>546</v>
      </c>
      <c r="AA39" s="361"/>
      <c r="AB39" s="362"/>
      <c r="AC39" s="362"/>
      <c r="AD39" s="362"/>
      <c r="AE39" s="363"/>
      <c r="AF39" s="169"/>
      <c r="AG39" s="361"/>
      <c r="AH39" s="362"/>
      <c r="AI39" s="362"/>
      <c r="AJ39" s="362"/>
      <c r="AK39" s="363"/>
      <c r="AM39" s="226"/>
      <c r="AN39" s="227"/>
      <c r="AO39" s="227"/>
      <c r="AP39" s="227"/>
      <c r="AQ39" s="228">
        <f t="shared" si="0"/>
        <v>0</v>
      </c>
      <c r="AR39" s="220">
        <f t="shared" si="14"/>
        <v>9</v>
      </c>
      <c r="AS39" s="203" t="str">
        <f t="shared" si="33"/>
        <v>N/A</v>
      </c>
      <c r="AT39" s="223"/>
      <c r="AU39" s="220">
        <f t="shared" si="34"/>
        <v>9</v>
      </c>
      <c r="AV39" s="203" t="str">
        <f t="shared" si="35"/>
        <v>N/A</v>
      </c>
      <c r="AW39" s="223"/>
      <c r="AX39" s="220">
        <f t="shared" si="8"/>
        <v>9</v>
      </c>
      <c r="AY39" s="203" t="str">
        <f t="shared" si="36"/>
        <v>N/A</v>
      </c>
      <c r="AZ39" s="223"/>
      <c r="BK39" s="203" t="str">
        <f t="shared" si="37"/>
        <v>Ene 09</v>
      </c>
      <c r="BL39" s="203" t="str">
        <f>IFERROR(VLOOKUP($D39,'Pre-Assessment Estimator'!$C$10:$X$100,'Pre-Assessment Estimator'!X$2,FALSE),"")</f>
        <v>No</v>
      </c>
      <c r="BM39" s="278" t="str">
        <f>IFERROR(VLOOKUP($D39,'Pre-Assessment Estimator'!$C$10:$AE$100,'Pre-Assessment Estimator'!AE$2,FALSE),"")</f>
        <v>Ja</v>
      </c>
      <c r="BN39" s="203">
        <f t="shared" si="10"/>
        <v>1</v>
      </c>
      <c r="BO39" s="862" t="s">
        <v>551</v>
      </c>
      <c r="BP39" s="203"/>
      <c r="BQ39" s="106" t="str">
        <f t="shared" si="12"/>
        <v/>
      </c>
      <c r="BR39" s="863" t="s">
        <v>525</v>
      </c>
      <c r="BS39" s="203">
        <f t="shared" si="41"/>
        <v>1</v>
      </c>
      <c r="BU39" s="863">
        <f>IF($BL$4=ais_no,BS39,IF(BR39=$BM$4,IF(AND(BO39=$BO$3,BL39=$BQ$3),0,BN39),BS39))</f>
        <v>1</v>
      </c>
    </row>
    <row r="40" spans="1:73" ht="15.75" thickBot="1" x14ac:dyDescent="0.3">
      <c r="A40" s="106">
        <v>33</v>
      </c>
      <c r="C40" s="202" t="s">
        <v>154</v>
      </c>
      <c r="D40" s="203" t="s">
        <v>143</v>
      </c>
      <c r="E40" s="216">
        <v>2</v>
      </c>
      <c r="F40" s="216">
        <v>2</v>
      </c>
      <c r="G40" s="216">
        <v>2</v>
      </c>
      <c r="H40" s="216">
        <v>2</v>
      </c>
      <c r="I40" s="217">
        <v>2</v>
      </c>
      <c r="K40" s="277">
        <f t="shared" si="31"/>
        <v>2</v>
      </c>
      <c r="L40" s="202"/>
      <c r="M40" s="203"/>
      <c r="N40" s="203"/>
      <c r="O40" s="203">
        <f>'Manuell filtrering og justering'!D38</f>
        <v>0</v>
      </c>
      <c r="P40" s="204">
        <f>VLOOKUP(C40,'Manuell filtrering og justering'!$A$7:$G$97,'Manuell filtrering og justering'!$G$1,FALSE)</f>
        <v>2</v>
      </c>
      <c r="Q40" s="205">
        <f t="shared" si="38"/>
        <v>0</v>
      </c>
      <c r="R40" s="206">
        <f>IF($S$4='Manuell filtrering og justering'!$I$2,P40,(K40-Q40))</f>
        <v>2</v>
      </c>
      <c r="T40" s="207">
        <f>(BP_34/Ene_Credits)*Ene23_credits</f>
        <v>1.7272727272727273E-2</v>
      </c>
      <c r="U40" s="207">
        <f>(T40/Ene23_credits)*Ene23_user</f>
        <v>0</v>
      </c>
      <c r="W40" s="259">
        <f>IF(VLOOKUP(D40,'Pre-Assessment Estimator'!$C$10:$W$100,'Pre-Assessment Estimator'!$E$2,FALSE)&gt;R40,R40,VLOOKUP(D40,'Pre-Assessment Estimator'!$C$10:$W$100,'Pre-Assessment Estimator'!$E$2,FALSE))</f>
        <v>0</v>
      </c>
      <c r="X40" s="208">
        <f>IF(VLOOKUP(D40,'Pre-Assessment Estimator'!$C$10:$W$100,'Pre-Assessment Estimator'!$L$2,FALSE)&gt;R40,R40,VLOOKUP(D40,'Pre-Assessment Estimator'!$C$10:$W$100,'Pre-Assessment Estimator'!$L$2,FALSE))</f>
        <v>0</v>
      </c>
      <c r="Y40" s="208">
        <f>IF(VLOOKUP(D40,'Pre-Assessment Estimator'!$C$10:$W$100,'Pre-Assessment Estimator'!$R$2,FALSE)&gt;R40,R40,VLOOKUP(D40,'Pre-Assessment Estimator'!$C$10:$W$100,'Pre-Assessment Estimator'!$R$2,FALSE))</f>
        <v>0</v>
      </c>
      <c r="AA40" s="370"/>
      <c r="AB40" s="371"/>
      <c r="AC40" s="371"/>
      <c r="AD40" s="371"/>
      <c r="AE40" s="372">
        <v>2</v>
      </c>
      <c r="AF40" s="169"/>
      <c r="AG40" s="370"/>
      <c r="AH40" s="371"/>
      <c r="AI40" s="371"/>
      <c r="AJ40" s="371"/>
      <c r="AK40" s="372">
        <v>2</v>
      </c>
      <c r="AM40" s="241"/>
      <c r="AN40" s="270"/>
      <c r="AO40" s="270"/>
      <c r="AP40" s="270"/>
      <c r="AQ40" s="271">
        <f t="shared" si="0"/>
        <v>2</v>
      </c>
      <c r="AR40" s="241">
        <f t="shared" si="14"/>
        <v>4</v>
      </c>
      <c r="AS40" s="242" t="str">
        <f t="shared" si="33"/>
        <v>Excellent</v>
      </c>
      <c r="AT40" s="243"/>
      <c r="AU40" s="241">
        <f t="shared" si="34"/>
        <v>4</v>
      </c>
      <c r="AV40" s="242" t="str">
        <f t="shared" si="35"/>
        <v>Excellent</v>
      </c>
      <c r="AW40" s="243"/>
      <c r="AX40" s="241">
        <f t="shared" si="8"/>
        <v>4</v>
      </c>
      <c r="AY40" s="242" t="str">
        <f t="shared" si="36"/>
        <v>Excellent</v>
      </c>
      <c r="AZ40" s="243"/>
      <c r="BK40" s="203" t="str">
        <f t="shared" si="37"/>
        <v>Ene 23</v>
      </c>
      <c r="BL40" s="203" t="str">
        <f>IFERROR(VLOOKUP($D40,'Pre-Assessment Estimator'!$C$10:$X$100,'Pre-Assessment Estimator'!X$2,FALSE),"")</f>
        <v>No</v>
      </c>
      <c r="BM40" s="203">
        <f>IFERROR(VLOOKUP($D40,'Pre-Assessment Estimator'!$C$10:$AE$100,'Pre-Assessment Estimator'!AE$2,FALSE),"")</f>
        <v>0</v>
      </c>
      <c r="BN40" s="203">
        <f t="shared" si="10"/>
        <v>1</v>
      </c>
      <c r="BO40" s="203">
        <f t="shared" si="11"/>
        <v>0</v>
      </c>
      <c r="BP40" s="203"/>
      <c r="BQ40" s="106" t="str">
        <f t="shared" si="12"/>
        <v/>
      </c>
    </row>
    <row r="41" spans="1:73" ht="15.75" thickBot="1" x14ac:dyDescent="0.3">
      <c r="A41" s="106">
        <v>34</v>
      </c>
      <c r="C41" s="244"/>
      <c r="D41" s="245" t="s">
        <v>230</v>
      </c>
      <c r="E41" s="245">
        <f>SUM(E31:E40)</f>
        <v>32</v>
      </c>
      <c r="F41" s="245">
        <f t="shared" ref="F41:I41" si="42">SUM(F31:F40)</f>
        <v>32</v>
      </c>
      <c r="G41" s="245">
        <f t="shared" si="42"/>
        <v>24</v>
      </c>
      <c r="H41" s="245">
        <f t="shared" si="42"/>
        <v>32</v>
      </c>
      <c r="I41" s="245">
        <f t="shared" si="42"/>
        <v>32</v>
      </c>
      <c r="K41" s="272">
        <f t="shared" si="31"/>
        <v>32</v>
      </c>
      <c r="L41" s="248"/>
      <c r="M41" s="249"/>
      <c r="N41" s="249"/>
      <c r="O41" s="249"/>
      <c r="P41" s="250"/>
      <c r="Q41" s="251">
        <f>SUM(Q31:Q40)</f>
        <v>10</v>
      </c>
      <c r="R41" s="273">
        <f>SUM(R31:R40)</f>
        <v>22</v>
      </c>
      <c r="T41" s="253">
        <f>SUM(T31:T40)</f>
        <v>0.19</v>
      </c>
      <c r="U41" s="253">
        <f>SUM(U31:U40)</f>
        <v>0</v>
      </c>
      <c r="W41" s="19">
        <f>SUM(W31:W40)</f>
        <v>0</v>
      </c>
      <c r="X41" s="19">
        <f t="shared" ref="X41:Y41" si="43">SUM(X31:X40)</f>
        <v>0</v>
      </c>
      <c r="Y41" s="19">
        <f t="shared" si="43"/>
        <v>0</v>
      </c>
      <c r="AA41" s="169"/>
      <c r="AB41" s="169"/>
      <c r="AC41" s="169"/>
      <c r="AD41" s="169"/>
      <c r="AE41" s="169"/>
      <c r="AF41" s="169"/>
      <c r="AG41" s="169"/>
      <c r="AH41" s="169"/>
      <c r="AI41" s="169"/>
      <c r="AJ41" s="169"/>
      <c r="AK41" s="169"/>
      <c r="AM41" s="107"/>
      <c r="AN41" s="254"/>
      <c r="AO41" s="107"/>
      <c r="AP41" s="107"/>
      <c r="AQ41" s="107"/>
      <c r="BK41" s="245"/>
      <c r="BL41" s="245" t="str">
        <f>IFERROR(VLOOKUP($D41,'Pre-Assessment Estimator'!$C$10:$X$100,'Pre-Assessment Estimator'!X$2,FALSE),"")</f>
        <v/>
      </c>
      <c r="BM41" s="245" t="str">
        <f>IFERROR(VLOOKUP($D41,'Pre-Assessment Estimator'!$C$10:$AE$100,'Pre-Assessment Estimator'!AE$2,FALSE),"")</f>
        <v/>
      </c>
      <c r="BN41" s="245" t="str">
        <f t="shared" si="10"/>
        <v/>
      </c>
      <c r="BO41" s="245" t="str">
        <f t="shared" si="11"/>
        <v/>
      </c>
      <c r="BP41" s="245"/>
      <c r="BQ41" s="106" t="str">
        <f t="shared" si="12"/>
        <v/>
      </c>
    </row>
    <row r="42" spans="1:73" ht="15.75" thickBot="1" x14ac:dyDescent="0.3">
      <c r="A42" s="106">
        <v>35</v>
      </c>
      <c r="W42" s="3"/>
      <c r="X42" s="3"/>
      <c r="Y42" s="3"/>
      <c r="AA42" s="169"/>
      <c r="AB42" s="169"/>
      <c r="AC42" s="169"/>
      <c r="AD42" s="169"/>
      <c r="AE42" s="169"/>
      <c r="AF42" s="169"/>
      <c r="AG42" s="169"/>
      <c r="AH42" s="169"/>
      <c r="AI42" s="169"/>
      <c r="AJ42" s="169"/>
      <c r="AK42" s="169"/>
      <c r="AM42" s="107"/>
      <c r="AN42" s="107"/>
      <c r="AO42" s="107"/>
      <c r="AP42" s="107"/>
      <c r="AQ42" s="107"/>
      <c r="BL42" s="106" t="str">
        <f>IFERROR(VLOOKUP($D42,'Pre-Assessment Estimator'!$C$10:$X$100,'Pre-Assessment Estimator'!X$2,FALSE),"")</f>
        <v/>
      </c>
      <c r="BM42" s="106" t="str">
        <f>IFERROR(VLOOKUP($D42,'Pre-Assessment Estimator'!$C$10:$AE$100,'Pre-Assessment Estimator'!AE$2,FALSE),"")</f>
        <v/>
      </c>
      <c r="BN42" s="106" t="str">
        <f t="shared" si="10"/>
        <v/>
      </c>
      <c r="BO42" s="106" t="str">
        <f t="shared" si="11"/>
        <v/>
      </c>
      <c r="BQ42" s="106" t="str">
        <f t="shared" si="12"/>
        <v/>
      </c>
    </row>
    <row r="43" spans="1:73" ht="15.75" thickBot="1" x14ac:dyDescent="0.3">
      <c r="A43" s="106">
        <v>36</v>
      </c>
      <c r="C43" s="176"/>
      <c r="D43" s="177" t="s">
        <v>71</v>
      </c>
      <c r="E43" s="178" t="str">
        <f>$E$8</f>
        <v>Office</v>
      </c>
      <c r="F43" s="178" t="str">
        <f>$F$8</f>
        <v>Retail</v>
      </c>
      <c r="G43" s="178" t="str">
        <f>$G$8</f>
        <v>Residential</v>
      </c>
      <c r="H43" s="178" t="str">
        <f>$H$8</f>
        <v>Industrial</v>
      </c>
      <c r="I43" s="179" t="str">
        <f>$I$8</f>
        <v>Education</v>
      </c>
      <c r="K43" s="168" t="str">
        <f>$D$5</f>
        <v>Office</v>
      </c>
      <c r="L43" s="255"/>
      <c r="M43" s="256"/>
      <c r="N43" s="256"/>
      <c r="O43" s="256"/>
      <c r="P43" s="444" t="s">
        <v>405</v>
      </c>
      <c r="Q43" s="183" t="s">
        <v>230</v>
      </c>
      <c r="R43" s="168"/>
      <c r="W43" s="44"/>
      <c r="X43" s="64"/>
      <c r="Y43" s="64"/>
      <c r="AA43" s="169"/>
      <c r="AB43" s="169"/>
      <c r="AC43" s="169"/>
      <c r="AD43" s="169"/>
      <c r="AE43" s="169"/>
      <c r="AF43" s="169"/>
      <c r="AG43" s="169"/>
      <c r="AH43" s="169"/>
      <c r="AI43" s="169"/>
      <c r="AJ43" s="169"/>
      <c r="AK43" s="169"/>
      <c r="AM43" s="107"/>
      <c r="AN43" s="107"/>
      <c r="AO43" s="107"/>
      <c r="AP43" s="107"/>
      <c r="AQ43" s="107"/>
      <c r="BK43" s="177"/>
      <c r="BL43" s="177" t="str">
        <f>D43</f>
        <v>Transport</v>
      </c>
      <c r="BM43" s="177">
        <f>IFERROR(VLOOKUP($D43,'Pre-Assessment Estimator'!$C$10:$AE$100,'Pre-Assessment Estimator'!AE$2,FALSE),"")</f>
        <v>0</v>
      </c>
      <c r="BN43" s="177" t="str">
        <f t="shared" si="10"/>
        <v/>
      </c>
      <c r="BO43" s="177" t="str">
        <f t="shared" si="11"/>
        <v/>
      </c>
      <c r="BP43" s="177"/>
      <c r="BQ43" s="106" t="str">
        <f t="shared" si="12"/>
        <v/>
      </c>
    </row>
    <row r="44" spans="1:73" x14ac:dyDescent="0.25">
      <c r="A44" s="106">
        <v>37</v>
      </c>
      <c r="C44" s="197" t="s">
        <v>160</v>
      </c>
      <c r="D44" s="198" t="s">
        <v>155</v>
      </c>
      <c r="E44" s="199">
        <v>3</v>
      </c>
      <c r="F44" s="199">
        <v>5</v>
      </c>
      <c r="G44" s="199">
        <v>4</v>
      </c>
      <c r="H44" s="199">
        <v>3</v>
      </c>
      <c r="I44" s="200">
        <v>5</v>
      </c>
      <c r="K44" s="274">
        <f t="shared" ref="K44:K50" si="44">HLOOKUP($D$5,$E$8:$I$99,$A44,FALSE)</f>
        <v>3</v>
      </c>
      <c r="L44" s="267">
        <f>IF(AND(ADBT0=ADBT8,'Assessment Details'!F6='Assessment Details'!R7),2,0)</f>
        <v>0</v>
      </c>
      <c r="M44" s="203"/>
      <c r="N44" s="203"/>
      <c r="O44" s="203">
        <f>'Manuell filtrering og justering'!D42</f>
        <v>0</v>
      </c>
      <c r="P44" s="204">
        <f>VLOOKUP(C44,'Manuell filtrering og justering'!$A$7:$G$97,'Manuell filtrering og justering'!$G$1,FALSE)</f>
        <v>5</v>
      </c>
      <c r="Q44" s="205">
        <f>IF(SUM(L44:O44)&gt;K44,K44,SUM(L44:O44))</f>
        <v>0</v>
      </c>
      <c r="R44" s="206">
        <f>IF($S$4='Manuell filtrering og justering'!$I$2,P44,(K44-Q44))</f>
        <v>3</v>
      </c>
      <c r="T44" s="207">
        <f>(BP_35/Tra_Credits)*Tra01_credits</f>
        <v>3.3333333333333333E-2</v>
      </c>
      <c r="U44" s="207">
        <f>IFERROR((Tra01_07/Tra01_credits)*Tra01_user,0)</f>
        <v>0</v>
      </c>
      <c r="W44" s="259">
        <f>IF(VLOOKUP(D44,'Pre-Assessment Estimator'!$C$10:$W$100,'Pre-Assessment Estimator'!$E$2,FALSE)&gt;R44,R44,VLOOKUP(D44,'Pre-Assessment Estimator'!$C$10:$W$100,'Pre-Assessment Estimator'!$E$2,FALSE))</f>
        <v>0</v>
      </c>
      <c r="X44" s="208">
        <f>IF(VLOOKUP(D44,'Pre-Assessment Estimator'!$C$10:$W$100,'Pre-Assessment Estimator'!$L$2,FALSE)&gt;R44,R44,VLOOKUP(D44,'Pre-Assessment Estimator'!$C$10:$W$100,'Pre-Assessment Estimator'!$L$2,FALSE))</f>
        <v>0</v>
      </c>
      <c r="Y44" s="208">
        <f>IF(VLOOKUP(D44,'Pre-Assessment Estimator'!$C$10:$W$100,'Pre-Assessment Estimator'!$R$2,FALSE)&gt;R44,R44,VLOOKUP(D44,'Pre-Assessment Estimator'!$C$10:$W$100,'Pre-Assessment Estimator'!$R$2,FALSE))</f>
        <v>0</v>
      </c>
      <c r="AA44" s="367"/>
      <c r="AB44" s="368"/>
      <c r="AC44" s="368"/>
      <c r="AD44" s="368"/>
      <c r="AE44" s="369"/>
      <c r="AF44" s="169"/>
      <c r="AG44" s="367"/>
      <c r="AH44" s="368"/>
      <c r="AI44" s="368"/>
      <c r="AJ44" s="368"/>
      <c r="AK44" s="369"/>
      <c r="AM44" s="263"/>
      <c r="AN44" s="264"/>
      <c r="AO44" s="264"/>
      <c r="AP44" s="264"/>
      <c r="AQ44" s="265">
        <f t="shared" si="0"/>
        <v>0</v>
      </c>
      <c r="AR44" s="211">
        <f t="shared" si="14"/>
        <v>9</v>
      </c>
      <c r="AS44" s="214" t="str">
        <f t="shared" ref="AS44:AS49" si="45">VLOOKUP(AR44,$BB$8:$BC$14,2,FALSE)</f>
        <v>N/A</v>
      </c>
      <c r="AT44" s="215"/>
      <c r="AU44" s="211">
        <f t="shared" ref="AU44:AU49" si="46">IF(AQ44=0,9,IF(X44&gt;=AQ44,5,IF(X44&gt;=AP44,4,IF(X44&gt;=AO44,3,IF(X44&gt;=AN44,2,IF(X44&lt;AM44,0,1))))))</f>
        <v>9</v>
      </c>
      <c r="AV44" s="214" t="str">
        <f t="shared" ref="AV44:AV49" si="47">VLOOKUP(AU44,$BB$8:$BC$14,2,FALSE)</f>
        <v>N/A</v>
      </c>
      <c r="AW44" s="215"/>
      <c r="AX44" s="211">
        <f t="shared" si="8"/>
        <v>9</v>
      </c>
      <c r="AY44" s="214" t="str">
        <f t="shared" ref="AY44:AY49" si="48">VLOOKUP(AX44,$BB$8:$BC$14,2,FALSE)</f>
        <v>N/A</v>
      </c>
      <c r="AZ44" s="215"/>
      <c r="BK44" s="198" t="str">
        <f t="shared" ref="BK44:BK49" si="49">C44</f>
        <v>Tra 01</v>
      </c>
      <c r="BL44" s="198" t="str">
        <f>IFERROR(VLOOKUP($D44,'Pre-Assessment Estimator'!$C$10:$X$100,'Pre-Assessment Estimator'!X$2,FALSE),"")</f>
        <v>N/A</v>
      </c>
      <c r="BM44" s="198">
        <f>IFERROR(VLOOKUP($D44,'Pre-Assessment Estimator'!$C$10:$AE$100,'Pre-Assessment Estimator'!AE$2,FALSE),"")</f>
        <v>0</v>
      </c>
      <c r="BN44" s="198">
        <f t="shared" si="10"/>
        <v>1</v>
      </c>
      <c r="BO44" s="198">
        <f t="shared" si="11"/>
        <v>0</v>
      </c>
      <c r="BP44" s="198"/>
      <c r="BQ44" s="106" t="str">
        <f t="shared" si="12"/>
        <v/>
      </c>
    </row>
    <row r="45" spans="1:73" x14ac:dyDescent="0.25">
      <c r="A45" s="106">
        <v>38</v>
      </c>
      <c r="C45" s="202" t="s">
        <v>161</v>
      </c>
      <c r="D45" s="203" t="s">
        <v>156</v>
      </c>
      <c r="E45" s="216">
        <v>1</v>
      </c>
      <c r="F45" s="216">
        <v>1</v>
      </c>
      <c r="G45" s="216">
        <v>2</v>
      </c>
      <c r="H45" s="216">
        <v>1</v>
      </c>
      <c r="I45" s="217">
        <v>1</v>
      </c>
      <c r="K45" s="266">
        <f t="shared" si="44"/>
        <v>1</v>
      </c>
      <c r="L45" s="202"/>
      <c r="M45" s="203"/>
      <c r="N45" s="203"/>
      <c r="O45" s="203">
        <f>'Manuell filtrering og justering'!D43</f>
        <v>0</v>
      </c>
      <c r="P45" s="204">
        <f>VLOOKUP(C45,'Manuell filtrering og justering'!$A$7:$G$97,'Manuell filtrering og justering'!$G$1,FALSE)</f>
        <v>1</v>
      </c>
      <c r="Q45" s="205">
        <f t="shared" ref="Q45:Q48" si="50">IF(SUM(L45:O45)&gt;K45,K45,SUM(L45:O45))</f>
        <v>0</v>
      </c>
      <c r="R45" s="206">
        <f>IF($S$4='Manuell filtrering og justering'!$I$2,P45,(K45-Q45))</f>
        <v>1</v>
      </c>
      <c r="T45" s="207">
        <f>(BP_35/Tra_Credits)*Tra02_credits</f>
        <v>1.1111111111111112E-2</v>
      </c>
      <c r="U45" s="207">
        <f>(Tra02_06/Tra02_credits)*Tra02_user</f>
        <v>0</v>
      </c>
      <c r="W45" s="259">
        <f>IF(VLOOKUP(D45,'Pre-Assessment Estimator'!$C$10:$W$100,'Pre-Assessment Estimator'!$E$2,FALSE)&gt;R45,R45,VLOOKUP(D45,'Pre-Assessment Estimator'!$C$10:$W$100,'Pre-Assessment Estimator'!$E$2,FALSE))</f>
        <v>0</v>
      </c>
      <c r="X45" s="208">
        <f>IF(VLOOKUP(D45,'Pre-Assessment Estimator'!$C$10:$W$100,'Pre-Assessment Estimator'!$L$2,FALSE)&gt;R45,R45,VLOOKUP(D45,'Pre-Assessment Estimator'!$C$10:$W$100,'Pre-Assessment Estimator'!$L$2,FALSE))</f>
        <v>0</v>
      </c>
      <c r="Y45" s="208">
        <f>IF(VLOOKUP(D45,'Pre-Assessment Estimator'!$C$10:$W$100,'Pre-Assessment Estimator'!$R$2,FALSE)&gt;R45,R45,VLOOKUP(D45,'Pre-Assessment Estimator'!$C$10:$W$100,'Pre-Assessment Estimator'!$R$2,FALSE))</f>
        <v>0</v>
      </c>
      <c r="AA45" s="361"/>
      <c r="AB45" s="362"/>
      <c r="AC45" s="362"/>
      <c r="AD45" s="362"/>
      <c r="AE45" s="363"/>
      <c r="AF45" s="169"/>
      <c r="AG45" s="361"/>
      <c r="AH45" s="362"/>
      <c r="AI45" s="362"/>
      <c r="AJ45" s="362"/>
      <c r="AK45" s="363"/>
      <c r="AM45" s="226"/>
      <c r="AN45" s="227"/>
      <c r="AO45" s="227"/>
      <c r="AP45" s="227"/>
      <c r="AQ45" s="228">
        <f t="shared" si="0"/>
        <v>0</v>
      </c>
      <c r="AR45" s="220">
        <f t="shared" si="14"/>
        <v>9</v>
      </c>
      <c r="AS45" s="203" t="str">
        <f t="shared" si="45"/>
        <v>N/A</v>
      </c>
      <c r="AT45" s="223"/>
      <c r="AU45" s="220">
        <f t="shared" si="46"/>
        <v>9</v>
      </c>
      <c r="AV45" s="203" t="str">
        <f t="shared" si="47"/>
        <v>N/A</v>
      </c>
      <c r="AW45" s="223"/>
      <c r="AX45" s="220">
        <f t="shared" si="8"/>
        <v>9</v>
      </c>
      <c r="AY45" s="203" t="str">
        <f t="shared" si="48"/>
        <v>N/A</v>
      </c>
      <c r="AZ45" s="223"/>
      <c r="BK45" s="203" t="str">
        <f t="shared" si="49"/>
        <v>Tra 02</v>
      </c>
      <c r="BL45" s="203" t="str">
        <f>IFERROR(VLOOKUP($D45,'Pre-Assessment Estimator'!$C$10:$X$100,'Pre-Assessment Estimator'!X$2,FALSE),"")</f>
        <v>N/A</v>
      </c>
      <c r="BM45" s="203">
        <f>IFERROR(VLOOKUP($D45,'Pre-Assessment Estimator'!$C$10:$AE$100,'Pre-Assessment Estimator'!AE$2,FALSE),"")</f>
        <v>0</v>
      </c>
      <c r="BN45" s="203">
        <f t="shared" si="10"/>
        <v>1</v>
      </c>
      <c r="BO45" s="203">
        <f t="shared" si="11"/>
        <v>0</v>
      </c>
      <c r="BP45" s="203"/>
      <c r="BQ45" s="106" t="str">
        <f t="shared" si="12"/>
        <v/>
      </c>
    </row>
    <row r="46" spans="1:73" x14ac:dyDescent="0.25">
      <c r="A46" s="106">
        <v>39</v>
      </c>
      <c r="C46" s="202" t="s">
        <v>162</v>
      </c>
      <c r="D46" s="203" t="s">
        <v>158</v>
      </c>
      <c r="E46" s="216">
        <v>2</v>
      </c>
      <c r="F46" s="216">
        <v>2</v>
      </c>
      <c r="G46" s="216">
        <v>2</v>
      </c>
      <c r="H46" s="216">
        <v>2</v>
      </c>
      <c r="I46" s="217">
        <v>2</v>
      </c>
      <c r="K46" s="266">
        <f t="shared" si="44"/>
        <v>2</v>
      </c>
      <c r="L46" s="202"/>
      <c r="M46" s="203"/>
      <c r="N46" s="203"/>
      <c r="O46" s="203">
        <f>'Manuell filtrering og justering'!D44</f>
        <v>0</v>
      </c>
      <c r="P46" s="204">
        <f>VLOOKUP(C46,'Manuell filtrering og justering'!$A$7:$G$97,'Manuell filtrering og justering'!$G$1,FALSE)</f>
        <v>2</v>
      </c>
      <c r="Q46" s="205">
        <f t="shared" si="50"/>
        <v>0</v>
      </c>
      <c r="R46" s="206">
        <f>IF($S$4='Manuell filtrering og justering'!$I$2,P46,(K46-Q46))</f>
        <v>2</v>
      </c>
      <c r="T46" s="207">
        <f>(BP_35/Tra_Credits)*Tra03_credits</f>
        <v>2.2222222222222223E-2</v>
      </c>
      <c r="U46" s="207">
        <f>(Tra03_13/Tra03_credits)*Tra03_user</f>
        <v>0</v>
      </c>
      <c r="W46" s="259">
        <f>IF(VLOOKUP(D46,'Pre-Assessment Estimator'!$C$10:$W$100,'Pre-Assessment Estimator'!$E$2,FALSE)&gt;R46,R46,VLOOKUP(D46,'Pre-Assessment Estimator'!$C$10:$W$100,'Pre-Assessment Estimator'!$E$2,FALSE))</f>
        <v>0</v>
      </c>
      <c r="X46" s="208">
        <f>IF(VLOOKUP(D46,'Pre-Assessment Estimator'!$C$10:$W$100,'Pre-Assessment Estimator'!$L$2,FALSE)&gt;R46,R46,VLOOKUP(D46,'Pre-Assessment Estimator'!$C$10:$W$100,'Pre-Assessment Estimator'!$L$2,FALSE))</f>
        <v>0</v>
      </c>
      <c r="Y46" s="208">
        <f>IF(VLOOKUP(D46,'Pre-Assessment Estimator'!$C$10:$W$100,'Pre-Assessment Estimator'!$R$2,FALSE)&gt;R46,R46,VLOOKUP(D46,'Pre-Assessment Estimator'!$C$10:$W$100,'Pre-Assessment Estimator'!$R$2,FALSE))</f>
        <v>0</v>
      </c>
      <c r="AA46" s="361"/>
      <c r="AB46" s="362"/>
      <c r="AC46" s="362"/>
      <c r="AD46" s="362"/>
      <c r="AE46" s="363"/>
      <c r="AF46" s="169"/>
      <c r="AG46" s="361"/>
      <c r="AH46" s="362"/>
      <c r="AI46" s="362"/>
      <c r="AJ46" s="362"/>
      <c r="AK46" s="363"/>
      <c r="AM46" s="226"/>
      <c r="AN46" s="227"/>
      <c r="AO46" s="227"/>
      <c r="AP46" s="227"/>
      <c r="AQ46" s="228">
        <f t="shared" si="0"/>
        <v>0</v>
      </c>
      <c r="AR46" s="220">
        <f t="shared" si="14"/>
        <v>9</v>
      </c>
      <c r="AS46" s="203" t="str">
        <f t="shared" si="45"/>
        <v>N/A</v>
      </c>
      <c r="AT46" s="223"/>
      <c r="AU46" s="220">
        <f t="shared" si="46"/>
        <v>9</v>
      </c>
      <c r="AV46" s="203" t="str">
        <f t="shared" si="47"/>
        <v>N/A</v>
      </c>
      <c r="AW46" s="223"/>
      <c r="AX46" s="220">
        <f t="shared" si="8"/>
        <v>9</v>
      </c>
      <c r="AY46" s="203" t="str">
        <f t="shared" si="48"/>
        <v>N/A</v>
      </c>
      <c r="AZ46" s="223"/>
      <c r="BK46" s="203" t="str">
        <f t="shared" si="49"/>
        <v>Tra 03</v>
      </c>
      <c r="BL46" s="203" t="str">
        <f>IFERROR(VLOOKUP($D46,'Pre-Assessment Estimator'!$C$10:$X$100,'Pre-Assessment Estimator'!X$2,FALSE),"")</f>
        <v>N/A</v>
      </c>
      <c r="BM46" s="203">
        <f>IFERROR(VLOOKUP($D46,'Pre-Assessment Estimator'!$C$10:$AE$100,'Pre-Assessment Estimator'!AE$2,FALSE),"")</f>
        <v>0</v>
      </c>
      <c r="BN46" s="203">
        <f t="shared" si="10"/>
        <v>1</v>
      </c>
      <c r="BO46" s="203">
        <f t="shared" si="11"/>
        <v>0</v>
      </c>
      <c r="BP46" s="203"/>
      <c r="BQ46" s="106" t="s">
        <v>550</v>
      </c>
    </row>
    <row r="47" spans="1:73" x14ac:dyDescent="0.25">
      <c r="A47" s="106">
        <v>40</v>
      </c>
      <c r="C47" s="202" t="s">
        <v>163</v>
      </c>
      <c r="D47" s="203" t="s">
        <v>157</v>
      </c>
      <c r="E47" s="216">
        <v>2</v>
      </c>
      <c r="F47" s="216"/>
      <c r="G47" s="216"/>
      <c r="H47" s="216">
        <v>2</v>
      </c>
      <c r="I47" s="217">
        <v>2</v>
      </c>
      <c r="K47" s="266">
        <f t="shared" si="44"/>
        <v>2</v>
      </c>
      <c r="L47" s="202"/>
      <c r="M47" s="203"/>
      <c r="N47" s="203"/>
      <c r="O47" s="203">
        <f>'Manuell filtrering og justering'!D45</f>
        <v>0</v>
      </c>
      <c r="P47" s="204">
        <f>VLOOKUP(C47,'Manuell filtrering og justering'!$A$7:$G$97,'Manuell filtrering og justering'!$G$1,FALSE)</f>
        <v>2</v>
      </c>
      <c r="Q47" s="205">
        <f t="shared" si="50"/>
        <v>0</v>
      </c>
      <c r="R47" s="206">
        <f>IF($S$4='Manuell filtrering og justering'!$I$2,P47,(K47-Q47))</f>
        <v>2</v>
      </c>
      <c r="T47" s="207">
        <f>(BP_35/Tra_Credits)*Tra04_credits</f>
        <v>2.2222222222222223E-2</v>
      </c>
      <c r="U47" s="207">
        <f>IFERROR((Tra04_09/Tra04_credits)*Tra04_user,0)</f>
        <v>0</v>
      </c>
      <c r="W47" s="259">
        <f>IF(VLOOKUP(D47,'Pre-Assessment Estimator'!$C$10:$W$100,'Pre-Assessment Estimator'!$E$2,FALSE)&gt;R47,R47,VLOOKUP(D47,'Pre-Assessment Estimator'!$C$10:$W$100,'Pre-Assessment Estimator'!$E$2,FALSE))</f>
        <v>0</v>
      </c>
      <c r="X47" s="208">
        <f>IF(VLOOKUP(D47,'Pre-Assessment Estimator'!$C$10:$W$100,'Pre-Assessment Estimator'!$L$2,FALSE)&gt;R47,R47,VLOOKUP(D47,'Pre-Assessment Estimator'!$C$10:$W$100,'Pre-Assessment Estimator'!$L$2,FALSE))</f>
        <v>0</v>
      </c>
      <c r="Y47" s="208">
        <f>IF(VLOOKUP(D47,'Pre-Assessment Estimator'!$C$10:$W$100,'Pre-Assessment Estimator'!$R$2,FALSE)&gt;R47,R47,VLOOKUP(D47,'Pre-Assessment Estimator'!$C$10:$W$100,'Pre-Assessment Estimator'!$R$2,FALSE))</f>
        <v>0</v>
      </c>
      <c r="AA47" s="361"/>
      <c r="AB47" s="362"/>
      <c r="AC47" s="362"/>
      <c r="AD47" s="362"/>
      <c r="AE47" s="363"/>
      <c r="AF47" s="169"/>
      <c r="AG47" s="361"/>
      <c r="AH47" s="362"/>
      <c r="AI47" s="362"/>
      <c r="AJ47" s="362"/>
      <c r="AK47" s="363"/>
      <c r="AM47" s="226"/>
      <c r="AN47" s="227"/>
      <c r="AO47" s="227"/>
      <c r="AP47" s="227"/>
      <c r="AQ47" s="228">
        <f t="shared" si="0"/>
        <v>0</v>
      </c>
      <c r="AR47" s="220">
        <f t="shared" si="14"/>
        <v>9</v>
      </c>
      <c r="AS47" s="203" t="str">
        <f t="shared" si="45"/>
        <v>N/A</v>
      </c>
      <c r="AT47" s="223"/>
      <c r="AU47" s="220">
        <f t="shared" si="46"/>
        <v>9</v>
      </c>
      <c r="AV47" s="203" t="str">
        <f t="shared" si="47"/>
        <v>N/A</v>
      </c>
      <c r="AW47" s="223"/>
      <c r="AX47" s="220">
        <f t="shared" si="8"/>
        <v>9</v>
      </c>
      <c r="AY47" s="203" t="str">
        <f t="shared" si="48"/>
        <v>N/A</v>
      </c>
      <c r="AZ47" s="223"/>
      <c r="BK47" s="203" t="str">
        <f t="shared" si="49"/>
        <v>Tra 04</v>
      </c>
      <c r="BL47" s="203" t="str">
        <f>IFERROR(VLOOKUP($D47,'Pre-Assessment Estimator'!$C$10:$X$100,'Pre-Assessment Estimator'!X$2,FALSE),"")</f>
        <v>N/A</v>
      </c>
      <c r="BM47" s="203">
        <f>IFERROR(VLOOKUP($D47,'Pre-Assessment Estimator'!$C$10:$AE$100,'Pre-Assessment Estimator'!AE$2,FALSE),"")</f>
        <v>0</v>
      </c>
      <c r="BN47" s="203">
        <f t="shared" si="10"/>
        <v>1</v>
      </c>
      <c r="BO47" s="203">
        <f t="shared" si="11"/>
        <v>0</v>
      </c>
      <c r="BP47" s="203"/>
      <c r="BQ47" s="106" t="str">
        <f t="shared" si="12"/>
        <v/>
      </c>
    </row>
    <row r="48" spans="1:73" x14ac:dyDescent="0.25">
      <c r="A48" s="106">
        <v>41</v>
      </c>
      <c r="C48" s="202" t="s">
        <v>164</v>
      </c>
      <c r="D48" s="203" t="s">
        <v>159</v>
      </c>
      <c r="E48" s="216">
        <v>1</v>
      </c>
      <c r="F48" s="216">
        <v>1</v>
      </c>
      <c r="G48" s="216"/>
      <c r="H48" s="216">
        <v>1</v>
      </c>
      <c r="I48" s="217">
        <v>1</v>
      </c>
      <c r="K48" s="266">
        <f t="shared" si="44"/>
        <v>1</v>
      </c>
      <c r="L48" s="202"/>
      <c r="M48" s="203"/>
      <c r="N48" s="203"/>
      <c r="O48" s="203">
        <f>'Manuell filtrering og justering'!D46</f>
        <v>0</v>
      </c>
      <c r="P48" s="204">
        <f>VLOOKUP(C48,'Manuell filtrering og justering'!$A$7:$G$97,'Manuell filtrering og justering'!$G$1,FALSE)</f>
        <v>1</v>
      </c>
      <c r="Q48" s="205">
        <f t="shared" si="50"/>
        <v>0</v>
      </c>
      <c r="R48" s="206">
        <f>IF($S$4='Manuell filtrering og justering'!$I$2,P48,(K48-Q48))</f>
        <v>1</v>
      </c>
      <c r="T48" s="207">
        <f>(BP_35/Tra_Credits)*Tra05_credits</f>
        <v>1.1111111111111112E-2</v>
      </c>
      <c r="U48" s="207">
        <f>IFERROR((Tra05_04/Tra05_credits)*Tra05_user,0)</f>
        <v>0</v>
      </c>
      <c r="W48" s="259">
        <f>IF(VLOOKUP(D48,'Pre-Assessment Estimator'!$C$10:$W$100,'Pre-Assessment Estimator'!$E$2,FALSE)&gt;R48,R48,VLOOKUP(D48,'Pre-Assessment Estimator'!$C$10:$W$100,'Pre-Assessment Estimator'!$E$2,FALSE))</f>
        <v>0</v>
      </c>
      <c r="X48" s="208">
        <f>IF(VLOOKUP(D48,'Pre-Assessment Estimator'!$C$10:$W$100,'Pre-Assessment Estimator'!$L$2,FALSE)&gt;R48,R48,VLOOKUP(D48,'Pre-Assessment Estimator'!$C$10:$W$100,'Pre-Assessment Estimator'!$L$2,FALSE))</f>
        <v>0</v>
      </c>
      <c r="Y48" s="208">
        <f>IF(VLOOKUP(D48,'Pre-Assessment Estimator'!$C$10:$W$100,'Pre-Assessment Estimator'!$R$2,FALSE)&gt;R48,R48,VLOOKUP(D48,'Pre-Assessment Estimator'!$C$10:$W$100,'Pre-Assessment Estimator'!$R$2,FALSE))</f>
        <v>0</v>
      </c>
      <c r="AA48" s="361"/>
      <c r="AB48" s="362"/>
      <c r="AC48" s="362"/>
      <c r="AD48" s="362"/>
      <c r="AE48" s="363"/>
      <c r="AF48" s="169"/>
      <c r="AG48" s="361"/>
      <c r="AH48" s="362"/>
      <c r="AI48" s="362"/>
      <c r="AJ48" s="362"/>
      <c r="AK48" s="363"/>
      <c r="AM48" s="226"/>
      <c r="AN48" s="227"/>
      <c r="AO48" s="227"/>
      <c r="AP48" s="227"/>
      <c r="AQ48" s="228">
        <f t="shared" si="0"/>
        <v>0</v>
      </c>
      <c r="AR48" s="220">
        <f t="shared" si="14"/>
        <v>9</v>
      </c>
      <c r="AS48" s="203" t="str">
        <f t="shared" si="45"/>
        <v>N/A</v>
      </c>
      <c r="AT48" s="223"/>
      <c r="AU48" s="220">
        <f t="shared" si="46"/>
        <v>9</v>
      </c>
      <c r="AV48" s="203" t="str">
        <f t="shared" si="47"/>
        <v>N/A</v>
      </c>
      <c r="AW48" s="223"/>
      <c r="AX48" s="220">
        <f t="shared" si="8"/>
        <v>9</v>
      </c>
      <c r="AY48" s="203" t="str">
        <f t="shared" si="48"/>
        <v>N/A</v>
      </c>
      <c r="AZ48" s="223"/>
      <c r="BK48" s="203" t="str">
        <f t="shared" si="49"/>
        <v>Tra 05</v>
      </c>
      <c r="BL48" s="203" t="str">
        <f>IFERROR(VLOOKUP($D48,'Pre-Assessment Estimator'!$C$10:$X$100,'Pre-Assessment Estimator'!X$2,FALSE),"")</f>
        <v>N/A</v>
      </c>
      <c r="BM48" s="203">
        <f>IFERROR(VLOOKUP($D48,'Pre-Assessment Estimator'!$C$10:$AE$100,'Pre-Assessment Estimator'!AE$2,FALSE),"")</f>
        <v>0</v>
      </c>
      <c r="BN48" s="203">
        <f t="shared" si="10"/>
        <v>1</v>
      </c>
      <c r="BO48" s="203">
        <f t="shared" si="11"/>
        <v>0</v>
      </c>
      <c r="BP48" s="203"/>
      <c r="BQ48" s="106" t="str">
        <f t="shared" si="12"/>
        <v/>
      </c>
    </row>
    <row r="49" spans="1:73" ht="15.75" thickBot="1" x14ac:dyDescent="0.3">
      <c r="A49" s="106">
        <v>42</v>
      </c>
      <c r="C49" s="279" t="s">
        <v>357</v>
      </c>
      <c r="D49" s="395" t="s">
        <v>358</v>
      </c>
      <c r="E49" s="280"/>
      <c r="F49" s="280"/>
      <c r="G49" s="280">
        <v>1</v>
      </c>
      <c r="H49" s="280"/>
      <c r="I49" s="281"/>
      <c r="K49" s="396">
        <f t="shared" si="44"/>
        <v>0</v>
      </c>
      <c r="L49" s="230"/>
      <c r="M49" s="231"/>
      <c r="N49" s="231"/>
      <c r="O49" s="203">
        <f>'Manuell filtrering og justering'!D47</f>
        <v>0</v>
      </c>
      <c r="P49" s="204">
        <f>VLOOKUP(C49,'Manuell filtrering og justering'!$A$7:$G$97,'Manuell filtrering og justering'!$G$1,FALSE)</f>
        <v>0</v>
      </c>
      <c r="Q49" s="205">
        <f>IF(SUM(L49:O49)&gt;K49,K49,SUM(L49:O49))</f>
        <v>0</v>
      </c>
      <c r="R49" s="206">
        <f>IF($S$4='Manuell filtrering og justering'!$I$2,P49,(K49-Q49))</f>
        <v>0</v>
      </c>
      <c r="T49" s="207">
        <f>(BP_35/Tra_Credits)*Tra06_credits</f>
        <v>0</v>
      </c>
      <c r="U49" s="207">
        <f>IFERROR((Tra06_04/Tra06_credits)*Tra06_user,0)</f>
        <v>0</v>
      </c>
      <c r="W49" s="259">
        <f>IF(VLOOKUP(D49,'Pre-Assessment Estimator'!$C$10:$W$100,'Pre-Assessment Estimator'!$E$2,FALSE)&gt;R49,R49,VLOOKUP(D49,'Pre-Assessment Estimator'!$C$10:$W$100,'Pre-Assessment Estimator'!$E$2,FALSE))</f>
        <v>0</v>
      </c>
      <c r="X49" s="208">
        <f>IF(VLOOKUP(D49,'Pre-Assessment Estimator'!$C$10:$W$100,'Pre-Assessment Estimator'!$L$2,FALSE)&gt;R49,R49,VLOOKUP(D49,'Pre-Assessment Estimator'!$C$10:$W$100,'Pre-Assessment Estimator'!$L$2,FALSE))</f>
        <v>0</v>
      </c>
      <c r="Y49" s="208">
        <f>IF(VLOOKUP(D49,'Pre-Assessment Estimator'!$C$10:$W$100,'Pre-Assessment Estimator'!$R$2,FALSE)&gt;R49,R49,VLOOKUP(D49,'Pre-Assessment Estimator'!$C$10:$W$100,'Pre-Assessment Estimator'!$R$2,FALSE))</f>
        <v>0</v>
      </c>
      <c r="AA49" s="364"/>
      <c r="AB49" s="365"/>
      <c r="AC49" s="365"/>
      <c r="AD49" s="365"/>
      <c r="AE49" s="366"/>
      <c r="AF49" s="169"/>
      <c r="AG49" s="364"/>
      <c r="AH49" s="365"/>
      <c r="AI49" s="365"/>
      <c r="AJ49" s="365"/>
      <c r="AK49" s="366"/>
      <c r="AM49" s="237"/>
      <c r="AN49" s="239"/>
      <c r="AO49" s="239"/>
      <c r="AP49" s="239"/>
      <c r="AQ49" s="240">
        <f t="shared" ref="AQ49" si="51">IF($D$5=$G$8,AK49,AE49)</f>
        <v>0</v>
      </c>
      <c r="AR49" s="241">
        <f t="shared" ref="AR49" si="52">IF(AQ49=0,9,IF(W49&gt;=AQ49,5,IF(W49&gt;=AP49,4,IF(W49&gt;=AO49,3,IF(W49&gt;=AN49,2,IF(W49&lt;AM49,0,1))))))</f>
        <v>9</v>
      </c>
      <c r="AS49" s="242" t="str">
        <f t="shared" si="45"/>
        <v>N/A</v>
      </c>
      <c r="AT49" s="243"/>
      <c r="AU49" s="241">
        <f t="shared" si="46"/>
        <v>9</v>
      </c>
      <c r="AV49" s="242" t="str">
        <f t="shared" si="47"/>
        <v>N/A</v>
      </c>
      <c r="AW49" s="243"/>
      <c r="AX49" s="241">
        <f t="shared" si="8"/>
        <v>9</v>
      </c>
      <c r="AY49" s="242" t="str">
        <f t="shared" si="48"/>
        <v>N/A</v>
      </c>
      <c r="AZ49" s="243"/>
      <c r="BK49" s="395" t="str">
        <f t="shared" si="49"/>
        <v>Tra 06</v>
      </c>
      <c r="BL49" s="395" t="str">
        <f>IFERROR(VLOOKUP($D49,'Pre-Assessment Estimator'!$C$10:$X$100,'Pre-Assessment Estimator'!X$2,FALSE),"")</f>
        <v>N/A</v>
      </c>
      <c r="BM49" s="395">
        <f>IFERROR(VLOOKUP($D49,'Pre-Assessment Estimator'!$C$10:$AE$100,'Pre-Assessment Estimator'!AE$2,FALSE),"")</f>
        <v>0</v>
      </c>
      <c r="BN49" s="395">
        <f t="shared" si="10"/>
        <v>1</v>
      </c>
      <c r="BO49" s="395">
        <f t="shared" si="11"/>
        <v>0</v>
      </c>
      <c r="BP49" s="395"/>
      <c r="BQ49" s="106" t="str">
        <f t="shared" si="12"/>
        <v/>
      </c>
    </row>
    <row r="50" spans="1:73" ht="15.75" thickBot="1" x14ac:dyDescent="0.3">
      <c r="A50" s="106">
        <v>43</v>
      </c>
      <c r="C50" s="244"/>
      <c r="D50" s="245" t="s">
        <v>230</v>
      </c>
      <c r="E50" s="245">
        <f>SUM(E44:E49)</f>
        <v>9</v>
      </c>
      <c r="F50" s="245">
        <f t="shared" ref="F50:I50" si="53">SUM(F44:F49)</f>
        <v>9</v>
      </c>
      <c r="G50" s="245">
        <f t="shared" si="53"/>
        <v>9</v>
      </c>
      <c r="H50" s="245">
        <f t="shared" si="53"/>
        <v>9</v>
      </c>
      <c r="I50" s="245">
        <f t="shared" si="53"/>
        <v>11</v>
      </c>
      <c r="K50" s="272">
        <f t="shared" si="44"/>
        <v>9</v>
      </c>
      <c r="L50" s="248"/>
      <c r="M50" s="249"/>
      <c r="N50" s="249"/>
      <c r="O50" s="249"/>
      <c r="P50" s="250"/>
      <c r="Q50" s="251">
        <f>SUM(Q44:Q48)</f>
        <v>0</v>
      </c>
      <c r="R50" s="273">
        <f>SUM(R44:R49)</f>
        <v>9</v>
      </c>
      <c r="T50" s="253">
        <f>SUM(T44:T49)</f>
        <v>0.1</v>
      </c>
      <c r="U50" s="253">
        <f>SUM(U44:U49)</f>
        <v>0</v>
      </c>
      <c r="W50" s="19">
        <f>SUM(W44:W49)</f>
        <v>0</v>
      </c>
      <c r="X50" s="19">
        <f>SUM(X44:X49)</f>
        <v>0</v>
      </c>
      <c r="Y50" s="19">
        <f>SUM(Y44:Y49)</f>
        <v>0</v>
      </c>
      <c r="AA50" s="169"/>
      <c r="AB50" s="169"/>
      <c r="AC50" s="169"/>
      <c r="AD50" s="169"/>
      <c r="AE50" s="169"/>
      <c r="AF50" s="169"/>
      <c r="AG50" s="169"/>
      <c r="AH50" s="169"/>
      <c r="AI50" s="169"/>
      <c r="AJ50" s="169"/>
      <c r="AK50" s="169"/>
      <c r="AM50" s="107"/>
      <c r="AN50" s="254"/>
      <c r="AO50" s="107"/>
      <c r="AP50" s="107"/>
      <c r="AQ50" s="107"/>
      <c r="BK50" s="245"/>
      <c r="BL50" s="245" t="str">
        <f>IFERROR(VLOOKUP($D50,'Pre-Assessment Estimator'!$C$10:$X$100,'Pre-Assessment Estimator'!X$2,FALSE),"")</f>
        <v/>
      </c>
      <c r="BM50" s="245" t="str">
        <f>IFERROR(VLOOKUP($D50,'Pre-Assessment Estimator'!$C$10:$AE$100,'Pre-Assessment Estimator'!AE$2,FALSE),"")</f>
        <v/>
      </c>
      <c r="BN50" s="245" t="str">
        <f t="shared" si="10"/>
        <v/>
      </c>
      <c r="BO50" s="245" t="str">
        <f t="shared" si="11"/>
        <v/>
      </c>
      <c r="BP50" s="245"/>
      <c r="BQ50" s="106" t="str">
        <f t="shared" si="12"/>
        <v/>
      </c>
    </row>
    <row r="51" spans="1:73" ht="15.75" thickBot="1" x14ac:dyDescent="0.3">
      <c r="A51" s="106">
        <v>44</v>
      </c>
      <c r="W51" s="3"/>
      <c r="X51" s="3"/>
      <c r="Y51" s="3"/>
      <c r="AA51" s="169"/>
      <c r="AB51" s="169"/>
      <c r="AC51" s="169"/>
      <c r="AD51" s="169"/>
      <c r="AE51" s="169"/>
      <c r="AF51" s="169"/>
      <c r="AG51" s="169"/>
      <c r="AH51" s="169"/>
      <c r="AI51" s="169"/>
      <c r="AJ51" s="169"/>
      <c r="AK51" s="169"/>
      <c r="AM51" s="107"/>
      <c r="AN51" s="107"/>
      <c r="AO51" s="107"/>
      <c r="AP51" s="107"/>
      <c r="AQ51" s="107"/>
      <c r="BL51" s="106" t="str">
        <f>IFERROR(VLOOKUP($D51,'Pre-Assessment Estimator'!$C$10:$X$100,'Pre-Assessment Estimator'!X$2,FALSE),"")</f>
        <v/>
      </c>
      <c r="BM51" s="106" t="str">
        <f>IFERROR(VLOOKUP($D51,'Pre-Assessment Estimator'!$C$10:$AE$100,'Pre-Assessment Estimator'!AE$2,FALSE),"")</f>
        <v/>
      </c>
      <c r="BN51" s="106" t="str">
        <f t="shared" si="10"/>
        <v/>
      </c>
      <c r="BO51" s="106" t="str">
        <f t="shared" si="11"/>
        <v/>
      </c>
      <c r="BQ51" s="106" t="str">
        <f t="shared" si="12"/>
        <v/>
      </c>
    </row>
    <row r="52" spans="1:73" ht="15.75" thickBot="1" x14ac:dyDescent="0.3">
      <c r="A52" s="106">
        <v>45</v>
      </c>
      <c r="C52" s="176"/>
      <c r="D52" s="177" t="s">
        <v>63</v>
      </c>
      <c r="E52" s="178" t="str">
        <f>$E$8</f>
        <v>Office</v>
      </c>
      <c r="F52" s="178" t="str">
        <f>$F$8</f>
        <v>Retail</v>
      </c>
      <c r="G52" s="178" t="str">
        <f>$G$8</f>
        <v>Residential</v>
      </c>
      <c r="H52" s="178" t="str">
        <f>$H$8</f>
        <v>Industrial</v>
      </c>
      <c r="I52" s="179" t="str">
        <f>$I$8</f>
        <v>Education</v>
      </c>
      <c r="K52" s="168" t="str">
        <f>$D$5</f>
        <v>Office</v>
      </c>
      <c r="L52" s="255"/>
      <c r="M52" s="256"/>
      <c r="N52" s="256"/>
      <c r="O52" s="256"/>
      <c r="P52" s="444" t="s">
        <v>405</v>
      </c>
      <c r="Q52" s="183" t="s">
        <v>230</v>
      </c>
      <c r="R52" s="168"/>
      <c r="W52" s="44"/>
      <c r="X52" s="64"/>
      <c r="Y52" s="64"/>
      <c r="AA52" s="169"/>
      <c r="AB52" s="169"/>
      <c r="AC52" s="169"/>
      <c r="AD52" s="169"/>
      <c r="AE52" s="169"/>
      <c r="AF52" s="169"/>
      <c r="AG52" s="169"/>
      <c r="AH52" s="169"/>
      <c r="AI52" s="169"/>
      <c r="AJ52" s="169"/>
      <c r="AK52" s="169"/>
      <c r="AM52" s="107"/>
      <c r="AN52" s="107"/>
      <c r="AO52" s="107"/>
      <c r="AP52" s="107"/>
      <c r="AQ52" s="107"/>
      <c r="BK52" s="177"/>
      <c r="BL52" s="177" t="str">
        <f>D52</f>
        <v>Water</v>
      </c>
      <c r="BM52" s="177">
        <f>IFERROR(VLOOKUP($D52,'Pre-Assessment Estimator'!$C$10:$AE$100,'Pre-Assessment Estimator'!AE$2,FALSE),"")</f>
        <v>0</v>
      </c>
      <c r="BN52" s="177" t="str">
        <f t="shared" si="10"/>
        <v/>
      </c>
      <c r="BO52" s="177" t="str">
        <f t="shared" si="11"/>
        <v/>
      </c>
      <c r="BP52" s="177"/>
      <c r="BQ52" s="106" t="str">
        <f t="shared" si="12"/>
        <v/>
      </c>
    </row>
    <row r="53" spans="1:73" x14ac:dyDescent="0.25">
      <c r="A53" s="106">
        <v>46</v>
      </c>
      <c r="C53" s="197" t="s">
        <v>184</v>
      </c>
      <c r="D53" s="198" t="s">
        <v>165</v>
      </c>
      <c r="E53" s="351">
        <v>5</v>
      </c>
      <c r="F53" s="351">
        <v>5</v>
      </c>
      <c r="G53" s="351">
        <v>5</v>
      </c>
      <c r="H53" s="351">
        <v>5</v>
      </c>
      <c r="I53" s="352">
        <v>5</v>
      </c>
      <c r="K53" s="257">
        <f>HLOOKUP($D$5,$E$8:$I$99,$A53,FALSE)</f>
        <v>5</v>
      </c>
      <c r="L53" s="202"/>
      <c r="M53" s="203"/>
      <c r="N53" s="203"/>
      <c r="O53" s="203">
        <f>'Manuell filtrering og justering'!D51</f>
        <v>0</v>
      </c>
      <c r="P53" s="204">
        <f>VLOOKUP(C53,'Manuell filtrering og justering'!$A$7:$G$97,'Manuell filtrering og justering'!$G$1,FALSE)</f>
        <v>5</v>
      </c>
      <c r="Q53" s="205">
        <f>IF(SUM(L53:O53)&gt;K53,K53,SUM(L53:O53))</f>
        <v>0</v>
      </c>
      <c r="R53" s="206">
        <f>IF($S$4='Manuell filtrering og justering'!$I$2,P53,(K53-Q53))</f>
        <v>5</v>
      </c>
      <c r="T53" s="207">
        <f>(BP_36/Wat__Credits)*Wat01_credits</f>
        <v>3.125E-2</v>
      </c>
      <c r="U53" s="207">
        <f>(Wat01_14/Wat01_credits)*Wat01_user</f>
        <v>0</v>
      </c>
      <c r="W53" s="259">
        <f>IF(VLOOKUP(D53,'Pre-Assessment Estimator'!$C$10:$W$100,'Pre-Assessment Estimator'!$E$2,FALSE)&gt;R53,R53,VLOOKUP(D53,'Pre-Assessment Estimator'!$C$10:$W$100,'Pre-Assessment Estimator'!$E$2,FALSE))</f>
        <v>0</v>
      </c>
      <c r="X53" s="208">
        <f>IF(VLOOKUP(D53,'Pre-Assessment Estimator'!$C$10:$W$100,'Pre-Assessment Estimator'!$L$2,FALSE)&gt;R53,R53,VLOOKUP(D53,'Pre-Assessment Estimator'!$C$10:$W$100,'Pre-Assessment Estimator'!$L$2,FALSE))</f>
        <v>0</v>
      </c>
      <c r="Y53" s="208">
        <f>IF(VLOOKUP(D53,'Pre-Assessment Estimator'!$C$10:$W$100,'Pre-Assessment Estimator'!$R$2,FALSE)&gt;R53,R53,VLOOKUP(D53,'Pre-Assessment Estimator'!$C$10:$W$100,'Pre-Assessment Estimator'!$R$2,FALSE))</f>
        <v>0</v>
      </c>
      <c r="AA53" s="367"/>
      <c r="AB53" s="368"/>
      <c r="AC53" s="381"/>
      <c r="AD53" s="381">
        <v>1</v>
      </c>
      <c r="AE53" s="382">
        <v>2</v>
      </c>
      <c r="AF53" s="169"/>
      <c r="AG53" s="367"/>
      <c r="AH53" s="368"/>
      <c r="AI53" s="381"/>
      <c r="AJ53" s="381">
        <v>1</v>
      </c>
      <c r="AK53" s="382">
        <v>2</v>
      </c>
      <c r="AM53" s="263"/>
      <c r="AN53" s="264"/>
      <c r="AO53" s="264"/>
      <c r="AP53" s="264">
        <f>IF($D$5=$G$8,AJ53,AD53)</f>
        <v>1</v>
      </c>
      <c r="AQ53" s="265">
        <f>IF($D$5=$G$8,AK53,AE53)</f>
        <v>2</v>
      </c>
      <c r="AR53" s="211">
        <f t="shared" si="14"/>
        <v>3</v>
      </c>
      <c r="AS53" s="214" t="str">
        <f>VLOOKUP(AR53,$BB$8:$BC$14,2,FALSE)</f>
        <v>Very Good</v>
      </c>
      <c r="AT53" s="215"/>
      <c r="AU53" s="211">
        <f>IF(AQ53=0,9,IF(X53&gt;=AQ53,5,IF(X53&gt;=AP53,4,IF(X53&gt;=AO53,3,IF(X53&gt;=AN53,2,IF(X53&lt;AM53,0,1))))))</f>
        <v>3</v>
      </c>
      <c r="AV53" s="214" t="str">
        <f>VLOOKUP(AU53,$BB$8:$BC$14,2,FALSE)</f>
        <v>Very Good</v>
      </c>
      <c r="AW53" s="215"/>
      <c r="AX53" s="211">
        <f t="shared" si="8"/>
        <v>3</v>
      </c>
      <c r="AY53" s="214" t="str">
        <f>VLOOKUP(AX53,$BB$8:$BC$14,2,FALSE)</f>
        <v>Very Good</v>
      </c>
      <c r="AZ53" s="215"/>
      <c r="BK53" s="198" t="str">
        <f t="shared" ref="BK53:BK56" si="54">C53</f>
        <v>Wat 01</v>
      </c>
      <c r="BL53" s="198" t="str">
        <f>IFERROR(VLOOKUP($D53,'Pre-Assessment Estimator'!$C$10:$X$100,'Pre-Assessment Estimator'!X$2,FALSE),"")</f>
        <v>No</v>
      </c>
      <c r="BM53" s="198">
        <f>IFERROR(VLOOKUP($D53,'Pre-Assessment Estimator'!$C$10:$AE$100,'Pre-Assessment Estimator'!AE$2,FALSE),"")</f>
        <v>0</v>
      </c>
      <c r="BN53" s="198">
        <f t="shared" si="10"/>
        <v>1</v>
      </c>
      <c r="BO53" s="198">
        <f t="shared" si="11"/>
        <v>0</v>
      </c>
      <c r="BP53" s="198"/>
      <c r="BQ53" s="106" t="s">
        <v>550</v>
      </c>
    </row>
    <row r="54" spans="1:73" x14ac:dyDescent="0.25">
      <c r="A54" s="106">
        <v>47</v>
      </c>
      <c r="C54" s="202" t="s">
        <v>185</v>
      </c>
      <c r="D54" s="203" t="s">
        <v>166</v>
      </c>
      <c r="E54" s="216">
        <v>1</v>
      </c>
      <c r="F54" s="216">
        <v>1</v>
      </c>
      <c r="G54" s="216">
        <v>1</v>
      </c>
      <c r="H54" s="216">
        <v>1</v>
      </c>
      <c r="I54" s="217">
        <v>1</v>
      </c>
      <c r="K54" s="266">
        <f>HLOOKUP($D$5,$E$8:$I$99,$A54,FALSE)</f>
        <v>1</v>
      </c>
      <c r="L54" s="202"/>
      <c r="M54" s="203"/>
      <c r="N54" s="203"/>
      <c r="O54" s="203">
        <f>'Manuell filtrering og justering'!D52</f>
        <v>0</v>
      </c>
      <c r="P54" s="204">
        <f>VLOOKUP(C54,'Manuell filtrering og justering'!$A$7:$G$97,'Manuell filtrering og justering'!$G$1,FALSE)</f>
        <v>1</v>
      </c>
      <c r="Q54" s="205">
        <f t="shared" ref="Q54:Q56" si="55">IF(SUM(L54:O54)&gt;K54,K54,SUM(L54:O54))</f>
        <v>0</v>
      </c>
      <c r="R54" s="206">
        <f>IF($S$4='Manuell filtrering og justering'!$I$2,P54,(K54-Q54))</f>
        <v>1</v>
      </c>
      <c r="T54" s="207">
        <f>(BP_36/Wat__Credits)*Wat02_credits</f>
        <v>6.2500000000000003E-3</v>
      </c>
      <c r="U54" s="207">
        <f>(Wat02_12/Wat02_credits)*Wat02_user</f>
        <v>0</v>
      </c>
      <c r="W54" s="259">
        <f>IF(VLOOKUP(D54,'Pre-Assessment Estimator'!$C$10:$W$100,'Pre-Assessment Estimator'!$E$2,FALSE)&gt;R54,R54,VLOOKUP(D54,'Pre-Assessment Estimator'!$C$10:$W$100,'Pre-Assessment Estimator'!$E$2,FALSE))*BU54</f>
        <v>0</v>
      </c>
      <c r="X54" s="208">
        <f>IF(VLOOKUP(D54,'Pre-Assessment Estimator'!$C$10:$W$100,'Pre-Assessment Estimator'!$L$2,FALSE)&gt;R54,R54,VLOOKUP(D54,'Pre-Assessment Estimator'!$C$10:$W$100,'Pre-Assessment Estimator'!$L$2,FALSE))*BU54</f>
        <v>0</v>
      </c>
      <c r="Y54" s="208">
        <f>IF(VLOOKUP(D54,'Pre-Assessment Estimator'!$C$10:$W$100,'Pre-Assessment Estimator'!$R$2,FALSE)&gt;R54,R54,VLOOKUP(D54,'Pre-Assessment Estimator'!$C$10:$W$100,'Pre-Assessment Estimator'!$R$2,FALSE))*BU54</f>
        <v>0</v>
      </c>
      <c r="Z54" s="106" t="s">
        <v>546</v>
      </c>
      <c r="AA54" s="361"/>
      <c r="AB54" s="362"/>
      <c r="AC54" s="362"/>
      <c r="AD54" s="362"/>
      <c r="AE54" s="363"/>
      <c r="AF54" s="169"/>
      <c r="AG54" s="361"/>
      <c r="AH54" s="362"/>
      <c r="AI54" s="362"/>
      <c r="AJ54" s="362"/>
      <c r="AK54" s="363"/>
      <c r="AM54" s="226"/>
      <c r="AN54" s="227"/>
      <c r="AO54" s="227"/>
      <c r="AP54" s="227"/>
      <c r="AQ54" s="228">
        <f t="shared" si="0"/>
        <v>0</v>
      </c>
      <c r="AR54" s="220">
        <f t="shared" si="14"/>
        <v>9</v>
      </c>
      <c r="AS54" s="203" t="str">
        <f>VLOOKUP(AR54,$BB$8:$BC$14,2,FALSE)</f>
        <v>N/A</v>
      </c>
      <c r="AT54" s="223"/>
      <c r="AU54" s="220">
        <f>IF(AQ54=0,9,IF(X54&gt;=AQ54,5,IF(X54&gt;=AP54,4,IF(X54&gt;=AO54,3,IF(X54&gt;=AN54,2,IF(X54&lt;AM54,0,1))))))</f>
        <v>9</v>
      </c>
      <c r="AV54" s="203" t="str">
        <f>VLOOKUP(AU54,$BB$8:$BC$14,2,FALSE)</f>
        <v>N/A</v>
      </c>
      <c r="AW54" s="223"/>
      <c r="AX54" s="220">
        <f t="shared" si="8"/>
        <v>9</v>
      </c>
      <c r="AY54" s="203" t="str">
        <f>VLOOKUP(AX54,$BB$8:$BC$14,2,FALSE)</f>
        <v>N/A</v>
      </c>
      <c r="AZ54" s="223"/>
      <c r="BK54" s="203" t="str">
        <f t="shared" si="54"/>
        <v>Wat 02</v>
      </c>
      <c r="BL54" s="203" t="str">
        <f>IFERROR(VLOOKUP($D54,'Pre-Assessment Estimator'!$C$10:$X$100,'Pre-Assessment Estimator'!X$2,FALSE),"")</f>
        <v>No</v>
      </c>
      <c r="BM54" s="278" t="str">
        <f>IFERROR(VLOOKUP($D54,'Pre-Assessment Estimator'!$C$10:$AE$100,'Pre-Assessment Estimator'!AE$2,FALSE),"")</f>
        <v>Ja</v>
      </c>
      <c r="BN54" s="203">
        <f t="shared" si="10"/>
        <v>1</v>
      </c>
      <c r="BO54" s="862" t="s">
        <v>551</v>
      </c>
      <c r="BP54" s="203"/>
      <c r="BQ54" s="106" t="str">
        <f t="shared" si="12"/>
        <v/>
      </c>
      <c r="BR54" s="106" t="s">
        <v>557</v>
      </c>
      <c r="BS54" s="203">
        <f>VLOOKUP(BO54,$BO$3:$BP$4,2,FALSE)</f>
        <v>1</v>
      </c>
      <c r="BU54" s="863">
        <f>IF($BL$4=ais_no,BS54,IF(AND(BO54=$BO$3,BL54=$BQ$3),0,BN54))</f>
        <v>1</v>
      </c>
    </row>
    <row r="55" spans="1:73" x14ac:dyDescent="0.25">
      <c r="A55" s="106">
        <v>48</v>
      </c>
      <c r="C55" s="202" t="s">
        <v>186</v>
      </c>
      <c r="D55" s="203" t="s">
        <v>167</v>
      </c>
      <c r="E55" s="216">
        <v>2</v>
      </c>
      <c r="F55" s="216">
        <v>2</v>
      </c>
      <c r="G55" s="216"/>
      <c r="H55" s="216">
        <v>2</v>
      </c>
      <c r="I55" s="217">
        <v>2</v>
      </c>
      <c r="K55" s="266">
        <f>HLOOKUP($D$5,$E$8:$I$99,$A55,FALSE)</f>
        <v>2</v>
      </c>
      <c r="L55" s="202"/>
      <c r="M55" s="203"/>
      <c r="N55" s="203"/>
      <c r="O55" s="203">
        <f>'Manuell filtrering og justering'!D53</f>
        <v>0</v>
      </c>
      <c r="P55" s="204">
        <f>VLOOKUP(C55,'Manuell filtrering og justering'!$A$7:$G$97,'Manuell filtrering og justering'!$G$1,FALSE)</f>
        <v>2</v>
      </c>
      <c r="Q55" s="205">
        <f t="shared" si="55"/>
        <v>0</v>
      </c>
      <c r="R55" s="206">
        <f>IF($S$4='Manuell filtrering og justering'!$I$2,P55,(K55-Q55))</f>
        <v>2</v>
      </c>
      <c r="T55" s="207">
        <f>(BP_36/Wat__Credits)*Wat03_credits</f>
        <v>1.2500000000000001E-2</v>
      </c>
      <c r="U55" s="207">
        <f>IFERROR((Wat03_09/Wat03_credits)*Wat03_user,0)</f>
        <v>0</v>
      </c>
      <c r="W55" s="259">
        <f>IF((IF(VLOOKUP(D55,'Pre-Assessment Estimator'!$C$10:$W$100,'Pre-Assessment Estimator'!$E$2,FALSE)&gt;R55,R55,VLOOKUP(D55,'Pre-Assessment Estimator'!$C$10:$W$100,'Pre-Assessment Estimator'!$E$2,FALSE))+BU55)&lt;0,0,(IF(VLOOKUP(D55,'Pre-Assessment Estimator'!$C$10:$W$100,'Pre-Assessment Estimator'!$E$2,FALSE)&gt;R55,R55,VLOOKUP(D55,'Pre-Assessment Estimator'!$C$10:$W$100,'Pre-Assessment Estimator'!$E$2,FALSE))+BU55))</f>
        <v>0</v>
      </c>
      <c r="X55" s="208">
        <f>IF((IF(VLOOKUP(D55,'Pre-Assessment Estimator'!$C$10:$W$100,'Pre-Assessment Estimator'!$L$2,FALSE)&gt;R55,R55,VLOOKUP(D55,'Pre-Assessment Estimator'!$C$10:$W$100,'Pre-Assessment Estimator'!$L$2,FALSE))+BU55)&lt;0,0,(IF(VLOOKUP(D55,'Pre-Assessment Estimator'!$C$10:$W$100,'Pre-Assessment Estimator'!$L$2,FALSE)&gt;R55,R55,VLOOKUP(D55,'Pre-Assessment Estimator'!$C$10:$W$100,'Pre-Assessment Estimator'!$L$2,FALSE))+BU55))</f>
        <v>0</v>
      </c>
      <c r="Y55" s="208">
        <f>IF((IF(VLOOKUP(D55,'Pre-Assessment Estimator'!$C$10:$W$100,'Pre-Assessment Estimator'!$R$2,FALSE)&gt;R55,R55,VLOOKUP(D55,'Pre-Assessment Estimator'!$C$10:$W$100,'Pre-Assessment Estimator'!$R$2,FALSE))+BU55)&lt;0,0,(IF(VLOOKUP(D55,'Pre-Assessment Estimator'!$C$10:$W$100,'Pre-Assessment Estimator'!$R$2,FALSE)&gt;R55,R55,VLOOKUP(D55,'Pre-Assessment Estimator'!$C$10:$W$100,'Pre-Assessment Estimator'!$R$2,FALSE))+BU55))</f>
        <v>0</v>
      </c>
      <c r="Z55" s="106" t="s">
        <v>546</v>
      </c>
      <c r="AA55" s="361"/>
      <c r="AB55" s="362"/>
      <c r="AC55" s="362"/>
      <c r="AD55" s="362"/>
      <c r="AE55" s="363"/>
      <c r="AF55" s="169"/>
      <c r="AG55" s="361"/>
      <c r="AH55" s="362"/>
      <c r="AI55" s="362"/>
      <c r="AJ55" s="362"/>
      <c r="AK55" s="363"/>
      <c r="AM55" s="226"/>
      <c r="AN55" s="227"/>
      <c r="AO55" s="227"/>
      <c r="AP55" s="227"/>
      <c r="AQ55" s="228">
        <f t="shared" si="0"/>
        <v>0</v>
      </c>
      <c r="AR55" s="220">
        <f t="shared" si="14"/>
        <v>9</v>
      </c>
      <c r="AS55" s="203" t="str">
        <f>VLOOKUP(AR55,$BB$8:$BC$14,2,FALSE)</f>
        <v>N/A</v>
      </c>
      <c r="AT55" s="223"/>
      <c r="AU55" s="220">
        <f>IF(AQ55=0,9,IF(X55&gt;=AQ55,5,IF(X55&gt;=AP55,4,IF(X55&gt;=AO55,3,IF(X55&gt;=AN55,2,IF(X55&lt;AM55,0,1))))))</f>
        <v>9</v>
      </c>
      <c r="AV55" s="203" t="str">
        <f>VLOOKUP(AU55,$BB$8:$BC$14,2,FALSE)</f>
        <v>N/A</v>
      </c>
      <c r="AW55" s="223"/>
      <c r="AX55" s="220">
        <f t="shared" si="8"/>
        <v>9</v>
      </c>
      <c r="AY55" s="203" t="str">
        <f>VLOOKUP(AX55,$BB$8:$BC$14,2,FALSE)</f>
        <v>N/A</v>
      </c>
      <c r="AZ55" s="223"/>
      <c r="BK55" s="203" t="str">
        <f t="shared" si="54"/>
        <v>Wat 03</v>
      </c>
      <c r="BL55" s="203" t="str">
        <f>IFERROR(VLOOKUP($D55,'Pre-Assessment Estimator'!$C$10:$X$100,'Pre-Assessment Estimator'!X$2,FALSE),"")</f>
        <v>No</v>
      </c>
      <c r="BM55" s="278" t="str">
        <f>IFERROR(VLOOKUP($D55,'Pre-Assessment Estimator'!$C$10:$AE$100,'Pre-Assessment Estimator'!AE$2,FALSE),"")</f>
        <v>Ja</v>
      </c>
      <c r="BN55" s="203">
        <f t="shared" si="10"/>
        <v>1</v>
      </c>
      <c r="BO55" s="854" t="s">
        <v>549</v>
      </c>
      <c r="BP55" s="203">
        <f>G159</f>
        <v>1</v>
      </c>
      <c r="BQ55" s="106" t="str">
        <f t="shared" si="12"/>
        <v/>
      </c>
      <c r="BR55" s="106" t="s">
        <v>524</v>
      </c>
      <c r="BS55" s="203">
        <f>VLOOKUP(BO55,$BO$3:$BP$4,2,FALSE)</f>
        <v>0</v>
      </c>
      <c r="BU55" s="863">
        <f>IF($BL$4=ais_no,BS55,IF(AND(BO55=$BO$3,BL55=$BQ$3),0,BN55))</f>
        <v>0</v>
      </c>
    </row>
    <row r="56" spans="1:73" ht="15.75" thickBot="1" x14ac:dyDescent="0.3">
      <c r="A56" s="106">
        <v>49</v>
      </c>
      <c r="C56" s="202" t="s">
        <v>187</v>
      </c>
      <c r="D56" s="203" t="s">
        <v>168</v>
      </c>
      <c r="E56" s="216">
        <v>1</v>
      </c>
      <c r="F56" s="216">
        <v>1</v>
      </c>
      <c r="G56" s="216">
        <v>1</v>
      </c>
      <c r="H56" s="216">
        <v>1</v>
      </c>
      <c r="I56" s="217">
        <v>1</v>
      </c>
      <c r="K56" s="266">
        <f>HLOOKUP($D$5,$E$8:$I$99,$A56,FALSE)</f>
        <v>1</v>
      </c>
      <c r="L56" s="267">
        <f>IF(AND(AD_Vehiclewash=AD_no,AD_Landscape=AD_no),1,0)</f>
        <v>1</v>
      </c>
      <c r="M56" s="203"/>
      <c r="N56" s="203"/>
      <c r="O56" s="203">
        <f>'Manuell filtrering og justering'!D54</f>
        <v>0</v>
      </c>
      <c r="P56" s="204">
        <f>VLOOKUP(C56,'Manuell filtrering og justering'!$A$7:$G$97,'Manuell filtrering og justering'!$G$1,FALSE)</f>
        <v>0</v>
      </c>
      <c r="Q56" s="205">
        <f t="shared" si="55"/>
        <v>1</v>
      </c>
      <c r="R56" s="206">
        <f>IF($S$4='Manuell filtrering og justering'!$I$2,P56,(K56-Q56))</f>
        <v>0</v>
      </c>
      <c r="T56" s="207">
        <f>(BP_36/Wat__Credits)*Wat04_credits</f>
        <v>0</v>
      </c>
      <c r="U56" s="207">
        <f>IF(R56=0,0,(Wat04_05/Wat04_credits)*Wat04_user)</f>
        <v>0</v>
      </c>
      <c r="W56" s="259">
        <f>IF(VLOOKUP(D56,'Pre-Assessment Estimator'!$C$10:$W$100,'Pre-Assessment Estimator'!$E$2,FALSE)&gt;R56,R56,VLOOKUP(D56,'Pre-Assessment Estimator'!$C$10:$W$100,'Pre-Assessment Estimator'!$E$2,FALSE))</f>
        <v>0</v>
      </c>
      <c r="X56" s="208">
        <f>IF(VLOOKUP(D56,'Pre-Assessment Estimator'!$C$10:$W$100,'Pre-Assessment Estimator'!$L$2,FALSE)&gt;R56,R56,VLOOKUP(D56,'Pre-Assessment Estimator'!$C$10:$W$100,'Pre-Assessment Estimator'!$L$2,FALSE))</f>
        <v>0</v>
      </c>
      <c r="Y56" s="208">
        <f>IF(VLOOKUP(D56,'Pre-Assessment Estimator'!$C$10:$W$100,'Pre-Assessment Estimator'!$R$2,FALSE)&gt;R56,R56,VLOOKUP(D56,'Pre-Assessment Estimator'!$C$10:$W$100,'Pre-Assessment Estimator'!$R$2,FALSE))</f>
        <v>0</v>
      </c>
      <c r="AA56" s="364"/>
      <c r="AB56" s="365"/>
      <c r="AC56" s="365"/>
      <c r="AD56" s="365"/>
      <c r="AE56" s="366"/>
      <c r="AF56" s="169"/>
      <c r="AG56" s="364"/>
      <c r="AH56" s="365"/>
      <c r="AI56" s="365"/>
      <c r="AJ56" s="365"/>
      <c r="AK56" s="366"/>
      <c r="AM56" s="237"/>
      <c r="AN56" s="239"/>
      <c r="AO56" s="239"/>
      <c r="AP56" s="239"/>
      <c r="AQ56" s="240">
        <f t="shared" si="0"/>
        <v>0</v>
      </c>
      <c r="AR56" s="241">
        <f t="shared" si="14"/>
        <v>9</v>
      </c>
      <c r="AS56" s="242" t="str">
        <f>VLOOKUP(AR56,$BB$8:$BC$14,2,FALSE)</f>
        <v>N/A</v>
      </c>
      <c r="AT56" s="243"/>
      <c r="AU56" s="241">
        <f>IF(AQ56=0,9,IF(X56&gt;=AQ56,5,IF(X56&gt;=AP56,4,IF(X56&gt;=AO56,3,IF(X56&gt;=AN56,2,IF(X56&lt;AM56,0,1))))))</f>
        <v>9</v>
      </c>
      <c r="AV56" s="242" t="str">
        <f>VLOOKUP(AU56,$BB$8:$BC$14,2,FALSE)</f>
        <v>N/A</v>
      </c>
      <c r="AW56" s="243"/>
      <c r="AX56" s="241">
        <f t="shared" si="8"/>
        <v>9</v>
      </c>
      <c r="AY56" s="242" t="str">
        <f>VLOOKUP(AX56,$BB$8:$BC$14,2,FALSE)</f>
        <v>N/A</v>
      </c>
      <c r="AZ56" s="243"/>
      <c r="BK56" s="203" t="str">
        <f t="shared" si="54"/>
        <v>Wat 04</v>
      </c>
      <c r="BL56" s="203" t="str">
        <f>IFERROR(VLOOKUP($D56,'Pre-Assessment Estimator'!$C$10:$X$100,'Pre-Assessment Estimator'!X$2,FALSE),"")</f>
        <v>N/A</v>
      </c>
      <c r="BM56" s="203">
        <f>IFERROR(VLOOKUP($D56,'Pre-Assessment Estimator'!$C$10:$AE$100,'Pre-Assessment Estimator'!AE$2,FALSE),"")</f>
        <v>0</v>
      </c>
      <c r="BN56" s="203">
        <f t="shared" si="10"/>
        <v>1</v>
      </c>
      <c r="BO56" s="203">
        <f t="shared" si="11"/>
        <v>0</v>
      </c>
      <c r="BP56" s="203"/>
      <c r="BQ56" s="106" t="str">
        <f t="shared" si="12"/>
        <v/>
      </c>
    </row>
    <row r="57" spans="1:73" ht="15.75" thickBot="1" x14ac:dyDescent="0.3">
      <c r="A57" s="106">
        <v>50</v>
      </c>
      <c r="C57" s="244"/>
      <c r="D57" s="245" t="s">
        <v>230</v>
      </c>
      <c r="E57" s="245">
        <f>SUM(E53:E56)</f>
        <v>9</v>
      </c>
      <c r="F57" s="245">
        <f>SUM(F53:F56)</f>
        <v>9</v>
      </c>
      <c r="G57" s="245">
        <f>SUM(G53:G56)</f>
        <v>7</v>
      </c>
      <c r="H57" s="245">
        <f>SUM(H53:H56)</f>
        <v>9</v>
      </c>
      <c r="I57" s="246">
        <f>SUM(I53:I56)</f>
        <v>9</v>
      </c>
      <c r="K57" s="272">
        <f>HLOOKUP($D$5,$E$8:$I$99,$A57,FALSE)</f>
        <v>9</v>
      </c>
      <c r="L57" s="248"/>
      <c r="M57" s="249"/>
      <c r="N57" s="249"/>
      <c r="O57" s="249"/>
      <c r="P57" s="250"/>
      <c r="Q57" s="251">
        <f>SUM(Q53:Q56)</f>
        <v>1</v>
      </c>
      <c r="R57" s="273">
        <f>SUM(R53:R56)</f>
        <v>8</v>
      </c>
      <c r="T57" s="253">
        <f>SUM(T53:T56)</f>
        <v>0.05</v>
      </c>
      <c r="U57" s="253">
        <f>SUM(U53:U56)</f>
        <v>0</v>
      </c>
      <c r="W57" s="19">
        <f>SUM(W53:W56)</f>
        <v>0</v>
      </c>
      <c r="X57" s="19">
        <f t="shared" ref="X57:Y57" si="56">SUM(X53:X56)</f>
        <v>0</v>
      </c>
      <c r="Y57" s="19">
        <f t="shared" si="56"/>
        <v>0</v>
      </c>
      <c r="AA57" s="169"/>
      <c r="AB57" s="169"/>
      <c r="AC57" s="169"/>
      <c r="AD57" s="169"/>
      <c r="AE57" s="169"/>
      <c r="AF57" s="169"/>
      <c r="AG57" s="169"/>
      <c r="AH57" s="169"/>
      <c r="AI57" s="169"/>
      <c r="AJ57" s="169"/>
      <c r="AK57" s="169"/>
      <c r="AM57" s="107"/>
      <c r="AN57" s="254"/>
      <c r="AO57" s="107"/>
      <c r="AP57" s="107"/>
      <c r="AQ57" s="107"/>
      <c r="BK57" s="245"/>
      <c r="BL57" s="245" t="str">
        <f>IFERROR(VLOOKUP($D57,'Pre-Assessment Estimator'!$C$10:$X$100,'Pre-Assessment Estimator'!X$2,FALSE),"")</f>
        <v/>
      </c>
      <c r="BM57" s="245" t="str">
        <f>IFERROR(VLOOKUP($D57,'Pre-Assessment Estimator'!$C$10:$AE$100,'Pre-Assessment Estimator'!AE$2,FALSE),"")</f>
        <v/>
      </c>
      <c r="BN57" s="245" t="str">
        <f t="shared" si="10"/>
        <v/>
      </c>
      <c r="BO57" s="245" t="str">
        <f t="shared" si="11"/>
        <v/>
      </c>
      <c r="BP57" s="245"/>
      <c r="BQ57" s="106" t="str">
        <f t="shared" si="12"/>
        <v/>
      </c>
    </row>
    <row r="58" spans="1:73" ht="15.75" thickBot="1" x14ac:dyDescent="0.3">
      <c r="A58" s="106">
        <v>51</v>
      </c>
      <c r="W58" s="1"/>
      <c r="X58" s="1"/>
      <c r="Y58" s="1"/>
      <c r="AA58" s="169"/>
      <c r="AB58" s="169"/>
      <c r="AC58" s="169"/>
      <c r="AD58" s="169"/>
      <c r="AE58" s="169"/>
      <c r="AF58" s="169"/>
      <c r="AG58" s="169"/>
      <c r="AH58" s="169"/>
      <c r="AI58" s="169"/>
      <c r="AJ58" s="169"/>
      <c r="AK58" s="169"/>
      <c r="AM58" s="107"/>
      <c r="AN58" s="107"/>
      <c r="AO58" s="107"/>
      <c r="AP58" s="107"/>
      <c r="AQ58" s="107"/>
      <c r="BL58" s="106" t="str">
        <f>IFERROR(VLOOKUP($D58,'Pre-Assessment Estimator'!$C$10:$X$100,'Pre-Assessment Estimator'!X$2,FALSE),"")</f>
        <v/>
      </c>
      <c r="BM58" s="106" t="str">
        <f>IFERROR(VLOOKUP($D58,'Pre-Assessment Estimator'!$C$10:$AE$100,'Pre-Assessment Estimator'!AE$2,FALSE),"")</f>
        <v/>
      </c>
      <c r="BN58" s="106" t="str">
        <f t="shared" si="10"/>
        <v/>
      </c>
      <c r="BO58" s="106" t="str">
        <f t="shared" si="11"/>
        <v/>
      </c>
      <c r="BQ58" s="106" t="str">
        <f t="shared" si="12"/>
        <v/>
      </c>
    </row>
    <row r="59" spans="1:73" ht="15.75" thickBot="1" x14ac:dyDescent="0.3">
      <c r="A59" s="106">
        <v>52</v>
      </c>
      <c r="C59" s="176"/>
      <c r="D59" s="177" t="s">
        <v>72</v>
      </c>
      <c r="E59" s="178" t="str">
        <f>$E$8</f>
        <v>Office</v>
      </c>
      <c r="F59" s="178" t="str">
        <f>$F$8</f>
        <v>Retail</v>
      </c>
      <c r="G59" s="178" t="str">
        <f>$G$8</f>
        <v>Residential</v>
      </c>
      <c r="H59" s="178" t="str">
        <f>$H$8</f>
        <v>Industrial</v>
      </c>
      <c r="I59" s="179" t="str">
        <f>$I$8</f>
        <v>Education</v>
      </c>
      <c r="K59" s="168" t="str">
        <f>$D$5</f>
        <v>Office</v>
      </c>
      <c r="L59" s="255"/>
      <c r="M59" s="256"/>
      <c r="N59" s="256"/>
      <c r="O59" s="256"/>
      <c r="P59" s="444" t="s">
        <v>405</v>
      </c>
      <c r="Q59" s="183" t="s">
        <v>230</v>
      </c>
      <c r="R59" s="168"/>
      <c r="W59" s="44"/>
      <c r="X59" s="64"/>
      <c r="Y59" s="64"/>
      <c r="AA59" s="169"/>
      <c r="AB59" s="169"/>
      <c r="AC59" s="169"/>
      <c r="AD59" s="169"/>
      <c r="AE59" s="169"/>
      <c r="AF59" s="169"/>
      <c r="AG59" s="169"/>
      <c r="AH59" s="169"/>
      <c r="AI59" s="169"/>
      <c r="AJ59" s="169"/>
      <c r="AK59" s="169"/>
      <c r="AM59" s="107"/>
      <c r="AN59" s="107"/>
      <c r="AO59" s="107"/>
      <c r="AP59" s="107"/>
      <c r="AQ59" s="107"/>
      <c r="BK59" s="177"/>
      <c r="BL59" s="177" t="str">
        <f>D59</f>
        <v>Materials</v>
      </c>
      <c r="BM59" s="177">
        <f>IFERROR(VLOOKUP($D59,'Pre-Assessment Estimator'!$C$10:$AE$100,'Pre-Assessment Estimator'!AE$2,FALSE),"")</f>
        <v>0</v>
      </c>
      <c r="BN59" s="177" t="str">
        <f t="shared" si="10"/>
        <v/>
      </c>
      <c r="BO59" s="177" t="str">
        <f t="shared" si="11"/>
        <v/>
      </c>
      <c r="BP59" s="177"/>
      <c r="BQ59" s="106" t="str">
        <f t="shared" si="12"/>
        <v/>
      </c>
    </row>
    <row r="60" spans="1:73" x14ac:dyDescent="0.25">
      <c r="A60" s="106">
        <v>53</v>
      </c>
      <c r="C60" s="197" t="s">
        <v>188</v>
      </c>
      <c r="D60" s="198" t="s">
        <v>169</v>
      </c>
      <c r="E60" s="199">
        <v>7</v>
      </c>
      <c r="F60" s="199">
        <v>7</v>
      </c>
      <c r="G60" s="199">
        <v>7</v>
      </c>
      <c r="H60" s="199">
        <v>7</v>
      </c>
      <c r="I60" s="200">
        <v>7</v>
      </c>
      <c r="K60" s="257">
        <f>HLOOKUP($D$5,$E$8:$I$99,$A60,FALSE)</f>
        <v>7</v>
      </c>
      <c r="L60" s="202"/>
      <c r="M60" s="203"/>
      <c r="N60" s="203"/>
      <c r="O60" s="203">
        <f>'Manuell filtrering og justering'!D58</f>
        <v>0</v>
      </c>
      <c r="P60" s="204">
        <f>VLOOKUP(C60,'Manuell filtrering og justering'!$A$7:$G$97,'Manuell filtrering og justering'!$G$1,FALSE)</f>
        <v>7</v>
      </c>
      <c r="Q60" s="205">
        <f>IF(SUM(L60:O60)&gt;K60,K60,SUM(L60:O60))</f>
        <v>0</v>
      </c>
      <c r="R60" s="206">
        <f>IF($S$4='Manuell filtrering og justering'!$I$2,P60,(K60-Q60))</f>
        <v>7</v>
      </c>
      <c r="T60" s="207">
        <f>(BP_38/Mat_Credits)*Mat01_credits</f>
        <v>8.5909090909090921E-2</v>
      </c>
      <c r="U60" s="207">
        <f>(Mat01_27/Mat01_credits)*Mat01_user</f>
        <v>0</v>
      </c>
      <c r="W60" s="259">
        <f>IF(VLOOKUP(D60,'Pre-Assessment Estimator'!$C$10:$W$100,'Pre-Assessment Estimator'!$E$2,FALSE)&gt;R60,R60,VLOOKUP(D60,'Pre-Assessment Estimator'!$C$10:$W$100,'Pre-Assessment Estimator'!$E$2,FALSE))</f>
        <v>0</v>
      </c>
      <c r="X60" s="208">
        <f>IF(VLOOKUP(D60,'Pre-Assessment Estimator'!$C$10:$W$100,'Pre-Assessment Estimator'!$L$2,FALSE)&gt;R60,R60,VLOOKUP(D60,'Pre-Assessment Estimator'!$C$10:$W$100,'Pre-Assessment Estimator'!$L$2,FALSE))</f>
        <v>0</v>
      </c>
      <c r="Y60" s="208">
        <f>IF(VLOOKUP(D60,'Pre-Assessment Estimator'!$C$10:$W$100,'Pre-Assessment Estimator'!$R$2,FALSE)&gt;R60,R60,VLOOKUP(D60,'Pre-Assessment Estimator'!$C$10:$W$100,'Pre-Assessment Estimator'!$R$2,FALSE))</f>
        <v>0</v>
      </c>
      <c r="AA60" s="367"/>
      <c r="AB60" s="368"/>
      <c r="AC60" s="368"/>
      <c r="AD60" s="368"/>
      <c r="AE60" s="369"/>
      <c r="AF60" s="169"/>
      <c r="AG60" s="367"/>
      <c r="AH60" s="368"/>
      <c r="AI60" s="368"/>
      <c r="AJ60" s="368"/>
      <c r="AK60" s="369"/>
      <c r="AM60" s="263"/>
      <c r="AN60" s="264"/>
      <c r="AO60" s="264"/>
      <c r="AP60" s="264"/>
      <c r="AQ60" s="265">
        <f t="shared" si="0"/>
        <v>0</v>
      </c>
      <c r="AR60" s="211">
        <f t="shared" ref="AR60" si="57">IF(AQ60=0,9,IF(W60&gt;=AQ60,5,IF(W60&gt;=AP60,4,IF(W60&gt;=AO60,3,IF(W60&gt;=AN60,2,IF(W60&lt;AM60,0,1))))))</f>
        <v>9</v>
      </c>
      <c r="AS60" s="214" t="str">
        <f>VLOOKUP(AR60,$BB$8:$BC$14,2,FALSE)</f>
        <v>N/A</v>
      </c>
      <c r="AT60" s="215"/>
      <c r="AU60" s="211">
        <f>IF(AQ60=0,9,IF(X60&gt;=AQ60,5,IF(X60&gt;=AP60,4,IF(X60&gt;=AO60,3,IF(X60&gt;=AN60,2,IF(X60&lt;AM60,0,1))))))</f>
        <v>9</v>
      </c>
      <c r="AV60" s="214" t="str">
        <f>VLOOKUP(AU60,$BB$8:$BC$14,2,FALSE)</f>
        <v>N/A</v>
      </c>
      <c r="AW60" s="215"/>
      <c r="AX60" s="211">
        <f t="shared" si="8"/>
        <v>9</v>
      </c>
      <c r="AY60" s="214" t="str">
        <f>VLOOKUP(AX60,$BB$8:$BC$14,2,FALSE)</f>
        <v>N/A</v>
      </c>
      <c r="AZ60" s="215"/>
      <c r="BK60" s="198" t="str">
        <f t="shared" ref="BK60:BK63" si="58">C60</f>
        <v>Mat 01</v>
      </c>
      <c r="BL60" s="198" t="str">
        <f>IFERROR(VLOOKUP($D60,'Pre-Assessment Estimator'!$C$10:$X$100,'Pre-Assessment Estimator'!X$2,FALSE),"")</f>
        <v>N/A</v>
      </c>
      <c r="BM60" s="198">
        <f>IFERROR(VLOOKUP($D60,'Pre-Assessment Estimator'!$C$10:$AE$100,'Pre-Assessment Estimator'!AE$2,FALSE),"")</f>
        <v>0</v>
      </c>
      <c r="BN60" s="198">
        <f t="shared" si="10"/>
        <v>1</v>
      </c>
      <c r="BO60" s="198">
        <f t="shared" si="11"/>
        <v>0</v>
      </c>
      <c r="BP60" s="198"/>
      <c r="BQ60" s="106" t="s">
        <v>550</v>
      </c>
    </row>
    <row r="61" spans="1:73" x14ac:dyDescent="0.25">
      <c r="A61" s="106">
        <v>54</v>
      </c>
      <c r="C61" s="202" t="s">
        <v>189</v>
      </c>
      <c r="D61" s="203" t="s">
        <v>170</v>
      </c>
      <c r="E61" s="350">
        <v>3</v>
      </c>
      <c r="F61" s="350">
        <v>3</v>
      </c>
      <c r="G61" s="350">
        <v>3</v>
      </c>
      <c r="H61" s="350">
        <v>3</v>
      </c>
      <c r="I61" s="355">
        <v>3</v>
      </c>
      <c r="K61" s="266">
        <f>HLOOKUP($D$5,$E$8:$I$99,$A61,FALSE)</f>
        <v>3</v>
      </c>
      <c r="L61" s="202"/>
      <c r="M61" s="203"/>
      <c r="N61" s="203"/>
      <c r="O61" s="203">
        <f>'Manuell filtrering og justering'!D59</f>
        <v>0</v>
      </c>
      <c r="P61" s="204">
        <f>VLOOKUP(C61,'Manuell filtrering og justering'!$A$7:$G$97,'Manuell filtrering og justering'!$G$1,FALSE)</f>
        <v>3</v>
      </c>
      <c r="Q61" s="205">
        <f t="shared" ref="Q61:Q63" si="59">IF(SUM(L61:O61)&gt;K61,K61,SUM(L61:O61))</f>
        <v>0</v>
      </c>
      <c r="R61" s="206">
        <f>IF($S$4='Manuell filtrering og justering'!$I$2,P61,(K61-Q61))</f>
        <v>3</v>
      </c>
      <c r="T61" s="207">
        <f>(BP_38/Mat_Credits)*Mat03_credits</f>
        <v>3.6818181818181819E-2</v>
      </c>
      <c r="U61" s="207">
        <f>(Mat03_37/Mat03_credits)*Mat03_user</f>
        <v>0</v>
      </c>
      <c r="W61" s="259">
        <f>IF(VLOOKUP(D61,'Pre-Assessment Estimator'!$C$10:$W$100,'Pre-Assessment Estimator'!$E$2,FALSE)&gt;R61,R61,VLOOKUP(D61,'Pre-Assessment Estimator'!$C$10:$W$100,'Pre-Assessment Estimator'!$E$2,FALSE))</f>
        <v>0</v>
      </c>
      <c r="X61" s="208">
        <f>IF(VLOOKUP(D61,'Pre-Assessment Estimator'!$C$10:$W$100,'Pre-Assessment Estimator'!$L$2,FALSE)&gt;R61,R61,VLOOKUP(D61,'Pre-Assessment Estimator'!$C$10:$W$100,'Pre-Assessment Estimator'!$L$2,FALSE))</f>
        <v>0</v>
      </c>
      <c r="Y61" s="208">
        <f>IF(VLOOKUP(D61,'Pre-Assessment Estimator'!$C$10:$W$100,'Pre-Assessment Estimator'!$R$2,FALSE)&gt;R61,R61,VLOOKUP(D61,'Pre-Assessment Estimator'!$C$10:$W$100,'Pre-Assessment Estimator'!$R$2,FALSE))</f>
        <v>0</v>
      </c>
      <c r="AA61" s="361"/>
      <c r="AB61" s="362"/>
      <c r="AC61" s="362"/>
      <c r="AD61" s="362"/>
      <c r="AE61" s="363"/>
      <c r="AF61" s="169"/>
      <c r="AG61" s="361"/>
      <c r="AH61" s="362"/>
      <c r="AI61" s="362"/>
      <c r="AJ61" s="362"/>
      <c r="AK61" s="363"/>
      <c r="AM61" s="226"/>
      <c r="AN61" s="227"/>
      <c r="AO61" s="227"/>
      <c r="AP61" s="227"/>
      <c r="AQ61" s="228">
        <f t="shared" si="0"/>
        <v>0</v>
      </c>
      <c r="AR61" s="220">
        <f t="shared" si="14"/>
        <v>9</v>
      </c>
      <c r="AS61" s="203" t="str">
        <f>VLOOKUP(AR61,$BB$8:$BC$14,2,FALSE)</f>
        <v>N/A</v>
      </c>
      <c r="AT61" s="223"/>
      <c r="AU61" s="220">
        <f>IF(AQ61=0,9,IF(X61&gt;=AQ61,5,IF(X61&gt;=AP61,4,IF(X61&gt;=AO61,3,IF(X61&gt;=AN61,2,IF(X61&lt;AM61,0,1))))))</f>
        <v>9</v>
      </c>
      <c r="AV61" s="203" t="str">
        <f>VLOOKUP(AU61,$BB$8:$BC$14,2,FALSE)</f>
        <v>N/A</v>
      </c>
      <c r="AW61" s="223"/>
      <c r="AX61" s="220">
        <f t="shared" si="8"/>
        <v>9</v>
      </c>
      <c r="AY61" s="203" t="str">
        <f>VLOOKUP(AX61,$BB$8:$BC$14,2,FALSE)</f>
        <v>N/A</v>
      </c>
      <c r="AZ61" s="223"/>
      <c r="BK61" s="203" t="str">
        <f t="shared" si="58"/>
        <v>Mat 03</v>
      </c>
      <c r="BL61" s="203" t="str">
        <f>IFERROR(VLOOKUP($D61,'Pre-Assessment Estimator'!$C$10:$X$100,'Pre-Assessment Estimator'!X$2,FALSE),"")</f>
        <v>N/A</v>
      </c>
      <c r="BM61" s="203">
        <f>IFERROR(VLOOKUP($D61,'Pre-Assessment Estimator'!$C$10:$AE$100,'Pre-Assessment Estimator'!AE$2,FALSE),"")</f>
        <v>0</v>
      </c>
      <c r="BN61" s="203">
        <f t="shared" si="10"/>
        <v>1</v>
      </c>
      <c r="BO61" s="203">
        <f t="shared" si="11"/>
        <v>0</v>
      </c>
      <c r="BP61" s="203"/>
      <c r="BQ61" s="106" t="s">
        <v>550</v>
      </c>
    </row>
    <row r="62" spans="1:73" x14ac:dyDescent="0.25">
      <c r="A62" s="106">
        <v>55</v>
      </c>
      <c r="C62" s="202" t="s">
        <v>190</v>
      </c>
      <c r="D62" s="203" t="s">
        <v>171</v>
      </c>
      <c r="E62" s="216">
        <v>1</v>
      </c>
      <c r="F62" s="216">
        <v>1</v>
      </c>
      <c r="G62" s="216">
        <v>1</v>
      </c>
      <c r="H62" s="216">
        <v>1</v>
      </c>
      <c r="I62" s="217">
        <v>1</v>
      </c>
      <c r="K62" s="266">
        <f>HLOOKUP($D$5,$E$8:$I$99,$A62,FALSE)</f>
        <v>1</v>
      </c>
      <c r="L62" s="202"/>
      <c r="M62" s="203"/>
      <c r="N62" s="203"/>
      <c r="O62" s="203">
        <f>'Manuell filtrering og justering'!D60</f>
        <v>0</v>
      </c>
      <c r="P62" s="204">
        <f>VLOOKUP(C62,'Manuell filtrering og justering'!$A$7:$G$97,'Manuell filtrering og justering'!$G$1,FALSE)</f>
        <v>1</v>
      </c>
      <c r="Q62" s="205">
        <f t="shared" si="59"/>
        <v>0</v>
      </c>
      <c r="R62" s="206">
        <f>IF($S$4='Manuell filtrering og justering'!$I$2,P62,(K62-Q62))</f>
        <v>1</v>
      </c>
      <c r="T62" s="207">
        <f>(BP_38/Mat_Credits)*Mat05_credits</f>
        <v>1.2272727272727274E-2</v>
      </c>
      <c r="U62" s="207">
        <f>(Mat05_05/Mat05_credits)*Mat05_user</f>
        <v>0</v>
      </c>
      <c r="W62" s="259">
        <f>IF(VLOOKUP(D62,'Pre-Assessment Estimator'!$C$10:$W$100,'Pre-Assessment Estimator'!$E$2,FALSE)&gt;R62,R62,VLOOKUP(D62,'Pre-Assessment Estimator'!$C$10:$W$100,'Pre-Assessment Estimator'!$E$2,FALSE))*BU62</f>
        <v>0</v>
      </c>
      <c r="X62" s="208">
        <f>IF(VLOOKUP(D62,'Pre-Assessment Estimator'!$C$10:$W$100,'Pre-Assessment Estimator'!$L$2,FALSE)&gt;R62,R62,VLOOKUP(D62,'Pre-Assessment Estimator'!$C$10:$W$100,'Pre-Assessment Estimator'!$L$2,FALSE))*BU62</f>
        <v>0</v>
      </c>
      <c r="Y62" s="208">
        <f>IF(VLOOKUP(D62,'Pre-Assessment Estimator'!$C$10:$W$100,'Pre-Assessment Estimator'!$R$2,FALSE)&gt;R62,R62,VLOOKUP(D62,'Pre-Assessment Estimator'!$C$10:$W$100,'Pre-Assessment Estimator'!$R$2,FALSE))*BU62</f>
        <v>0</v>
      </c>
      <c r="Z62" s="106" t="s">
        <v>546</v>
      </c>
      <c r="AA62" s="361"/>
      <c r="AB62" s="362"/>
      <c r="AC62" s="362"/>
      <c r="AD62" s="362"/>
      <c r="AE62" s="363"/>
      <c r="AF62" s="169"/>
      <c r="AG62" s="361"/>
      <c r="AH62" s="362"/>
      <c r="AI62" s="362"/>
      <c r="AJ62" s="362"/>
      <c r="AK62" s="363"/>
      <c r="AM62" s="226"/>
      <c r="AN62" s="227"/>
      <c r="AO62" s="227"/>
      <c r="AP62" s="227"/>
      <c r="AQ62" s="228">
        <f t="shared" si="0"/>
        <v>0</v>
      </c>
      <c r="AR62" s="220">
        <f t="shared" si="14"/>
        <v>9</v>
      </c>
      <c r="AS62" s="203" t="str">
        <f>VLOOKUP(AR62,$BB$8:$BC$14,2,FALSE)</f>
        <v>N/A</v>
      </c>
      <c r="AT62" s="223"/>
      <c r="AU62" s="220">
        <f>IF(AQ62=0,9,IF(X62&gt;=AQ62,5,IF(X62&gt;=AP62,4,IF(X62&gt;=AO62,3,IF(X62&gt;=AN62,2,IF(X62&lt;AM62,0,1))))))</f>
        <v>9</v>
      </c>
      <c r="AV62" s="203" t="str">
        <f>VLOOKUP(AU62,$BB$8:$BC$14,2,FALSE)</f>
        <v>N/A</v>
      </c>
      <c r="AW62" s="223"/>
      <c r="AX62" s="220">
        <f t="shared" si="8"/>
        <v>9</v>
      </c>
      <c r="AY62" s="203" t="str">
        <f>VLOOKUP(AX62,$BB$8:$BC$14,2,FALSE)</f>
        <v>N/A</v>
      </c>
      <c r="AZ62" s="223"/>
      <c r="BK62" s="203" t="str">
        <f t="shared" si="58"/>
        <v>Mat 05</v>
      </c>
      <c r="BL62" s="203" t="str">
        <f>IFERROR(VLOOKUP($D62,'Pre-Assessment Estimator'!$C$10:$X$100,'Pre-Assessment Estimator'!X$2,FALSE),"")</f>
        <v>No</v>
      </c>
      <c r="BM62" s="278" t="str">
        <f>IFERROR(VLOOKUP($D62,'Pre-Assessment Estimator'!$C$10:$AE$100,'Pre-Assessment Estimator'!AE$2,FALSE),"")</f>
        <v>Ja</v>
      </c>
      <c r="BN62" s="203">
        <f t="shared" si="10"/>
        <v>1</v>
      </c>
      <c r="BO62" s="862" t="s">
        <v>551</v>
      </c>
      <c r="BP62" s="203"/>
      <c r="BQ62" s="106" t="str">
        <f t="shared" si="12"/>
        <v/>
      </c>
      <c r="BR62" s="106" t="s">
        <v>557</v>
      </c>
      <c r="BS62" s="203">
        <f>VLOOKUP(BO62,$BO$3:$BP$4,2,FALSE)</f>
        <v>1</v>
      </c>
      <c r="BU62" s="863">
        <f>IF($BL$4=ais_no,BS62,IF(AND(BO62=$BO$3,BL62=$BQ$3),0,BN62))</f>
        <v>1</v>
      </c>
    </row>
    <row r="63" spans="1:73" ht="15.75" thickBot="1" x14ac:dyDescent="0.3">
      <c r="A63" s="106">
        <v>56</v>
      </c>
      <c r="C63" s="353" t="s">
        <v>191</v>
      </c>
      <c r="D63" s="357"/>
      <c r="E63" s="350"/>
      <c r="F63" s="350"/>
      <c r="G63" s="350"/>
      <c r="H63" s="350"/>
      <c r="I63" s="355"/>
      <c r="K63" s="266">
        <f>HLOOKUP($D$5,$E$8:$I$99,$A63,FALSE)</f>
        <v>0</v>
      </c>
      <c r="L63" s="202"/>
      <c r="M63" s="203"/>
      <c r="N63" s="203"/>
      <c r="O63" s="203">
        <f>'Manuell filtrering og justering'!D61</f>
        <v>0</v>
      </c>
      <c r="P63" s="204"/>
      <c r="Q63" s="205">
        <f t="shared" si="59"/>
        <v>0</v>
      </c>
      <c r="R63" s="206">
        <f>IF($S$4='Manuell filtrering og justering'!$I$2,P63,(K63-Q63))</f>
        <v>0</v>
      </c>
      <c r="T63" s="207">
        <f>(BP_38/Mat_Credits)*Mat06_credits</f>
        <v>0</v>
      </c>
      <c r="U63" s="207">
        <f>IF(R63=0,0,(T63/Mat06_credits)*Mat06_user)</f>
        <v>0</v>
      </c>
      <c r="W63" s="259"/>
      <c r="X63" s="208"/>
      <c r="Y63" s="208"/>
      <c r="AA63" s="364"/>
      <c r="AB63" s="365"/>
      <c r="AC63" s="365"/>
      <c r="AD63" s="365"/>
      <c r="AE63" s="366"/>
      <c r="AF63" s="169"/>
      <c r="AG63" s="364"/>
      <c r="AH63" s="365"/>
      <c r="AI63" s="365"/>
      <c r="AJ63" s="365"/>
      <c r="AK63" s="366"/>
      <c r="AM63" s="237"/>
      <c r="AN63" s="239"/>
      <c r="AO63" s="239"/>
      <c r="AP63" s="239"/>
      <c r="AQ63" s="240">
        <f t="shared" si="0"/>
        <v>0</v>
      </c>
      <c r="AR63" s="241">
        <f t="shared" si="14"/>
        <v>9</v>
      </c>
      <c r="AS63" s="242" t="str">
        <f>VLOOKUP(AR63,$BB$8:$BC$14,2,FALSE)</f>
        <v>N/A</v>
      </c>
      <c r="AT63" s="243"/>
      <c r="AU63" s="241">
        <f>IF(AQ63=0,9,IF(X63&gt;=AQ63,5,IF(X63&gt;=AP63,4,IF(X63&gt;=AO63,3,IF(X63&gt;=AN63,2,IF(X63&lt;AM63,0,1))))))</f>
        <v>9</v>
      </c>
      <c r="AV63" s="242" t="str">
        <f>VLOOKUP(AU63,$BB$8:$BC$14,2,FALSE)</f>
        <v>N/A</v>
      </c>
      <c r="AW63" s="243"/>
      <c r="AX63" s="241">
        <f t="shared" si="8"/>
        <v>9</v>
      </c>
      <c r="AY63" s="242" t="str">
        <f>VLOOKUP(AX63,$BB$8:$BC$14,2,FALSE)</f>
        <v>N/A</v>
      </c>
      <c r="AZ63" s="243"/>
      <c r="BK63" s="357" t="str">
        <f t="shared" si="58"/>
        <v>Mat 06</v>
      </c>
      <c r="BL63" s="357" t="str">
        <f>IFERROR(VLOOKUP($D63,'Pre-Assessment Estimator'!$C$10:$X$100,'Pre-Assessment Estimator'!X$2,FALSE),"")</f>
        <v/>
      </c>
      <c r="BM63" s="357" t="str">
        <f>IFERROR(VLOOKUP($D63,'Pre-Assessment Estimator'!$C$10:$AE$100,'Pre-Assessment Estimator'!AE$2,FALSE),"")</f>
        <v/>
      </c>
      <c r="BN63" s="357" t="str">
        <f t="shared" si="10"/>
        <v/>
      </c>
      <c r="BO63" s="357" t="str">
        <f t="shared" si="11"/>
        <v/>
      </c>
      <c r="BP63" s="357"/>
      <c r="BQ63" s="106" t="str">
        <f t="shared" si="12"/>
        <v/>
      </c>
    </row>
    <row r="64" spans="1:73" ht="15.75" thickBot="1" x14ac:dyDescent="0.3">
      <c r="A64" s="106">
        <v>57</v>
      </c>
      <c r="C64" s="244"/>
      <c r="D64" s="245" t="s">
        <v>230</v>
      </c>
      <c r="E64" s="245">
        <f>SUM(E60:E63)</f>
        <v>11</v>
      </c>
      <c r="F64" s="245">
        <f>SUM(F60:F63)</f>
        <v>11</v>
      </c>
      <c r="G64" s="245">
        <f>SUM(G60:G63)</f>
        <v>11</v>
      </c>
      <c r="H64" s="245">
        <f>SUM(H60:H63)</f>
        <v>11</v>
      </c>
      <c r="I64" s="246">
        <f>SUM(I60:I63)</f>
        <v>11</v>
      </c>
      <c r="K64" s="272">
        <f>HLOOKUP($D$5,$E$8:$I$99,$A64,FALSE)</f>
        <v>11</v>
      </c>
      <c r="L64" s="248"/>
      <c r="M64" s="249"/>
      <c r="N64" s="249"/>
      <c r="O64" s="249"/>
      <c r="P64" s="250"/>
      <c r="Q64" s="251">
        <f>SUM(Q60:Q63)</f>
        <v>0</v>
      </c>
      <c r="R64" s="273">
        <f>SUM(R60:R63)</f>
        <v>11</v>
      </c>
      <c r="T64" s="253">
        <f>SUM(T60:T63)</f>
        <v>0.13500000000000001</v>
      </c>
      <c r="U64" s="253">
        <f>SUM(U60:U63)</f>
        <v>0</v>
      </c>
      <c r="W64" s="19">
        <f>SUM(W60:W63)</f>
        <v>0</v>
      </c>
      <c r="X64" s="19">
        <f t="shared" ref="X64:Y64" si="60">SUM(X60:X63)</f>
        <v>0</v>
      </c>
      <c r="Y64" s="19">
        <f t="shared" si="60"/>
        <v>0</v>
      </c>
      <c r="AA64" s="169"/>
      <c r="AB64" s="169"/>
      <c r="AC64" s="169"/>
      <c r="AD64" s="169"/>
      <c r="AE64" s="169"/>
      <c r="AF64" s="169"/>
      <c r="AG64" s="169"/>
      <c r="AH64" s="169"/>
      <c r="AI64" s="169"/>
      <c r="AJ64" s="169"/>
      <c r="AK64" s="169"/>
      <c r="AM64" s="107"/>
      <c r="AN64" s="254"/>
      <c r="AO64" s="107"/>
      <c r="AP64" s="107"/>
      <c r="AQ64" s="107"/>
      <c r="BK64" s="245"/>
      <c r="BL64" s="245" t="str">
        <f>IFERROR(VLOOKUP($D64,'Pre-Assessment Estimator'!$C$10:$X$100,'Pre-Assessment Estimator'!X$2,FALSE),"")</f>
        <v/>
      </c>
      <c r="BM64" s="245" t="str">
        <f>IFERROR(VLOOKUP($D64,'Pre-Assessment Estimator'!$C$10:$AE$100,'Pre-Assessment Estimator'!AE$2,FALSE),"")</f>
        <v/>
      </c>
      <c r="BN64" s="245" t="str">
        <f t="shared" si="10"/>
        <v/>
      </c>
      <c r="BO64" s="245" t="str">
        <f t="shared" si="11"/>
        <v/>
      </c>
      <c r="BP64" s="245"/>
      <c r="BQ64" s="106" t="str">
        <f t="shared" si="12"/>
        <v/>
      </c>
    </row>
    <row r="65" spans="1:69" ht="15.75" thickBot="1" x14ac:dyDescent="0.3">
      <c r="A65" s="106">
        <v>58</v>
      </c>
      <c r="W65" s="3"/>
      <c r="X65" s="3"/>
      <c r="Y65" s="3"/>
      <c r="AA65" s="169"/>
      <c r="AB65" s="169"/>
      <c r="AC65" s="169"/>
      <c r="AD65" s="169"/>
      <c r="AE65" s="169"/>
      <c r="AF65" s="169"/>
      <c r="AG65" s="169"/>
      <c r="AH65" s="169"/>
      <c r="AI65" s="169"/>
      <c r="AJ65" s="169"/>
      <c r="AK65" s="169"/>
      <c r="AM65" s="107"/>
      <c r="AN65" s="107"/>
      <c r="AO65" s="107"/>
      <c r="AP65" s="107"/>
      <c r="AQ65" s="107"/>
      <c r="BL65" s="106" t="str">
        <f>IFERROR(VLOOKUP($D65,'Pre-Assessment Estimator'!$C$10:$X$100,'Pre-Assessment Estimator'!X$2,FALSE),"")</f>
        <v/>
      </c>
      <c r="BM65" s="106" t="str">
        <f>IFERROR(VLOOKUP($D65,'Pre-Assessment Estimator'!$C$10:$AE$100,'Pre-Assessment Estimator'!AE$2,FALSE),"")</f>
        <v/>
      </c>
      <c r="BN65" s="106" t="str">
        <f t="shared" si="10"/>
        <v/>
      </c>
      <c r="BO65" s="106" t="str">
        <f t="shared" si="11"/>
        <v/>
      </c>
      <c r="BQ65" s="106" t="str">
        <f t="shared" si="12"/>
        <v/>
      </c>
    </row>
    <row r="66" spans="1:69" ht="15.75" thickBot="1" x14ac:dyDescent="0.3">
      <c r="A66" s="106">
        <v>59</v>
      </c>
      <c r="C66" s="176"/>
      <c r="D66" s="177" t="s">
        <v>73</v>
      </c>
      <c r="E66" s="178" t="str">
        <f>$E$8</f>
        <v>Office</v>
      </c>
      <c r="F66" s="178" t="str">
        <f>$F$8</f>
        <v>Retail</v>
      </c>
      <c r="G66" s="178" t="str">
        <f>$G$8</f>
        <v>Residential</v>
      </c>
      <c r="H66" s="178" t="str">
        <f>$H$8</f>
        <v>Industrial</v>
      </c>
      <c r="I66" s="179" t="str">
        <f>$I$8</f>
        <v>Education</v>
      </c>
      <c r="K66" s="168" t="str">
        <f>$D$5</f>
        <v>Office</v>
      </c>
      <c r="L66" s="255"/>
      <c r="M66" s="256"/>
      <c r="N66" s="256"/>
      <c r="O66" s="256"/>
      <c r="P66" s="444" t="s">
        <v>405</v>
      </c>
      <c r="Q66" s="183" t="s">
        <v>230</v>
      </c>
      <c r="R66" s="168"/>
      <c r="W66" s="44"/>
      <c r="X66" s="64"/>
      <c r="Y66" s="64"/>
      <c r="AA66" s="169"/>
      <c r="AB66" s="169"/>
      <c r="AC66" s="169"/>
      <c r="AD66" s="169"/>
      <c r="AE66" s="169"/>
      <c r="AF66" s="169"/>
      <c r="AG66" s="169"/>
      <c r="AH66" s="169"/>
      <c r="AI66" s="169"/>
      <c r="AJ66" s="169"/>
      <c r="AK66" s="169"/>
      <c r="AM66" s="107"/>
      <c r="AN66" s="107"/>
      <c r="AO66" s="107"/>
      <c r="AP66" s="107"/>
      <c r="AQ66" s="107"/>
      <c r="BK66" s="177"/>
      <c r="BL66" s="177" t="str">
        <f>D66</f>
        <v>Waste</v>
      </c>
      <c r="BM66" s="177">
        <f>IFERROR(VLOOKUP($D66,'Pre-Assessment Estimator'!$C$10:$AE$100,'Pre-Assessment Estimator'!AE$2,FALSE),"")</f>
        <v>0</v>
      </c>
      <c r="BN66" s="177" t="str">
        <f t="shared" si="10"/>
        <v/>
      </c>
      <c r="BO66" s="177" t="str">
        <f t="shared" si="11"/>
        <v/>
      </c>
      <c r="BP66" s="177"/>
      <c r="BQ66" s="106" t="str">
        <f t="shared" si="12"/>
        <v/>
      </c>
    </row>
    <row r="67" spans="1:69" x14ac:dyDescent="0.25">
      <c r="A67" s="106">
        <v>60</v>
      </c>
      <c r="C67" s="197" t="s">
        <v>192</v>
      </c>
      <c r="D67" s="198" t="s">
        <v>172</v>
      </c>
      <c r="E67" s="351">
        <v>3</v>
      </c>
      <c r="F67" s="351">
        <v>3</v>
      </c>
      <c r="G67" s="351">
        <v>3</v>
      </c>
      <c r="H67" s="351">
        <v>3</v>
      </c>
      <c r="I67" s="352">
        <v>3</v>
      </c>
      <c r="K67" s="257">
        <f>HLOOKUP($D$5,$E$8:$I$99,$A67,FALSE)</f>
        <v>3</v>
      </c>
      <c r="L67" s="202"/>
      <c r="M67" s="203"/>
      <c r="N67" s="203"/>
      <c r="O67" s="203">
        <f>'Manuell filtrering og justering'!D65</f>
        <v>0</v>
      </c>
      <c r="P67" s="204">
        <f>VLOOKUP(C67,'Manuell filtrering og justering'!$A$7:$G$97,'Manuell filtrering og justering'!$G$1,FALSE)</f>
        <v>3</v>
      </c>
      <c r="Q67" s="205">
        <f>IF(SUM(L67:O67)&gt;K67,K67,SUM(L67:O67))</f>
        <v>0</v>
      </c>
      <c r="R67" s="206">
        <f>IF($S$4='Manuell filtrering og justering'!$I$2,P67,(K67-Q67))</f>
        <v>3</v>
      </c>
      <c r="T67" s="207">
        <f>(BP_39/Wst_Credits)*Wst01_credits</f>
        <v>3.7499999999999999E-2</v>
      </c>
      <c r="U67" s="207">
        <f>(Wst01_27/Wst01_credits)*Wst01_user</f>
        <v>0</v>
      </c>
      <c r="W67" s="259">
        <f>IF(VLOOKUP(D67,'Pre-Assessment Estimator'!$C$10:$W$100,'Pre-Assessment Estimator'!$E$2,FALSE)&gt;R67,R67,VLOOKUP(D67,'Pre-Assessment Estimator'!$C$10:$W$100,'Pre-Assessment Estimator'!$E$2,FALSE))</f>
        <v>0</v>
      </c>
      <c r="X67" s="208">
        <f>IF(VLOOKUP(D67,'Pre-Assessment Estimator'!$C$10:$W$100,'Pre-Assessment Estimator'!$L$2,FALSE)&gt;R67,R67,VLOOKUP(D67,'Pre-Assessment Estimator'!$C$10:$W$100,'Pre-Assessment Estimator'!$L$2,FALSE))</f>
        <v>0</v>
      </c>
      <c r="Y67" s="208">
        <f>IF(VLOOKUP(D67,'Pre-Assessment Estimator'!$C$10:$W$100,'Pre-Assessment Estimator'!$R$2,FALSE)&gt;R67,R67,VLOOKUP(D67,'Pre-Assessment Estimator'!$C$10:$W$100,'Pre-Assessment Estimator'!$R$2,FALSE))</f>
        <v>0</v>
      </c>
      <c r="AA67" s="209"/>
      <c r="AB67" s="358"/>
      <c r="AC67" s="358"/>
      <c r="AD67" s="358"/>
      <c r="AE67" s="210">
        <v>1</v>
      </c>
      <c r="AF67" s="169"/>
      <c r="AG67" s="209"/>
      <c r="AH67" s="358"/>
      <c r="AI67" s="358"/>
      <c r="AJ67" s="358"/>
      <c r="AK67" s="210">
        <v>1</v>
      </c>
      <c r="AM67" s="211"/>
      <c r="AN67" s="212"/>
      <c r="AO67" s="212"/>
      <c r="AP67" s="212"/>
      <c r="AQ67" s="275">
        <f t="shared" si="0"/>
        <v>1</v>
      </c>
      <c r="AR67" s="211">
        <f t="shared" si="14"/>
        <v>4</v>
      </c>
      <c r="AS67" s="214" t="str">
        <f>VLOOKUP(AR67,$BB$8:$BC$14,2,FALSE)</f>
        <v>Excellent</v>
      </c>
      <c r="AT67" s="215"/>
      <c r="AU67" s="211">
        <f>IF(AQ67=0,9,IF(X67&gt;=AQ67,5,IF(X67&gt;=AP67,4,IF(X67&gt;=AO67,3,IF(X67&gt;=AN67,2,IF(X67&lt;AM67,0,1))))))</f>
        <v>4</v>
      </c>
      <c r="AV67" s="214" t="str">
        <f>VLOOKUP(AU67,$BB$8:$BC$14,2,FALSE)</f>
        <v>Excellent</v>
      </c>
      <c r="AW67" s="215"/>
      <c r="AX67" s="211">
        <f t="shared" si="8"/>
        <v>4</v>
      </c>
      <c r="AY67" s="214" t="str">
        <f>VLOOKUP(AX67,$BB$8:$BC$14,2,FALSE)</f>
        <v>Excellent</v>
      </c>
      <c r="AZ67" s="215"/>
      <c r="BK67" s="198" t="str">
        <f t="shared" ref="BK67:BK70" si="61">C67</f>
        <v>Wst 01</v>
      </c>
      <c r="BL67" s="198" t="str">
        <f>IFERROR(VLOOKUP($D67,'Pre-Assessment Estimator'!$C$10:$X$100,'Pre-Assessment Estimator'!X$2,FALSE),"")</f>
        <v>N/A</v>
      </c>
      <c r="BM67" s="198">
        <f>IFERROR(VLOOKUP($D67,'Pre-Assessment Estimator'!$C$10:$AE$100,'Pre-Assessment Estimator'!AE$2,FALSE),"")</f>
        <v>0</v>
      </c>
      <c r="BN67" s="198">
        <f t="shared" si="10"/>
        <v>1</v>
      </c>
      <c r="BO67" s="198">
        <f t="shared" si="11"/>
        <v>0</v>
      </c>
      <c r="BP67" s="198"/>
      <c r="BQ67" s="106" t="s">
        <v>550</v>
      </c>
    </row>
    <row r="68" spans="1:69" x14ac:dyDescent="0.25">
      <c r="A68" s="106">
        <v>61</v>
      </c>
      <c r="C68" s="202" t="s">
        <v>193</v>
      </c>
      <c r="D68" s="354" t="s">
        <v>340</v>
      </c>
      <c r="E68" s="216">
        <v>1</v>
      </c>
      <c r="F68" s="216">
        <v>1</v>
      </c>
      <c r="G68" s="216">
        <v>1</v>
      </c>
      <c r="H68" s="216">
        <v>1</v>
      </c>
      <c r="I68" s="217">
        <v>1</v>
      </c>
      <c r="K68" s="266">
        <f>HLOOKUP($D$5,$E$8:$I$99,$A68,FALSE)</f>
        <v>1</v>
      </c>
      <c r="L68" s="202"/>
      <c r="M68" s="203"/>
      <c r="N68" s="203"/>
      <c r="O68" s="203">
        <f>'Manuell filtrering og justering'!D66</f>
        <v>0</v>
      </c>
      <c r="P68" s="204">
        <f>VLOOKUP(C68,'Manuell filtrering og justering'!$A$7:$G$97,'Manuell filtrering og justering'!$G$1,FALSE)</f>
        <v>1</v>
      </c>
      <c r="Q68" s="205">
        <f t="shared" ref="Q68:Q70" si="62">IF(SUM(L68:O68)&gt;K68,K68,SUM(L68:O68))</f>
        <v>0</v>
      </c>
      <c r="R68" s="206">
        <f>IF($S$4='Manuell filtrering og justering'!$I$2,P68,(K68-Q68))</f>
        <v>1</v>
      </c>
      <c r="T68" s="207">
        <f>(BP_39/Wst_Credits)*Wst02_credits</f>
        <v>1.2499999999999999E-2</v>
      </c>
      <c r="U68" s="207">
        <f>(Wst02_14/Wst02_credits)*Wst02_user</f>
        <v>0</v>
      </c>
      <c r="W68" s="259">
        <f>IF(VLOOKUP(D68,'Pre-Assessment Estimator'!$C$10:$W$100,'Pre-Assessment Estimator'!$E$2,FALSE)&gt;R68,R68,VLOOKUP(D68,'Pre-Assessment Estimator'!$C$10:$W$100,'Pre-Assessment Estimator'!$E$2,FALSE))</f>
        <v>0</v>
      </c>
      <c r="X68" s="208">
        <f>IF(VLOOKUP(D68,'Pre-Assessment Estimator'!$C$10:$W$100,'Pre-Assessment Estimator'!$L$2,FALSE)&gt;R68,R68,VLOOKUP(D68,'Pre-Assessment Estimator'!$C$10:$W$100,'Pre-Assessment Estimator'!$L$2,FALSE))</f>
        <v>0</v>
      </c>
      <c r="Y68" s="208">
        <f>IF(VLOOKUP(D68,'Pre-Assessment Estimator'!$C$10:$W$100,'Pre-Assessment Estimator'!$R$2,FALSE)&gt;R68,R68,VLOOKUP(D68,'Pre-Assessment Estimator'!$C$10:$W$100,'Pre-Assessment Estimator'!$R$2,FALSE))</f>
        <v>0</v>
      </c>
      <c r="AA68" s="360"/>
      <c r="AB68" s="219"/>
      <c r="AC68" s="219"/>
      <c r="AD68" s="219"/>
      <c r="AE68" s="224"/>
      <c r="AF68" s="169"/>
      <c r="AG68" s="360"/>
      <c r="AH68" s="219"/>
      <c r="AI68" s="219"/>
      <c r="AJ68" s="219"/>
      <c r="AK68" s="224"/>
      <c r="AM68" s="220"/>
      <c r="AN68" s="221"/>
      <c r="AO68" s="221"/>
      <c r="AP68" s="221"/>
      <c r="AQ68" s="225">
        <f t="shared" si="0"/>
        <v>0</v>
      </c>
      <c r="AR68" s="220">
        <f t="shared" si="14"/>
        <v>9</v>
      </c>
      <c r="AS68" s="203" t="str">
        <f>VLOOKUP(AR68,$BB$8:$BC$14,2,FALSE)</f>
        <v>N/A</v>
      </c>
      <c r="AT68" s="223"/>
      <c r="AU68" s="220">
        <f>IF(AQ68=0,9,IF(X68&gt;=AQ68,5,IF(X68&gt;=AP68,4,IF(X68&gt;=AO68,3,IF(X68&gt;=AN68,2,IF(X68&lt;AM68,0,1))))))</f>
        <v>9</v>
      </c>
      <c r="AV68" s="203" t="str">
        <f>VLOOKUP(AU68,$BB$8:$BC$14,2,FALSE)</f>
        <v>N/A</v>
      </c>
      <c r="AW68" s="223"/>
      <c r="AX68" s="220">
        <f t="shared" si="8"/>
        <v>9</v>
      </c>
      <c r="AY68" s="203" t="str">
        <f>VLOOKUP(AX68,$BB$8:$BC$14,2,FALSE)</f>
        <v>N/A</v>
      </c>
      <c r="AZ68" s="223"/>
      <c r="BK68" s="354" t="str">
        <f t="shared" si="61"/>
        <v>Wst 02</v>
      </c>
      <c r="BL68" s="354" t="str">
        <f>IFERROR(VLOOKUP($D68,'Pre-Assessment Estimator'!$C$10:$X$100,'Pre-Assessment Estimator'!X$2,FALSE),"")</f>
        <v>N/A</v>
      </c>
      <c r="BM68" s="354">
        <f>IFERROR(VLOOKUP($D68,'Pre-Assessment Estimator'!$C$10:$AE$100,'Pre-Assessment Estimator'!AE$2,FALSE),"")</f>
        <v>0</v>
      </c>
      <c r="BN68" s="354">
        <f t="shared" si="10"/>
        <v>1</v>
      </c>
      <c r="BO68" s="354">
        <f t="shared" si="11"/>
        <v>0</v>
      </c>
      <c r="BP68" s="354"/>
      <c r="BQ68" s="106" t="s">
        <v>550</v>
      </c>
    </row>
    <row r="69" spans="1:69" x14ac:dyDescent="0.25">
      <c r="A69" s="106">
        <v>62</v>
      </c>
      <c r="C69" s="202" t="s">
        <v>194</v>
      </c>
      <c r="D69" s="203" t="s">
        <v>181</v>
      </c>
      <c r="E69" s="216">
        <v>1</v>
      </c>
      <c r="F69" s="216">
        <v>1</v>
      </c>
      <c r="G69" s="216">
        <v>2</v>
      </c>
      <c r="H69" s="216">
        <v>1</v>
      </c>
      <c r="I69" s="217">
        <v>1</v>
      </c>
      <c r="K69" s="266">
        <f>HLOOKUP($D$5,$E$8:$I$99,$A69,FALSE)</f>
        <v>1</v>
      </c>
      <c r="L69" s="202"/>
      <c r="M69" s="203"/>
      <c r="N69" s="203"/>
      <c r="O69" s="203">
        <f>'Manuell filtrering og justering'!D67</f>
        <v>0</v>
      </c>
      <c r="P69" s="204">
        <f>VLOOKUP(C69,'Manuell filtrering og justering'!$A$7:$G$97,'Manuell filtrering og justering'!$G$1,FALSE)</f>
        <v>2</v>
      </c>
      <c r="Q69" s="205">
        <f t="shared" si="62"/>
        <v>0</v>
      </c>
      <c r="R69" s="206">
        <f>IF($S$4='Manuell filtrering og justering'!$I$2,P69,(K69-Q69))</f>
        <v>1</v>
      </c>
      <c r="T69" s="207">
        <f>(BP_39/Wst_Credits)*Wst03_credits</f>
        <v>1.2499999999999999E-2</v>
      </c>
      <c r="U69" s="207">
        <f>(Wst03_12/Wst03_credits)*Wst03_user</f>
        <v>0</v>
      </c>
      <c r="W69" s="259">
        <f>IF(VLOOKUP(D69,'Pre-Assessment Estimator'!$C$10:$W$100,'Pre-Assessment Estimator'!$E$2,FALSE)&gt;R69,R69,VLOOKUP(D69,'Pre-Assessment Estimator'!$C$10:$W$100,'Pre-Assessment Estimator'!$E$2,FALSE))</f>
        <v>0</v>
      </c>
      <c r="X69" s="208">
        <f>IF(VLOOKUP(D69,'Pre-Assessment Estimator'!$C$10:$W$100,'Pre-Assessment Estimator'!$L$2,FALSE)&gt;R69,R69,VLOOKUP(D69,'Pre-Assessment Estimator'!$C$10:$W$100,'Pre-Assessment Estimator'!$L$2,FALSE))</f>
        <v>0</v>
      </c>
      <c r="Y69" s="208">
        <f>IF(VLOOKUP(D69,'Pre-Assessment Estimator'!$C$10:$W$100,'Pre-Assessment Estimator'!$R$2,FALSE)&gt;R69,R69,VLOOKUP(D69,'Pre-Assessment Estimator'!$C$10:$W$100,'Pre-Assessment Estimator'!$R$2,FALSE))</f>
        <v>0</v>
      </c>
      <c r="AA69" s="361"/>
      <c r="AB69" s="362"/>
      <c r="AC69" s="362"/>
      <c r="AD69" s="362">
        <v>1</v>
      </c>
      <c r="AE69" s="363">
        <v>1</v>
      </c>
      <c r="AF69" s="169"/>
      <c r="AG69" s="361"/>
      <c r="AH69" s="362"/>
      <c r="AI69" s="362"/>
      <c r="AJ69" s="362">
        <v>1</v>
      </c>
      <c r="AK69" s="363">
        <v>1</v>
      </c>
      <c r="AM69" s="226"/>
      <c r="AN69" s="227"/>
      <c r="AO69" s="227"/>
      <c r="AP69" s="227">
        <f t="shared" ref="AP69" si="63">IF($D$5=$G$8,AJ69,AD69)</f>
        <v>1</v>
      </c>
      <c r="AQ69" s="228">
        <f t="shared" si="0"/>
        <v>1</v>
      </c>
      <c r="AR69" s="220">
        <f t="shared" si="14"/>
        <v>3</v>
      </c>
      <c r="AS69" s="203" t="str">
        <f>VLOOKUP(AR69,$BB$8:$BC$14,2,FALSE)</f>
        <v>Very Good</v>
      </c>
      <c r="AT69" s="223"/>
      <c r="AU69" s="220">
        <f>IF(AQ69=0,9,IF(X69&gt;=AQ69,5,IF(X69&gt;=AP69,4,IF(X69&gt;=AO69,3,IF(X69&gt;=AN69,2,IF(X69&lt;AM69,0,1))))))</f>
        <v>3</v>
      </c>
      <c r="AV69" s="203" t="str">
        <f>VLOOKUP(AU69,$BB$8:$BC$14,2,FALSE)</f>
        <v>Very Good</v>
      </c>
      <c r="AW69" s="223"/>
      <c r="AX69" s="220">
        <f t="shared" si="8"/>
        <v>3</v>
      </c>
      <c r="AY69" s="203" t="str">
        <f>VLOOKUP(AX69,$BB$8:$BC$14,2,FALSE)</f>
        <v>Very Good</v>
      </c>
      <c r="AZ69" s="223"/>
      <c r="BK69" s="203" t="str">
        <f t="shared" si="61"/>
        <v>Wst 03</v>
      </c>
      <c r="BL69" s="203" t="str">
        <f>IFERROR(VLOOKUP($D69,'Pre-Assessment Estimator'!$C$10:$X$100,'Pre-Assessment Estimator'!X$2,FALSE),"")</f>
        <v>No</v>
      </c>
      <c r="BM69" s="203">
        <f>IFERROR(VLOOKUP($D69,'Pre-Assessment Estimator'!$C$10:$AE$100,'Pre-Assessment Estimator'!AE$2,FALSE),"")</f>
        <v>0</v>
      </c>
      <c r="BN69" s="203">
        <f t="shared" si="10"/>
        <v>1</v>
      </c>
      <c r="BO69" s="203">
        <f t="shared" si="11"/>
        <v>0</v>
      </c>
      <c r="BP69" s="203"/>
      <c r="BQ69" s="106" t="str">
        <f t="shared" si="12"/>
        <v/>
      </c>
    </row>
    <row r="70" spans="1:69" ht="15.75" thickBot="1" x14ac:dyDescent="0.3">
      <c r="A70" s="106">
        <v>63</v>
      </c>
      <c r="C70" s="202" t="s">
        <v>195</v>
      </c>
      <c r="D70" s="203" t="s">
        <v>231</v>
      </c>
      <c r="E70" s="216">
        <v>1</v>
      </c>
      <c r="F70" s="216"/>
      <c r="G70" s="216"/>
      <c r="H70" s="216"/>
      <c r="I70" s="217"/>
      <c r="K70" s="266">
        <f>HLOOKUP($D$5,$E$8:$I$99,$A70,FALSE)</f>
        <v>1</v>
      </c>
      <c r="L70" s="202"/>
      <c r="M70" s="203"/>
      <c r="N70" s="203"/>
      <c r="O70" s="203">
        <f>'Manuell filtrering og justering'!D68</f>
        <v>0</v>
      </c>
      <c r="P70" s="204">
        <f>VLOOKUP(C70,'Manuell filtrering og justering'!$A$7:$G$97,'Manuell filtrering og justering'!$G$1,FALSE)</f>
        <v>0</v>
      </c>
      <c r="Q70" s="205">
        <f t="shared" si="62"/>
        <v>0</v>
      </c>
      <c r="R70" s="206">
        <f>IF($S$4='Manuell filtrering og justering'!$I$2,P70,(K70-Q70))</f>
        <v>1</v>
      </c>
      <c r="T70" s="207">
        <f>(BP_39/Wst_Credits)*Wst04_credits</f>
        <v>1.2499999999999999E-2</v>
      </c>
      <c r="U70" s="207">
        <f>IFERROR((Wst04_08/Wst04_credits)*Wst04_user,0)</f>
        <v>0</v>
      </c>
      <c r="W70" s="259">
        <f>IF(VLOOKUP(D70,'Pre-Assessment Estimator'!$C$10:$W$100,'Pre-Assessment Estimator'!$E$2,FALSE)&gt;R70,R70,VLOOKUP(D70,'Pre-Assessment Estimator'!$C$10:$W$100,'Pre-Assessment Estimator'!$E$2,FALSE))</f>
        <v>0</v>
      </c>
      <c r="X70" s="208">
        <f>IF(VLOOKUP(D70,'Pre-Assessment Estimator'!$C$10:$W$100,'Pre-Assessment Estimator'!$L$2,FALSE)&gt;R70,R70,VLOOKUP(D70,'Pre-Assessment Estimator'!$C$10:$W$100,'Pre-Assessment Estimator'!$L$2,FALSE))</f>
        <v>0</v>
      </c>
      <c r="Y70" s="208">
        <f>IF(VLOOKUP(D70,'Pre-Assessment Estimator'!$C$10:$W$100,'Pre-Assessment Estimator'!$R$2,FALSE)&gt;R70,R70,VLOOKUP(D70,'Pre-Assessment Estimator'!$C$10:$W$100,'Pre-Assessment Estimator'!$R$2,FALSE))</f>
        <v>0</v>
      </c>
      <c r="AA70" s="364"/>
      <c r="AB70" s="365"/>
      <c r="AC70" s="365"/>
      <c r="AD70" s="365"/>
      <c r="AE70" s="366"/>
      <c r="AF70" s="169"/>
      <c r="AG70" s="364"/>
      <c r="AH70" s="365"/>
      <c r="AI70" s="365"/>
      <c r="AJ70" s="365"/>
      <c r="AK70" s="366"/>
      <c r="AM70" s="237"/>
      <c r="AN70" s="239"/>
      <c r="AO70" s="239"/>
      <c r="AP70" s="239"/>
      <c r="AQ70" s="240">
        <f t="shared" ref="AQ70:AQ96" si="64">IF($D$5=$G$8,AK70,AE70)</f>
        <v>0</v>
      </c>
      <c r="AR70" s="241">
        <f t="shared" si="14"/>
        <v>9</v>
      </c>
      <c r="AS70" s="242" t="str">
        <f>VLOOKUP(AR70,$BB$8:$BC$14,2,FALSE)</f>
        <v>N/A</v>
      </c>
      <c r="AT70" s="243"/>
      <c r="AU70" s="241">
        <f>IF(AQ70=0,9,IF(X70&gt;=AQ70,5,IF(X70&gt;=AP70,4,IF(X70&gt;=AO70,3,IF(X70&gt;=AN70,2,IF(X70&lt;AM70,0,1))))))</f>
        <v>9</v>
      </c>
      <c r="AV70" s="242" t="str">
        <f>VLOOKUP(AU70,$BB$8:$BC$14,2,FALSE)</f>
        <v>N/A</v>
      </c>
      <c r="AW70" s="243"/>
      <c r="AX70" s="241">
        <f t="shared" si="8"/>
        <v>9</v>
      </c>
      <c r="AY70" s="242" t="str">
        <f>VLOOKUP(AX70,$BB$8:$BC$14,2,FALSE)</f>
        <v>N/A</v>
      </c>
      <c r="AZ70" s="243"/>
      <c r="BK70" s="203" t="str">
        <f t="shared" si="61"/>
        <v>Wst 04</v>
      </c>
      <c r="BL70" s="203" t="str">
        <f>IFERROR(VLOOKUP($D70,'Pre-Assessment Estimator'!$C$10:$X$100,'Pre-Assessment Estimator'!X$2,FALSE),"")</f>
        <v>No</v>
      </c>
      <c r="BM70" s="203">
        <f>IFERROR(VLOOKUP($D70,'Pre-Assessment Estimator'!$C$10:$AE$100,'Pre-Assessment Estimator'!AE$2,FALSE),"")</f>
        <v>0</v>
      </c>
      <c r="BN70" s="203">
        <f t="shared" si="10"/>
        <v>1</v>
      </c>
      <c r="BO70" s="203">
        <f t="shared" si="11"/>
        <v>0</v>
      </c>
      <c r="BP70" s="203"/>
      <c r="BQ70" s="106" t="str">
        <f t="shared" si="12"/>
        <v/>
      </c>
    </row>
    <row r="71" spans="1:69" ht="15.75" thickBot="1" x14ac:dyDescent="0.3">
      <c r="A71" s="106">
        <v>64</v>
      </c>
      <c r="C71" s="244"/>
      <c r="D71" s="245" t="s">
        <v>230</v>
      </c>
      <c r="E71" s="245">
        <f>SUM(E67:E70)</f>
        <v>6</v>
      </c>
      <c r="F71" s="245">
        <f>SUM(F67:F70)</f>
        <v>5</v>
      </c>
      <c r="G71" s="245">
        <f>SUM(G67:G70)</f>
        <v>6</v>
      </c>
      <c r="H71" s="245">
        <f>SUM(H67:H70)</f>
        <v>5</v>
      </c>
      <c r="I71" s="246">
        <f>SUM(I67:I70)</f>
        <v>5</v>
      </c>
      <c r="K71" s="272">
        <f>HLOOKUP($D$5,$E$8:$I$99,$A71,FALSE)</f>
        <v>6</v>
      </c>
      <c r="L71" s="248"/>
      <c r="M71" s="249"/>
      <c r="N71" s="249"/>
      <c r="O71" s="249"/>
      <c r="P71" s="250"/>
      <c r="Q71" s="251">
        <f>SUM(Q67:Q70)</f>
        <v>0</v>
      </c>
      <c r="R71" s="273">
        <f>SUM(R67:R70)</f>
        <v>6</v>
      </c>
      <c r="T71" s="253">
        <f>SUM(T67:T70)</f>
        <v>7.4999999999999997E-2</v>
      </c>
      <c r="U71" s="253">
        <f>SUM(U67:U70)</f>
        <v>0</v>
      </c>
      <c r="W71" s="19">
        <f>SUM(W67:W70)</f>
        <v>0</v>
      </c>
      <c r="X71" s="19">
        <f t="shared" ref="X71:Y71" si="65">SUM(X67:X70)</f>
        <v>0</v>
      </c>
      <c r="Y71" s="19">
        <f t="shared" si="65"/>
        <v>0</v>
      </c>
      <c r="AA71" s="169"/>
      <c r="AB71" s="169"/>
      <c r="AC71" s="169"/>
      <c r="AD71" s="169"/>
      <c r="AE71" s="169"/>
      <c r="AF71" s="169"/>
      <c r="AG71" s="169"/>
      <c r="AH71" s="169"/>
      <c r="AI71" s="169"/>
      <c r="AJ71" s="169"/>
      <c r="AK71" s="169"/>
      <c r="AM71" s="107"/>
      <c r="AN71" s="254"/>
      <c r="AO71" s="107"/>
      <c r="AP71" s="107"/>
      <c r="AQ71" s="107"/>
      <c r="BK71" s="245"/>
      <c r="BL71" s="245" t="str">
        <f>IFERROR(VLOOKUP($D71,'Pre-Assessment Estimator'!$C$10:$X$100,'Pre-Assessment Estimator'!X$2,FALSE),"")</f>
        <v/>
      </c>
      <c r="BM71" s="245" t="str">
        <f>IFERROR(VLOOKUP($D71,'Pre-Assessment Estimator'!$C$10:$AE$100,'Pre-Assessment Estimator'!AE$2,FALSE),"")</f>
        <v/>
      </c>
      <c r="BN71" s="245" t="str">
        <f t="shared" si="10"/>
        <v/>
      </c>
      <c r="BO71" s="245" t="str">
        <f t="shared" si="11"/>
        <v/>
      </c>
      <c r="BP71" s="245"/>
      <c r="BQ71" s="106" t="str">
        <f t="shared" si="12"/>
        <v/>
      </c>
    </row>
    <row r="72" spans="1:69" ht="15.75" thickBot="1" x14ac:dyDescent="0.3">
      <c r="A72" s="106">
        <v>65</v>
      </c>
      <c r="W72" s="3"/>
      <c r="X72" s="3"/>
      <c r="Y72" s="3"/>
      <c r="AA72" s="169"/>
      <c r="AB72" s="169"/>
      <c r="AC72" s="169"/>
      <c r="AD72" s="169"/>
      <c r="AE72" s="169"/>
      <c r="AF72" s="169"/>
      <c r="AG72" s="169"/>
      <c r="AH72" s="169"/>
      <c r="AI72" s="169"/>
      <c r="AJ72" s="169"/>
      <c r="AK72" s="169"/>
      <c r="AM72" s="107"/>
      <c r="AN72" s="107"/>
      <c r="AO72" s="107"/>
      <c r="AP72" s="107"/>
      <c r="AQ72" s="107"/>
      <c r="BL72" s="106" t="str">
        <f>IFERROR(VLOOKUP($D72,'Pre-Assessment Estimator'!$C$10:$X$100,'Pre-Assessment Estimator'!X$2,FALSE),"")</f>
        <v/>
      </c>
      <c r="BM72" s="106" t="str">
        <f>IFERROR(VLOOKUP($D72,'Pre-Assessment Estimator'!$C$10:$AE$100,'Pre-Assessment Estimator'!AE$2,FALSE),"")</f>
        <v/>
      </c>
      <c r="BN72" s="106" t="str">
        <f t="shared" si="10"/>
        <v/>
      </c>
      <c r="BO72" s="106" t="str">
        <f t="shared" si="11"/>
        <v/>
      </c>
      <c r="BQ72" s="106" t="str">
        <f t="shared" si="12"/>
        <v/>
      </c>
    </row>
    <row r="73" spans="1:69" ht="15.75" thickBot="1" x14ac:dyDescent="0.3">
      <c r="A73" s="106">
        <v>66</v>
      </c>
      <c r="C73" s="176"/>
      <c r="D73" s="177" t="s">
        <v>243</v>
      </c>
      <c r="E73" s="178" t="str">
        <f>$E$8</f>
        <v>Office</v>
      </c>
      <c r="F73" s="178" t="str">
        <f>$F$8</f>
        <v>Retail</v>
      </c>
      <c r="G73" s="178" t="str">
        <f>$G$8</f>
        <v>Residential</v>
      </c>
      <c r="H73" s="178" t="str">
        <f>$H$8</f>
        <v>Industrial</v>
      </c>
      <c r="I73" s="179" t="str">
        <f>$I$8</f>
        <v>Education</v>
      </c>
      <c r="K73" s="168" t="str">
        <f>$D$5</f>
        <v>Office</v>
      </c>
      <c r="L73" s="255"/>
      <c r="M73" s="256"/>
      <c r="N73" s="256"/>
      <c r="O73" s="256"/>
      <c r="P73" s="444" t="s">
        <v>405</v>
      </c>
      <c r="Q73" s="183" t="s">
        <v>230</v>
      </c>
      <c r="R73" s="168"/>
      <c r="W73" s="44"/>
      <c r="X73" s="64"/>
      <c r="Y73" s="64"/>
      <c r="AA73" s="169"/>
      <c r="AB73" s="169"/>
      <c r="AC73" s="169"/>
      <c r="AD73" s="169"/>
      <c r="AE73" s="169"/>
      <c r="AF73" s="169"/>
      <c r="AG73" s="169"/>
      <c r="AH73" s="169"/>
      <c r="AI73" s="169"/>
      <c r="AJ73" s="169"/>
      <c r="AK73" s="169"/>
      <c r="AM73" s="107"/>
      <c r="AN73" s="107"/>
      <c r="AO73" s="107"/>
      <c r="AP73" s="107"/>
      <c r="AQ73" s="107"/>
      <c r="BK73" s="177"/>
      <c r="BL73" s="177" t="str">
        <f>D73</f>
        <v>Land &amp; Ecology</v>
      </c>
      <c r="BM73" s="177" t="str">
        <f>IFERROR(VLOOKUP($D73,'Pre-Assessment Estimator'!$C$10:$AE$100,'Pre-Assessment Estimator'!AE$2,FALSE),"")</f>
        <v/>
      </c>
      <c r="BN73" s="177" t="str">
        <f t="shared" si="10"/>
        <v/>
      </c>
      <c r="BO73" s="177" t="str">
        <f t="shared" si="11"/>
        <v/>
      </c>
      <c r="BP73" s="177"/>
      <c r="BQ73" s="106" t="str">
        <f t="shared" si="12"/>
        <v/>
      </c>
    </row>
    <row r="74" spans="1:69" x14ac:dyDescent="0.25">
      <c r="A74" s="106">
        <v>67</v>
      </c>
      <c r="C74" s="197" t="s">
        <v>196</v>
      </c>
      <c r="D74" s="198" t="s">
        <v>173</v>
      </c>
      <c r="E74" s="199">
        <v>3</v>
      </c>
      <c r="F74" s="199">
        <v>3</v>
      </c>
      <c r="G74" s="199">
        <v>3</v>
      </c>
      <c r="H74" s="199">
        <v>3</v>
      </c>
      <c r="I74" s="200">
        <v>3</v>
      </c>
      <c r="K74" s="257">
        <f t="shared" ref="K74:K79" si="66">HLOOKUP($D$5,$E$8:$I$99,$A74,FALSE)</f>
        <v>3</v>
      </c>
      <c r="L74" s="202"/>
      <c r="M74" s="203"/>
      <c r="N74" s="203"/>
      <c r="O74" s="203">
        <f>'Manuell filtrering og justering'!D72</f>
        <v>0</v>
      </c>
      <c r="P74" s="204">
        <f>VLOOKUP(C74,'Manuell filtrering og justering'!$A$7:$G$97,'Manuell filtrering og justering'!$G$1,FALSE)</f>
        <v>3</v>
      </c>
      <c r="Q74" s="205">
        <f>IF(SUM(L74:O74)&gt;K74,K74,SUM(L74:O74))</f>
        <v>0</v>
      </c>
      <c r="R74" s="206">
        <f>IF($S$4='Manuell filtrering og justering'!$I$2,P74,(K74-Q74))</f>
        <v>3</v>
      </c>
      <c r="T74" s="207">
        <f>(BP_40/LE_Credits)*LE01_credits</f>
        <v>0.03</v>
      </c>
      <c r="U74" s="207">
        <f>(LE01_07/LE01_credits)*LE01_user</f>
        <v>0</v>
      </c>
      <c r="W74" s="259">
        <f>IF(VLOOKUP(D74,'Pre-Assessment Estimator'!$C$10:$W$100,'Pre-Assessment Estimator'!$E$2,FALSE)&gt;R74,R74,VLOOKUP(D74,'Pre-Assessment Estimator'!$C$10:$W$100,'Pre-Assessment Estimator'!$E$2,FALSE))</f>
        <v>0</v>
      </c>
      <c r="X74" s="208">
        <f>IF(VLOOKUP(D74,'Pre-Assessment Estimator'!$C$10:$W$100,'Pre-Assessment Estimator'!$L$2,FALSE)&gt;R74,R74,VLOOKUP(D74,'Pre-Assessment Estimator'!$C$10:$W$100,'Pre-Assessment Estimator'!$L$2,FALSE))</f>
        <v>0</v>
      </c>
      <c r="Y74" s="208">
        <f>IF(VLOOKUP(D74,'Pre-Assessment Estimator'!$C$10:$W$100,'Pre-Assessment Estimator'!$R$2,FALSE)&gt;R74,R74,VLOOKUP(D74,'Pre-Assessment Estimator'!$C$10:$W$100,'Pre-Assessment Estimator'!$R$2,FALSE))</f>
        <v>0</v>
      </c>
      <c r="AA74" s="367"/>
      <c r="AB74" s="368"/>
      <c r="AC74" s="368"/>
      <c r="AD74" s="368"/>
      <c r="AE74" s="369"/>
      <c r="AF74" s="169"/>
      <c r="AG74" s="367"/>
      <c r="AH74" s="368"/>
      <c r="AI74" s="368"/>
      <c r="AJ74" s="368"/>
      <c r="AK74" s="369"/>
      <c r="AM74" s="263"/>
      <c r="AN74" s="264"/>
      <c r="AO74" s="264"/>
      <c r="AP74" s="264"/>
      <c r="AQ74" s="265">
        <f t="shared" si="64"/>
        <v>0</v>
      </c>
      <c r="AR74" s="211">
        <f t="shared" si="14"/>
        <v>9</v>
      </c>
      <c r="AS74" s="214" t="str">
        <f>VLOOKUP(AR74,$BB$8:$BC$14,2,FALSE)</f>
        <v>N/A</v>
      </c>
      <c r="AT74" s="215"/>
      <c r="AU74" s="211">
        <f>IF(AQ74=0,9,IF(X74&gt;=AQ74,5,IF(X74&gt;=AP74,4,IF(X74&gt;=AO74,3,IF(X74&gt;=AN74,2,IF(X74&lt;AM74,0,1))))))</f>
        <v>9</v>
      </c>
      <c r="AV74" s="214" t="str">
        <f>VLOOKUP(AU74,$BB$8:$BC$14,2,FALSE)</f>
        <v>N/A</v>
      </c>
      <c r="AW74" s="215"/>
      <c r="AX74" s="211">
        <f t="shared" ref="AX74:AX98" si="67">IF(AQ74=0,9,IF(Y74&gt;=AQ74,5,IF(Y74&gt;=AP74,4,IF(Y74&gt;=AO74,3,IF(Y74&gt;=AN74,2,IF(Y74&lt;AM74,0,1))))))</f>
        <v>9</v>
      </c>
      <c r="AY74" s="214" t="str">
        <f>VLOOKUP(AX74,$BB$8:$BC$14,2,FALSE)</f>
        <v>N/A</v>
      </c>
      <c r="AZ74" s="215"/>
      <c r="BK74" s="198" t="str">
        <f t="shared" ref="BK74:BK78" si="68">C74</f>
        <v>LE 01</v>
      </c>
      <c r="BL74" s="198" t="str">
        <f>IFERROR(VLOOKUP($D74,'Pre-Assessment Estimator'!$C$10:$X$100,'Pre-Assessment Estimator'!X$2,FALSE),"")</f>
        <v>N/A</v>
      </c>
      <c r="BM74" s="198">
        <f>IFERROR(VLOOKUP($D74,'Pre-Assessment Estimator'!$C$10:$AE$100,'Pre-Assessment Estimator'!AE$2,FALSE),"")</f>
        <v>0</v>
      </c>
      <c r="BN74" s="198">
        <f t="shared" ref="BN74:BN104" si="69">IFERROR(VLOOKUP($BL74,$D$140:$G$173,E$138,FALSE),"")</f>
        <v>1</v>
      </c>
      <c r="BO74" s="198">
        <f t="shared" ref="BO74:BO104" si="70">IFERROR(VLOOKUP($BL74,$D$140:$G$173,F$138,FALSE),"")</f>
        <v>0</v>
      </c>
      <c r="BP74" s="198"/>
      <c r="BQ74" s="106" t="str">
        <f t="shared" ref="BQ74:BQ104" si="71">IFERROR(VLOOKUP($BL74,$D$140:$G$173,H$138,FALSE),"")</f>
        <v/>
      </c>
    </row>
    <row r="75" spans="1:69" x14ac:dyDescent="0.25">
      <c r="A75" s="106">
        <v>68</v>
      </c>
      <c r="C75" s="202" t="s">
        <v>197</v>
      </c>
      <c r="D75" s="203" t="s">
        <v>174</v>
      </c>
      <c r="E75" s="216">
        <v>2</v>
      </c>
      <c r="F75" s="216">
        <v>2</v>
      </c>
      <c r="G75" s="216">
        <v>2</v>
      </c>
      <c r="H75" s="216">
        <v>2</v>
      </c>
      <c r="I75" s="217">
        <v>2</v>
      </c>
      <c r="K75" s="266">
        <f t="shared" si="66"/>
        <v>2</v>
      </c>
      <c r="L75" s="202"/>
      <c r="M75" s="203"/>
      <c r="N75" s="203"/>
      <c r="O75" s="203">
        <f>'Manuell filtrering og justering'!D73</f>
        <v>0</v>
      </c>
      <c r="P75" s="204">
        <f>VLOOKUP(C75,'Manuell filtrering og justering'!$A$7:$G$97,'Manuell filtrering og justering'!$G$1,FALSE)</f>
        <v>2</v>
      </c>
      <c r="Q75" s="205">
        <f t="shared" ref="Q75:Q78" si="72">IF(SUM(L75:O75)&gt;K75,K75,SUM(L75:O75))</f>
        <v>0</v>
      </c>
      <c r="R75" s="206">
        <f>IF($S$4='Manuell filtrering og justering'!$I$2,P75,(K75-Q75))</f>
        <v>2</v>
      </c>
      <c r="T75" s="207">
        <f>(BP_40/LE_Credits)*LE02_credits</f>
        <v>0.02</v>
      </c>
      <c r="U75" s="207">
        <f>(LE02_07/LE02_credits)*LE02_user</f>
        <v>0</v>
      </c>
      <c r="W75" s="259">
        <f>IF(VLOOKUP(D75,'Pre-Assessment Estimator'!$C$10:$W$100,'Pre-Assessment Estimator'!$E$2,FALSE)&gt;R75,R75,VLOOKUP(D75,'Pre-Assessment Estimator'!$C$10:$W$100,'Pre-Assessment Estimator'!$E$2,FALSE))</f>
        <v>0</v>
      </c>
      <c r="X75" s="208">
        <f>IF(VLOOKUP(D75,'Pre-Assessment Estimator'!$C$10:$W$100,'Pre-Assessment Estimator'!$L$2,FALSE)&gt;R75,R75,VLOOKUP(D75,'Pre-Assessment Estimator'!$C$10:$W$100,'Pre-Assessment Estimator'!$L$2,FALSE))</f>
        <v>0</v>
      </c>
      <c r="Y75" s="208">
        <f>IF(VLOOKUP(D75,'Pre-Assessment Estimator'!$C$10:$W$100,'Pre-Assessment Estimator'!$R$2,FALSE)&gt;R75,R75,VLOOKUP(D75,'Pre-Assessment Estimator'!$C$10:$W$100,'Pre-Assessment Estimator'!$R$2,FALSE))</f>
        <v>0</v>
      </c>
      <c r="AA75" s="361"/>
      <c r="AB75" s="362"/>
      <c r="AC75" s="362"/>
      <c r="AD75" s="362"/>
      <c r="AE75" s="363"/>
      <c r="AF75" s="169"/>
      <c r="AG75" s="361"/>
      <c r="AH75" s="362"/>
      <c r="AI75" s="362"/>
      <c r="AJ75" s="362"/>
      <c r="AK75" s="363"/>
      <c r="AM75" s="226"/>
      <c r="AN75" s="227"/>
      <c r="AO75" s="227"/>
      <c r="AP75" s="227"/>
      <c r="AQ75" s="228">
        <f t="shared" si="64"/>
        <v>0</v>
      </c>
      <c r="AR75" s="220">
        <f t="shared" ref="AR75:AR98" si="73">IF(AQ75=0,9,IF(W75&gt;=AQ75,5,IF(W75&gt;=AP75,4,IF(W75&gt;=AO75,3,IF(W75&gt;=AN75,2,IF(W75&lt;AM75,0,1))))))</f>
        <v>9</v>
      </c>
      <c r="AS75" s="203" t="str">
        <f>VLOOKUP(AR75,$BB$8:$BC$14,2,FALSE)</f>
        <v>N/A</v>
      </c>
      <c r="AT75" s="223"/>
      <c r="AU75" s="220">
        <f>IF(AQ75=0,9,IF(X75&gt;=AQ75,5,IF(X75&gt;=AP75,4,IF(X75&gt;=AO75,3,IF(X75&gt;=AN75,2,IF(X75&lt;AM75,0,1))))))</f>
        <v>9</v>
      </c>
      <c r="AV75" s="203" t="str">
        <f>VLOOKUP(AU75,$BB$8:$BC$14,2,FALSE)</f>
        <v>N/A</v>
      </c>
      <c r="AW75" s="223"/>
      <c r="AX75" s="220">
        <f t="shared" si="67"/>
        <v>9</v>
      </c>
      <c r="AY75" s="203" t="str">
        <f>VLOOKUP(AX75,$BB$8:$BC$14,2,FALSE)</f>
        <v>N/A</v>
      </c>
      <c r="AZ75" s="223"/>
      <c r="BK75" s="203" t="str">
        <f t="shared" si="68"/>
        <v>LE 02</v>
      </c>
      <c r="BL75" s="203" t="str">
        <f>IFERROR(VLOOKUP($D75,'Pre-Assessment Estimator'!$C$10:$X$100,'Pre-Assessment Estimator'!X$2,FALSE),"")</f>
        <v>N/A</v>
      </c>
      <c r="BM75" s="203">
        <f>IFERROR(VLOOKUP($D75,'Pre-Assessment Estimator'!$C$10:$AE$100,'Pre-Assessment Estimator'!AE$2,FALSE),"")</f>
        <v>0</v>
      </c>
      <c r="BN75" s="203">
        <f t="shared" si="69"/>
        <v>1</v>
      </c>
      <c r="BO75" s="203">
        <f t="shared" si="70"/>
        <v>0</v>
      </c>
      <c r="BP75" s="203"/>
      <c r="BQ75" s="106" t="str">
        <f t="shared" si="71"/>
        <v/>
      </c>
    </row>
    <row r="76" spans="1:69" x14ac:dyDescent="0.25">
      <c r="A76" s="106">
        <v>69</v>
      </c>
      <c r="C76" s="202" t="s">
        <v>198</v>
      </c>
      <c r="D76" s="203" t="s">
        <v>175</v>
      </c>
      <c r="E76" s="216">
        <v>3</v>
      </c>
      <c r="F76" s="216">
        <v>3</v>
      </c>
      <c r="G76" s="216">
        <v>3</v>
      </c>
      <c r="H76" s="216">
        <v>3</v>
      </c>
      <c r="I76" s="217">
        <v>3</v>
      </c>
      <c r="K76" s="266">
        <f t="shared" si="66"/>
        <v>3</v>
      </c>
      <c r="L76" s="202"/>
      <c r="M76" s="203"/>
      <c r="N76" s="203"/>
      <c r="O76" s="203">
        <f>'Manuell filtrering og justering'!D74</f>
        <v>0</v>
      </c>
      <c r="P76" s="204">
        <f>VLOOKUP(C76,'Manuell filtrering og justering'!$A$7:$G$97,'Manuell filtrering og justering'!$G$1,FALSE)</f>
        <v>3</v>
      </c>
      <c r="Q76" s="205">
        <f t="shared" si="72"/>
        <v>0</v>
      </c>
      <c r="R76" s="206">
        <f>IF($S$4='Manuell filtrering og justering'!$I$2,P76,(K76-Q76))</f>
        <v>3</v>
      </c>
      <c r="T76" s="207">
        <f>(BP_40/LE_Credits)*LE04_credits</f>
        <v>0.03</v>
      </c>
      <c r="U76" s="207">
        <f>(LE04_13/LE04_credits)*LE04_user</f>
        <v>0</v>
      </c>
      <c r="W76" s="259">
        <f>IF(VLOOKUP(D76,'Pre-Assessment Estimator'!$C$10:$W$100,'Pre-Assessment Estimator'!$E$2,FALSE)&gt;R76,R76,VLOOKUP(D76,'Pre-Assessment Estimator'!$C$10:$W$100,'Pre-Assessment Estimator'!$E$2,FALSE))</f>
        <v>0</v>
      </c>
      <c r="X76" s="208">
        <f>IF(VLOOKUP(D76,'Pre-Assessment Estimator'!$C$10:$W$100,'Pre-Assessment Estimator'!$L$2,FALSE)&gt;R76,R76,VLOOKUP(D76,'Pre-Assessment Estimator'!$C$10:$W$100,'Pre-Assessment Estimator'!$L$2,FALSE))</f>
        <v>0</v>
      </c>
      <c r="Y76" s="208">
        <f>IF(VLOOKUP(D76,'Pre-Assessment Estimator'!$C$10:$W$100,'Pre-Assessment Estimator'!$R$2,FALSE)&gt;R76,R76,VLOOKUP(D76,'Pre-Assessment Estimator'!$C$10:$W$100,'Pre-Assessment Estimator'!$R$2,FALSE))</f>
        <v>0</v>
      </c>
      <c r="AA76" s="361"/>
      <c r="AB76" s="362"/>
      <c r="AC76" s="362"/>
      <c r="AD76" s="362"/>
      <c r="AE76" s="363"/>
      <c r="AF76" s="169"/>
      <c r="AG76" s="361"/>
      <c r="AH76" s="362"/>
      <c r="AI76" s="362"/>
      <c r="AJ76" s="362"/>
      <c r="AK76" s="363"/>
      <c r="AM76" s="226"/>
      <c r="AN76" s="227"/>
      <c r="AO76" s="227"/>
      <c r="AP76" s="227"/>
      <c r="AQ76" s="228">
        <f t="shared" si="64"/>
        <v>0</v>
      </c>
      <c r="AR76" s="220">
        <f t="shared" si="73"/>
        <v>9</v>
      </c>
      <c r="AS76" s="203" t="str">
        <f>VLOOKUP(AR76,$BB$8:$BC$14,2,FALSE)</f>
        <v>N/A</v>
      </c>
      <c r="AT76" s="223"/>
      <c r="AU76" s="220">
        <f>IF(AQ76=0,9,IF(X76&gt;=AQ76,5,IF(X76&gt;=AP76,4,IF(X76&gt;=AO76,3,IF(X76&gt;=AN76,2,IF(X76&lt;AM76,0,1))))))</f>
        <v>9</v>
      </c>
      <c r="AV76" s="203" t="str">
        <f>VLOOKUP(AU76,$BB$8:$BC$14,2,FALSE)</f>
        <v>N/A</v>
      </c>
      <c r="AW76" s="223"/>
      <c r="AX76" s="220">
        <f t="shared" si="67"/>
        <v>9</v>
      </c>
      <c r="AY76" s="203" t="str">
        <f>VLOOKUP(AX76,$BB$8:$BC$14,2,FALSE)</f>
        <v>N/A</v>
      </c>
      <c r="AZ76" s="223"/>
      <c r="BK76" s="203" t="str">
        <f t="shared" si="68"/>
        <v>LE 04</v>
      </c>
      <c r="BL76" s="203" t="str">
        <f>IFERROR(VLOOKUP($D76,'Pre-Assessment Estimator'!$C$10:$X$100,'Pre-Assessment Estimator'!X$2,FALSE),"")</f>
        <v>N/A</v>
      </c>
      <c r="BM76" s="203">
        <f>IFERROR(VLOOKUP($D76,'Pre-Assessment Estimator'!$C$10:$AE$100,'Pre-Assessment Estimator'!AE$2,FALSE),"")</f>
        <v>0</v>
      </c>
      <c r="BN76" s="203">
        <f t="shared" si="69"/>
        <v>1</v>
      </c>
      <c r="BO76" s="203">
        <f t="shared" si="70"/>
        <v>0</v>
      </c>
      <c r="BP76" s="203"/>
      <c r="BQ76" s="106" t="str">
        <f t="shared" si="71"/>
        <v/>
      </c>
    </row>
    <row r="77" spans="1:69" x14ac:dyDescent="0.25">
      <c r="A77" s="106">
        <v>70</v>
      </c>
      <c r="C77" s="202" t="s">
        <v>199</v>
      </c>
      <c r="D77" s="203" t="s">
        <v>176</v>
      </c>
      <c r="E77" s="216">
        <v>2</v>
      </c>
      <c r="F77" s="216">
        <v>2</v>
      </c>
      <c r="G77" s="216">
        <v>2</v>
      </c>
      <c r="H77" s="216">
        <v>2</v>
      </c>
      <c r="I77" s="217">
        <v>2</v>
      </c>
      <c r="K77" s="266">
        <f t="shared" si="66"/>
        <v>2</v>
      </c>
      <c r="L77" s="202"/>
      <c r="M77" s="203"/>
      <c r="N77" s="203"/>
      <c r="O77" s="203">
        <f>'Manuell filtrering og justering'!D75</f>
        <v>0</v>
      </c>
      <c r="P77" s="204">
        <f>VLOOKUP(C77,'Manuell filtrering og justering'!$A$7:$G$97,'Manuell filtrering og justering'!$G$1,FALSE)</f>
        <v>2</v>
      </c>
      <c r="Q77" s="205">
        <f t="shared" si="72"/>
        <v>0</v>
      </c>
      <c r="R77" s="206">
        <f>IF($S$4='Manuell filtrering og justering'!$I$2,P77,(K77-Q77))</f>
        <v>2</v>
      </c>
      <c r="T77" s="207">
        <f>(BP_40/LE_Credits)*LE05_credits</f>
        <v>0.02</v>
      </c>
      <c r="U77" s="207">
        <f>(LE05_14/LE05_credits)*LE05_user</f>
        <v>0</v>
      </c>
      <c r="W77" s="259">
        <f>IF(VLOOKUP(D77,'Pre-Assessment Estimator'!$C$10:$W$100,'Pre-Assessment Estimator'!$E$2,FALSE)&gt;R77,R77,VLOOKUP(D77,'Pre-Assessment Estimator'!$C$10:$W$100,'Pre-Assessment Estimator'!$E$2,FALSE))</f>
        <v>0</v>
      </c>
      <c r="X77" s="208">
        <f>IF(VLOOKUP(D77,'Pre-Assessment Estimator'!$C$10:$W$100,'Pre-Assessment Estimator'!$L$2,FALSE)&gt;R77,R77,VLOOKUP(D77,'Pre-Assessment Estimator'!$C$10:$W$100,'Pre-Assessment Estimator'!$L$2,FALSE))</f>
        <v>0</v>
      </c>
      <c r="Y77" s="208">
        <f>IF(VLOOKUP(D77,'Pre-Assessment Estimator'!$C$10:$W$100,'Pre-Assessment Estimator'!$R$2,FALSE)&gt;R77,R77,VLOOKUP(D77,'Pre-Assessment Estimator'!$C$10:$W$100,'Pre-Assessment Estimator'!$R$2,FALSE))</f>
        <v>0</v>
      </c>
      <c r="AA77" s="361"/>
      <c r="AB77" s="362"/>
      <c r="AC77" s="362"/>
      <c r="AD77" s="362"/>
      <c r="AE77" s="363"/>
      <c r="AF77" s="169"/>
      <c r="AG77" s="361"/>
      <c r="AH77" s="362"/>
      <c r="AI77" s="362"/>
      <c r="AJ77" s="362"/>
      <c r="AK77" s="363"/>
      <c r="AM77" s="226"/>
      <c r="AN77" s="227"/>
      <c r="AO77" s="227"/>
      <c r="AP77" s="227"/>
      <c r="AQ77" s="228">
        <f t="shared" si="64"/>
        <v>0</v>
      </c>
      <c r="AR77" s="220">
        <f t="shared" si="73"/>
        <v>9</v>
      </c>
      <c r="AS77" s="203" t="str">
        <f>VLOOKUP(AR77,$BB$8:$BC$14,2,FALSE)</f>
        <v>N/A</v>
      </c>
      <c r="AT77" s="223"/>
      <c r="AU77" s="220">
        <f>IF(AQ77=0,9,IF(X77&gt;=AQ77,5,IF(X77&gt;=AP77,4,IF(X77&gt;=AO77,3,IF(X77&gt;=AN77,2,IF(X77&lt;AM77,0,1))))))</f>
        <v>9</v>
      </c>
      <c r="AV77" s="203" t="str">
        <f>VLOOKUP(AU77,$BB$8:$BC$14,2,FALSE)</f>
        <v>N/A</v>
      </c>
      <c r="AW77" s="223"/>
      <c r="AX77" s="220">
        <f t="shared" si="67"/>
        <v>9</v>
      </c>
      <c r="AY77" s="203" t="str">
        <f>VLOOKUP(AX77,$BB$8:$BC$14,2,FALSE)</f>
        <v>N/A</v>
      </c>
      <c r="AZ77" s="223"/>
      <c r="BK77" s="203" t="str">
        <f t="shared" si="68"/>
        <v>LE 05</v>
      </c>
      <c r="BL77" s="203" t="str">
        <f>IFERROR(VLOOKUP($D77,'Pre-Assessment Estimator'!$C$10:$X$100,'Pre-Assessment Estimator'!X$2,FALSE),"")</f>
        <v>N/A</v>
      </c>
      <c r="BM77" s="203">
        <f>IFERROR(VLOOKUP($D77,'Pre-Assessment Estimator'!$C$10:$AE$100,'Pre-Assessment Estimator'!AE$2,FALSE),"")</f>
        <v>0</v>
      </c>
      <c r="BN77" s="203">
        <f t="shared" si="69"/>
        <v>1</v>
      </c>
      <c r="BO77" s="203">
        <f t="shared" si="70"/>
        <v>0</v>
      </c>
      <c r="BP77" s="203"/>
      <c r="BQ77" s="106" t="str">
        <f t="shared" si="71"/>
        <v/>
      </c>
    </row>
    <row r="78" spans="1:69" ht="15.75" thickBot="1" x14ac:dyDescent="0.3">
      <c r="A78" s="106">
        <v>71</v>
      </c>
      <c r="C78" s="202" t="s">
        <v>200</v>
      </c>
      <c r="D78" s="203" t="s">
        <v>182</v>
      </c>
      <c r="E78" s="216"/>
      <c r="F78" s="216"/>
      <c r="G78" s="216">
        <v>2</v>
      </c>
      <c r="H78" s="216"/>
      <c r="I78" s="217"/>
      <c r="K78" s="266">
        <f t="shared" si="66"/>
        <v>0</v>
      </c>
      <c r="L78" s="202"/>
      <c r="M78" s="203"/>
      <c r="N78" s="203"/>
      <c r="O78" s="203">
        <f>'Manuell filtrering og justering'!D76</f>
        <v>0</v>
      </c>
      <c r="P78" s="204">
        <f>VLOOKUP(C78,'Manuell filtrering og justering'!$A$7:$G$97,'Manuell filtrering og justering'!$G$1,FALSE)</f>
        <v>0</v>
      </c>
      <c r="Q78" s="205">
        <f t="shared" si="72"/>
        <v>0</v>
      </c>
      <c r="R78" s="206">
        <f>IF($S$4='Manuell filtrering og justering'!$I$2,P78,(K78-Q78))</f>
        <v>0</v>
      </c>
      <c r="T78" s="207">
        <f>(BP_40/LE_Credits)*LE06_credits</f>
        <v>0</v>
      </c>
      <c r="U78" s="207">
        <f>IFERROR((T78/LE06_credits)*LE06_user,0)</f>
        <v>0</v>
      </c>
      <c r="W78" s="259">
        <f>IF(VLOOKUP(D78,'Pre-Assessment Estimator'!$C$10:$W$100,'Pre-Assessment Estimator'!$E$2,FALSE)&gt;R78,R78,VLOOKUP(D78,'Pre-Assessment Estimator'!$C$10:$W$100,'Pre-Assessment Estimator'!$E$2,FALSE))</f>
        <v>0</v>
      </c>
      <c r="X78" s="208">
        <f>IF(VLOOKUP(D78,'Pre-Assessment Estimator'!$C$10:$W$100,'Pre-Assessment Estimator'!$L$2,FALSE)&gt;R78,R78,VLOOKUP(D78,'Pre-Assessment Estimator'!$C$10:$W$100,'Pre-Assessment Estimator'!$L$2,FALSE))</f>
        <v>0</v>
      </c>
      <c r="Y78" s="208">
        <f>IF(VLOOKUP(D78,'Pre-Assessment Estimator'!$C$10:$W$100,'Pre-Assessment Estimator'!$R$2,FALSE)&gt;R78,R78,VLOOKUP(D78,'Pre-Assessment Estimator'!$C$10:$W$100,'Pre-Assessment Estimator'!$R$2,FALSE))</f>
        <v>0</v>
      </c>
      <c r="AA78" s="364"/>
      <c r="AB78" s="365"/>
      <c r="AC78" s="365"/>
      <c r="AD78" s="365"/>
      <c r="AE78" s="366"/>
      <c r="AF78" s="169"/>
      <c r="AG78" s="364"/>
      <c r="AH78" s="365"/>
      <c r="AI78" s="365"/>
      <c r="AJ78" s="365"/>
      <c r="AK78" s="366"/>
      <c r="AM78" s="237"/>
      <c r="AN78" s="239"/>
      <c r="AO78" s="239"/>
      <c r="AP78" s="239"/>
      <c r="AQ78" s="240">
        <f t="shared" si="64"/>
        <v>0</v>
      </c>
      <c r="AR78" s="241">
        <f t="shared" si="73"/>
        <v>9</v>
      </c>
      <c r="AS78" s="242" t="str">
        <f>VLOOKUP(AR78,$BB$8:$BC$14,2,FALSE)</f>
        <v>N/A</v>
      </c>
      <c r="AT78" s="243"/>
      <c r="AU78" s="241">
        <f>IF(AQ78=0,9,IF(X78&gt;=AQ78,5,IF(X78&gt;=AP78,4,IF(X78&gt;=AO78,3,IF(X78&gt;=AN78,2,IF(X78&lt;AM78,0,1))))))</f>
        <v>9</v>
      </c>
      <c r="AV78" s="242" t="str">
        <f>VLOOKUP(AU78,$BB$8:$BC$14,2,FALSE)</f>
        <v>N/A</v>
      </c>
      <c r="AW78" s="243"/>
      <c r="AX78" s="241">
        <f t="shared" si="67"/>
        <v>9</v>
      </c>
      <c r="AY78" s="242" t="str">
        <f>VLOOKUP(AX78,$BB$8:$BC$14,2,FALSE)</f>
        <v>N/A</v>
      </c>
      <c r="AZ78" s="243"/>
      <c r="BK78" s="203" t="str">
        <f t="shared" si="68"/>
        <v>LE 06</v>
      </c>
      <c r="BL78" s="203" t="str">
        <f>IFERROR(VLOOKUP($D78,'Pre-Assessment Estimator'!$C$10:$X$100,'Pre-Assessment Estimator'!X$2,FALSE),"")</f>
        <v>N/A</v>
      </c>
      <c r="BM78" s="203">
        <f>IFERROR(VLOOKUP($D78,'Pre-Assessment Estimator'!$C$10:$AE$100,'Pre-Assessment Estimator'!AE$2,FALSE),"")</f>
        <v>0</v>
      </c>
      <c r="BN78" s="203">
        <f t="shared" si="69"/>
        <v>1</v>
      </c>
      <c r="BO78" s="203">
        <f t="shared" si="70"/>
        <v>0</v>
      </c>
      <c r="BP78" s="203"/>
      <c r="BQ78" s="106" t="str">
        <f t="shared" si="71"/>
        <v/>
      </c>
    </row>
    <row r="79" spans="1:69" ht="15.75" thickBot="1" x14ac:dyDescent="0.3">
      <c r="A79" s="106">
        <v>72</v>
      </c>
      <c r="C79" s="244"/>
      <c r="D79" s="245" t="s">
        <v>230</v>
      </c>
      <c r="E79" s="245">
        <f>SUM(E74:E78)</f>
        <v>10</v>
      </c>
      <c r="F79" s="245">
        <f>SUM(F74:F78)</f>
        <v>10</v>
      </c>
      <c r="G79" s="245">
        <f>SUM(G74:G78)</f>
        <v>12</v>
      </c>
      <c r="H79" s="245">
        <f>SUM(H74:H78)</f>
        <v>10</v>
      </c>
      <c r="I79" s="246">
        <f>SUM(I74:I78)</f>
        <v>10</v>
      </c>
      <c r="K79" s="272">
        <f t="shared" si="66"/>
        <v>10</v>
      </c>
      <c r="L79" s="248"/>
      <c r="M79" s="249"/>
      <c r="N79" s="249"/>
      <c r="O79" s="249"/>
      <c r="P79" s="250"/>
      <c r="Q79" s="251">
        <f>SUM(Q74:Q78)</f>
        <v>0</v>
      </c>
      <c r="R79" s="273">
        <f>SUM(R74:R78)</f>
        <v>10</v>
      </c>
      <c r="T79" s="253">
        <f>SUM(T74:T78)</f>
        <v>0.1</v>
      </c>
      <c r="U79" s="253">
        <f>SUM(U74:U78)</f>
        <v>0</v>
      </c>
      <c r="W79" s="19">
        <f>SUM(W74:W78)</f>
        <v>0</v>
      </c>
      <c r="X79" s="19">
        <f t="shared" ref="X79:Y79" si="74">SUM(X74:X78)</f>
        <v>0</v>
      </c>
      <c r="Y79" s="19">
        <f t="shared" si="74"/>
        <v>0</v>
      </c>
      <c r="AA79" s="169"/>
      <c r="AB79" s="169"/>
      <c r="AC79" s="169"/>
      <c r="AD79" s="169"/>
      <c r="AE79" s="169"/>
      <c r="AF79" s="169"/>
      <c r="AG79" s="169"/>
      <c r="AH79" s="169"/>
      <c r="AI79" s="169"/>
      <c r="AJ79" s="169"/>
      <c r="AK79" s="169"/>
      <c r="AM79" s="107"/>
      <c r="AN79" s="254"/>
      <c r="AO79" s="107"/>
      <c r="AP79" s="107"/>
      <c r="AQ79" s="107"/>
      <c r="BK79" s="245"/>
      <c r="BL79" s="245" t="str">
        <f>IFERROR(VLOOKUP($D79,'Pre-Assessment Estimator'!$C$10:$X$100,'Pre-Assessment Estimator'!X$2,FALSE),"")</f>
        <v/>
      </c>
      <c r="BM79" s="245" t="str">
        <f>IFERROR(VLOOKUP($D79,'Pre-Assessment Estimator'!$C$10:$AE$100,'Pre-Assessment Estimator'!AE$2,FALSE),"")</f>
        <v/>
      </c>
      <c r="BN79" s="245" t="str">
        <f t="shared" si="69"/>
        <v/>
      </c>
      <c r="BO79" s="245" t="str">
        <f t="shared" si="70"/>
        <v/>
      </c>
      <c r="BP79" s="245"/>
      <c r="BQ79" s="106" t="str">
        <f t="shared" si="71"/>
        <v/>
      </c>
    </row>
    <row r="80" spans="1:69" ht="15.75" thickBot="1" x14ac:dyDescent="0.3">
      <c r="A80" s="106">
        <v>73</v>
      </c>
      <c r="W80" s="3"/>
      <c r="X80" s="3"/>
      <c r="Y80" s="3"/>
      <c r="AA80" s="169"/>
      <c r="AB80" s="169"/>
      <c r="AC80" s="169"/>
      <c r="AD80" s="169"/>
      <c r="AE80" s="169"/>
      <c r="AF80" s="169"/>
      <c r="AG80" s="169"/>
      <c r="AH80" s="169"/>
      <c r="AI80" s="169"/>
      <c r="AJ80" s="169"/>
      <c r="AK80" s="169"/>
      <c r="AM80" s="107"/>
      <c r="AN80" s="107"/>
      <c r="AO80" s="107"/>
      <c r="AP80" s="107"/>
      <c r="AQ80" s="107"/>
      <c r="BL80" s="106" t="str">
        <f>IFERROR(VLOOKUP($D80,'Pre-Assessment Estimator'!$C$10:$X$100,'Pre-Assessment Estimator'!X$2,FALSE),"")</f>
        <v/>
      </c>
      <c r="BM80" s="106" t="str">
        <f>IFERROR(VLOOKUP($D80,'Pre-Assessment Estimator'!$C$10:$AE$100,'Pre-Assessment Estimator'!AE$2,FALSE),"")</f>
        <v/>
      </c>
      <c r="BN80" s="106" t="str">
        <f t="shared" si="69"/>
        <v/>
      </c>
      <c r="BO80" s="106" t="str">
        <f t="shared" si="70"/>
        <v/>
      </c>
      <c r="BQ80" s="106" t="str">
        <f t="shared" si="71"/>
        <v/>
      </c>
    </row>
    <row r="81" spans="1:73" ht="15.75" thickBot="1" x14ac:dyDescent="0.3">
      <c r="A81" s="106">
        <v>74</v>
      </c>
      <c r="C81" s="176"/>
      <c r="D81" s="177" t="s">
        <v>75</v>
      </c>
      <c r="E81" s="178" t="str">
        <f>$E$8</f>
        <v>Office</v>
      </c>
      <c r="F81" s="178" t="str">
        <f>$F$8</f>
        <v>Retail</v>
      </c>
      <c r="G81" s="178" t="str">
        <f>$G$8</f>
        <v>Residential</v>
      </c>
      <c r="H81" s="178" t="str">
        <f>$H$8</f>
        <v>Industrial</v>
      </c>
      <c r="I81" s="179" t="str">
        <f>$I$8</f>
        <v>Education</v>
      </c>
      <c r="K81" s="168" t="str">
        <f>$D$5</f>
        <v>Office</v>
      </c>
      <c r="L81" s="255"/>
      <c r="M81" s="256"/>
      <c r="N81" s="256"/>
      <c r="O81" s="256"/>
      <c r="P81" s="444" t="s">
        <v>405</v>
      </c>
      <c r="Q81" s="183" t="s">
        <v>230</v>
      </c>
      <c r="R81" s="168"/>
      <c r="W81" s="44"/>
      <c r="X81" s="64"/>
      <c r="Y81" s="64"/>
      <c r="AA81" s="169"/>
      <c r="AB81" s="169"/>
      <c r="AC81" s="169"/>
      <c r="AD81" s="169"/>
      <c r="AE81" s="169"/>
      <c r="AF81" s="169"/>
      <c r="AG81" s="169"/>
      <c r="AH81" s="169"/>
      <c r="AI81" s="169"/>
      <c r="AJ81" s="169"/>
      <c r="AK81" s="169"/>
      <c r="AM81" s="107"/>
      <c r="AN81" s="107"/>
      <c r="AO81" s="107"/>
      <c r="AP81" s="107"/>
      <c r="AQ81" s="107"/>
      <c r="BK81" s="177"/>
      <c r="BL81" s="177" t="str">
        <f>D81</f>
        <v>Pollution</v>
      </c>
      <c r="BM81" s="177">
        <f>IFERROR(VLOOKUP($D81,'Pre-Assessment Estimator'!$C$10:$AE$100,'Pre-Assessment Estimator'!AE$2,FALSE),"")</f>
        <v>0</v>
      </c>
      <c r="BN81" s="177" t="str">
        <f t="shared" si="69"/>
        <v/>
      </c>
      <c r="BO81" s="177" t="str">
        <f t="shared" si="70"/>
        <v/>
      </c>
      <c r="BP81" s="177"/>
      <c r="BQ81" s="106" t="str">
        <f t="shared" si="71"/>
        <v/>
      </c>
    </row>
    <row r="82" spans="1:73" x14ac:dyDescent="0.25">
      <c r="A82" s="106">
        <v>75</v>
      </c>
      <c r="C82" s="197" t="s">
        <v>201</v>
      </c>
      <c r="D82" s="198" t="s">
        <v>177</v>
      </c>
      <c r="E82" s="351">
        <v>3</v>
      </c>
      <c r="F82" s="351">
        <v>3</v>
      </c>
      <c r="G82" s="351">
        <v>3</v>
      </c>
      <c r="H82" s="351">
        <v>3</v>
      </c>
      <c r="I82" s="352">
        <v>3</v>
      </c>
      <c r="K82" s="257">
        <f t="shared" ref="K82:K87" si="75">HLOOKUP($D$5,$E$8:$I$99,$A82,FALSE)</f>
        <v>3</v>
      </c>
      <c r="L82" s="267">
        <f>IF(AD_Ozoneleg=AD_Yes,1,0)*0</f>
        <v>0</v>
      </c>
      <c r="M82" s="278">
        <f>IF(AND(ADBT0=ADBT1,ADIND_option02=AD_no,ADIND_option03=AD_no),Poeng!K82,0)</f>
        <v>0</v>
      </c>
      <c r="N82" s="203"/>
      <c r="O82" s="203">
        <f>'Manuell filtrering og justering'!D80</f>
        <v>0</v>
      </c>
      <c r="P82" s="204">
        <f>VLOOKUP(C82,'Manuell filtrering og justering'!$A$7:$G$97,'Manuell filtrering og justering'!$G$1,FALSE)</f>
        <v>3</v>
      </c>
      <c r="Q82" s="205">
        <f>IF(SUM(L82:O82)&gt;K82,K82,SUM(L82:O82))</f>
        <v>0</v>
      </c>
      <c r="R82" s="206">
        <f>IF($S$4='Manuell filtrering og justering'!$I$2,P82,(K82-Q82))</f>
        <v>3</v>
      </c>
      <c r="T82" s="207">
        <f>(Pol_Weight/Pol_Credits)*Pol01_credits</f>
        <v>1.846153846153846E-2</v>
      </c>
      <c r="U82" s="207">
        <f>IF(R82=0,0,(Pol01_19/Pol01_credits)*Pol01_user)</f>
        <v>0</v>
      </c>
      <c r="W82" s="259">
        <f>IF(VLOOKUP(D82,'Pre-Assessment Estimator'!$C$10:$W$100,'Pre-Assessment Estimator'!$E$2,FALSE)&gt;R82,R82,VLOOKUP(D82,'Pre-Assessment Estimator'!$C$10:$W$100,'Pre-Assessment Estimator'!$E$2,FALSE))*BU82</f>
        <v>0</v>
      </c>
      <c r="X82" s="208">
        <f>IF(VLOOKUP(D82,'Pre-Assessment Estimator'!$C$10:$W$100,'Pre-Assessment Estimator'!$L$2,FALSE)&gt;R82,R82,VLOOKUP(D82,'Pre-Assessment Estimator'!$C$10:$W$100,'Pre-Assessment Estimator'!$L$2,FALSE))*BU82</f>
        <v>0</v>
      </c>
      <c r="Y82" s="208">
        <f>IF(VLOOKUP(D82,'Pre-Assessment Estimator'!$C$10:$W$100,'Pre-Assessment Estimator'!$R$2,FALSE)&gt;R82,R82,VLOOKUP(D82,'Pre-Assessment Estimator'!$C$10:$W$100,'Pre-Assessment Estimator'!$R$2,FALSE))*BU82</f>
        <v>0</v>
      </c>
      <c r="Z82" s="106" t="s">
        <v>546</v>
      </c>
      <c r="AA82" s="367"/>
      <c r="AB82" s="368"/>
      <c r="AC82" s="368"/>
      <c r="AD82" s="368"/>
      <c r="AE82" s="369"/>
      <c r="AF82" s="169"/>
      <c r="AG82" s="367"/>
      <c r="AH82" s="368"/>
      <c r="AI82" s="368"/>
      <c r="AJ82" s="368"/>
      <c r="AK82" s="369"/>
      <c r="AM82" s="263"/>
      <c r="AN82" s="264"/>
      <c r="AO82" s="264"/>
      <c r="AP82" s="264"/>
      <c r="AQ82" s="265">
        <f t="shared" si="64"/>
        <v>0</v>
      </c>
      <c r="AR82" s="211">
        <f t="shared" si="73"/>
        <v>9</v>
      </c>
      <c r="AS82" s="214" t="str">
        <f>VLOOKUP(AR82,$BB$8:$BC$14,2,FALSE)</f>
        <v>N/A</v>
      </c>
      <c r="AT82" s="215"/>
      <c r="AU82" s="211">
        <f>IF(AQ82=0,9,IF(X82&gt;=AQ82,5,IF(X82&gt;=AP82,4,IF(X82&gt;=AO82,3,IF(X82&gt;=AN82,2,IF(X82&lt;AM82,0,1))))))</f>
        <v>9</v>
      </c>
      <c r="AV82" s="214" t="str">
        <f>VLOOKUP(AU82,$BB$8:$BC$14,2,FALSE)</f>
        <v>N/A</v>
      </c>
      <c r="AW82" s="215"/>
      <c r="AX82" s="211">
        <f t="shared" si="67"/>
        <v>9</v>
      </c>
      <c r="AY82" s="214" t="str">
        <f>VLOOKUP(AX82,$BB$8:$BC$14,2,FALSE)</f>
        <v>N/A</v>
      </c>
      <c r="AZ82" s="215"/>
      <c r="BK82" s="198" t="str">
        <f t="shared" ref="BK82:BK86" si="76">C82</f>
        <v>POL 01</v>
      </c>
      <c r="BL82" s="198" t="str">
        <f>IFERROR(VLOOKUP($D82,'Pre-Assessment Estimator'!$C$10:$X$100,'Pre-Assessment Estimator'!X$2,FALSE),"")</f>
        <v>No</v>
      </c>
      <c r="BM82" s="856" t="str">
        <f>IFERROR(VLOOKUP($D82,'Pre-Assessment Estimator'!$C$10:$AE$100,'Pre-Assessment Estimator'!AE$2,FALSE),"")</f>
        <v>Ja</v>
      </c>
      <c r="BN82" s="198">
        <f t="shared" si="69"/>
        <v>1</v>
      </c>
      <c r="BO82" s="862" t="s">
        <v>551</v>
      </c>
      <c r="BP82" s="198"/>
      <c r="BQ82" s="106" t="str">
        <f t="shared" si="71"/>
        <v/>
      </c>
      <c r="BR82" s="106" t="s">
        <v>557</v>
      </c>
      <c r="BS82" s="203">
        <f>VLOOKUP(BO82,$BO$3:$BP$4,2,FALSE)</f>
        <v>1</v>
      </c>
      <c r="BU82" s="863">
        <f>IF($BL$4=ais_no,BS82,IF(AND(BO82=$BO$3,BL82=$BQ$3),0,BN82))</f>
        <v>1</v>
      </c>
    </row>
    <row r="83" spans="1:73" x14ac:dyDescent="0.25">
      <c r="A83" s="106">
        <v>76</v>
      </c>
      <c r="C83" s="202" t="s">
        <v>202</v>
      </c>
      <c r="D83" s="203" t="s">
        <v>506</v>
      </c>
      <c r="E83" s="216">
        <v>3</v>
      </c>
      <c r="F83" s="216">
        <v>3</v>
      </c>
      <c r="G83" s="216">
        <v>3</v>
      </c>
      <c r="H83" s="216">
        <v>3</v>
      </c>
      <c r="I83" s="217">
        <v>3</v>
      </c>
      <c r="K83" s="266">
        <f t="shared" si="75"/>
        <v>3</v>
      </c>
      <c r="L83" s="267">
        <f>IF(AND(ADBT0=ADBT1,ADIND_option02=AD_no,ADIND_option03=AD_no),Poeng!K83,0)</f>
        <v>0</v>
      </c>
      <c r="M83" s="203"/>
      <c r="N83" s="203"/>
      <c r="O83" s="203">
        <f>'Manuell filtrering og justering'!D81</f>
        <v>0</v>
      </c>
      <c r="P83" s="204">
        <f>VLOOKUP(C83,'Manuell filtrering og justering'!$A$7:$G$97,'Manuell filtrering og justering'!$G$1,FALSE)</f>
        <v>3</v>
      </c>
      <c r="Q83" s="205">
        <f t="shared" ref="Q83:Q86" si="77">IF(SUM(L83:O83)&gt;K83,K83,SUM(L83:O83))</f>
        <v>0</v>
      </c>
      <c r="R83" s="206">
        <f>IF($S$4='Manuell filtrering og justering'!$I$2,P83,(K83-Q83))</f>
        <v>3</v>
      </c>
      <c r="T83" s="207">
        <f>(Pol_Weight/Pol_Credits)*Pol02_credits</f>
        <v>1.846153846153846E-2</v>
      </c>
      <c r="U83" s="207">
        <f>IFERROR((Pol02_26/Pol02_credits)*Pol02_user,0)</f>
        <v>0</v>
      </c>
      <c r="W83" s="259">
        <f>IF(VLOOKUP(D83,'Pre-Assessment Estimator'!$C$10:$W$100,'Pre-Assessment Estimator'!$E$2,FALSE)&gt;R83,R83,VLOOKUP(D83,'Pre-Assessment Estimator'!$C$10:$W$100,'Pre-Assessment Estimator'!$E$2,FALSE))*BU83</f>
        <v>0</v>
      </c>
      <c r="X83" s="208">
        <f>IF(VLOOKUP(D83,'Pre-Assessment Estimator'!$C$10:$W$100,'Pre-Assessment Estimator'!$L$2,FALSE)&gt;R83,R83,VLOOKUP(D83,'Pre-Assessment Estimator'!$C$10:$W$100,'Pre-Assessment Estimator'!$L$2,FALSE))*BU83</f>
        <v>0</v>
      </c>
      <c r="Y83" s="208">
        <f>IF(VLOOKUP(D83,'Pre-Assessment Estimator'!$C$10:$W$100,'Pre-Assessment Estimator'!$R$2,FALSE)&gt;R83,R83,VLOOKUP(D83,'Pre-Assessment Estimator'!$C$10:$W$100,'Pre-Assessment Estimator'!$R$2,FALSE))*BU83</f>
        <v>0</v>
      </c>
      <c r="Z83" s="106" t="s">
        <v>546</v>
      </c>
      <c r="AA83" s="361"/>
      <c r="AB83" s="362"/>
      <c r="AC83" s="362"/>
      <c r="AD83" s="362"/>
      <c r="AE83" s="363"/>
      <c r="AF83" s="169"/>
      <c r="AG83" s="361"/>
      <c r="AH83" s="362"/>
      <c r="AI83" s="362"/>
      <c r="AJ83" s="362"/>
      <c r="AK83" s="363"/>
      <c r="AM83" s="226"/>
      <c r="AN83" s="227"/>
      <c r="AO83" s="227"/>
      <c r="AP83" s="227"/>
      <c r="AQ83" s="228">
        <f t="shared" si="64"/>
        <v>0</v>
      </c>
      <c r="AR83" s="220">
        <f t="shared" si="73"/>
        <v>9</v>
      </c>
      <c r="AS83" s="203" t="str">
        <f>VLOOKUP(AR83,$BB$8:$BC$14,2,FALSE)</f>
        <v>N/A</v>
      </c>
      <c r="AT83" s="223"/>
      <c r="AU83" s="220">
        <f>IF(AQ83=0,9,IF(X83&gt;=AQ83,5,IF(X83&gt;=AP83,4,IF(X83&gt;=AO83,3,IF(X83&gt;=AN83,2,IF(X83&lt;AM83,0,1))))))</f>
        <v>9</v>
      </c>
      <c r="AV83" s="203" t="str">
        <f>VLOOKUP(AU83,$BB$8:$BC$14,2,FALSE)</f>
        <v>N/A</v>
      </c>
      <c r="AW83" s="223"/>
      <c r="AX83" s="220">
        <f t="shared" si="67"/>
        <v>9</v>
      </c>
      <c r="AY83" s="203" t="str">
        <f>VLOOKUP(AX83,$BB$8:$BC$14,2,FALSE)</f>
        <v>N/A</v>
      </c>
      <c r="AZ83" s="223"/>
      <c r="BK83" s="203" t="str">
        <f t="shared" si="76"/>
        <v>POL 02</v>
      </c>
      <c r="BL83" s="203" t="str">
        <f>IFERROR(VLOOKUP($D83,'Pre-Assessment Estimator'!$C$10:$X$100,'Pre-Assessment Estimator'!X$2,FALSE),"")</f>
        <v>No</v>
      </c>
      <c r="BM83" s="278" t="str">
        <f>IFERROR(VLOOKUP($D83,'Pre-Assessment Estimator'!$C$10:$AE$100,'Pre-Assessment Estimator'!AE$2,FALSE),"")</f>
        <v>Ja</v>
      </c>
      <c r="BN83" s="203">
        <f t="shared" si="69"/>
        <v>1</v>
      </c>
      <c r="BO83" s="862" t="s">
        <v>551</v>
      </c>
      <c r="BP83" s="203"/>
      <c r="BQ83" s="106" t="str">
        <f t="shared" si="71"/>
        <v/>
      </c>
      <c r="BR83" s="106" t="s">
        <v>557</v>
      </c>
      <c r="BS83" s="203">
        <f>VLOOKUP(BO83,$BO$3:$BP$4,2,FALSE)</f>
        <v>1</v>
      </c>
      <c r="BU83" s="863">
        <f>IF($BL$4=ais_no,BS83,IF(AND(BO83=$BO$3,BL83=$BQ$3),0,BN83))</f>
        <v>1</v>
      </c>
    </row>
    <row r="84" spans="1:73" x14ac:dyDescent="0.25">
      <c r="A84" s="106">
        <v>77</v>
      </c>
      <c r="C84" s="202" t="s">
        <v>203</v>
      </c>
      <c r="D84" s="203" t="s">
        <v>179</v>
      </c>
      <c r="E84" s="216">
        <v>5</v>
      </c>
      <c r="F84" s="216">
        <v>5</v>
      </c>
      <c r="G84" s="216">
        <v>5</v>
      </c>
      <c r="H84" s="216">
        <v>5</v>
      </c>
      <c r="I84" s="217">
        <v>5</v>
      </c>
      <c r="K84" s="266">
        <f t="shared" si="75"/>
        <v>5</v>
      </c>
      <c r="L84" s="202"/>
      <c r="M84" s="203"/>
      <c r="N84" s="203"/>
      <c r="O84" s="203">
        <f>'Manuell filtrering og justering'!D82</f>
        <v>0</v>
      </c>
      <c r="P84" s="204">
        <f>VLOOKUP(C84,'Manuell filtrering og justering'!$A$7:$G$97,'Manuell filtrering og justering'!$G$1,FALSE)</f>
        <v>5</v>
      </c>
      <c r="Q84" s="205">
        <f t="shared" si="77"/>
        <v>0</v>
      </c>
      <c r="R84" s="206">
        <f>IF($S$4='Manuell filtrering og justering'!$I$2,P84,(K84-Q84))</f>
        <v>5</v>
      </c>
      <c r="T84" s="207">
        <f>(Pol_Weight/Pol_Credits)*Pol03_credits</f>
        <v>3.0769230769230771E-2</v>
      </c>
      <c r="U84" s="207">
        <f>(Pol03_14/Pol03_credits)*Pol03_user</f>
        <v>0</v>
      </c>
      <c r="W84" s="259">
        <f>IF(VLOOKUP(D84,'Pre-Assessment Estimator'!$C$10:$W$100,'Pre-Assessment Estimator'!$E$2,FALSE)&gt;R84,R84,VLOOKUP(D84,'Pre-Assessment Estimator'!$C$10:$W$100,'Pre-Assessment Estimator'!$E$2,FALSE))</f>
        <v>0</v>
      </c>
      <c r="X84" s="208">
        <f>IF(VLOOKUP(D84,'Pre-Assessment Estimator'!$C$10:$W$100,'Pre-Assessment Estimator'!$L$2,FALSE)&gt;R84,R84,VLOOKUP(D84,'Pre-Assessment Estimator'!$C$10:$W$100,'Pre-Assessment Estimator'!$L$2,FALSE))</f>
        <v>0</v>
      </c>
      <c r="Y84" s="208">
        <f>IF(VLOOKUP(D84,'Pre-Assessment Estimator'!$C$10:$W$100,'Pre-Assessment Estimator'!$R$2,FALSE)&gt;R84,R84,VLOOKUP(D84,'Pre-Assessment Estimator'!$C$10:$W$100,'Pre-Assessment Estimator'!$R$2,FALSE))</f>
        <v>0</v>
      </c>
      <c r="AA84" s="361"/>
      <c r="AB84" s="362"/>
      <c r="AC84" s="362"/>
      <c r="AD84" s="362"/>
      <c r="AE84" s="363"/>
      <c r="AF84" s="169"/>
      <c r="AG84" s="361"/>
      <c r="AH84" s="362"/>
      <c r="AI84" s="362"/>
      <c r="AJ84" s="362"/>
      <c r="AK84" s="363"/>
      <c r="AM84" s="226"/>
      <c r="AN84" s="227"/>
      <c r="AO84" s="227"/>
      <c r="AP84" s="227"/>
      <c r="AQ84" s="228">
        <f t="shared" si="64"/>
        <v>0</v>
      </c>
      <c r="AR84" s="220">
        <f t="shared" si="73"/>
        <v>9</v>
      </c>
      <c r="AS84" s="203" t="str">
        <f>VLOOKUP(AR84,$BB$8:$BC$14,2,FALSE)</f>
        <v>N/A</v>
      </c>
      <c r="AT84" s="223"/>
      <c r="AU84" s="220">
        <f>IF(AQ84=0,9,IF(X84&gt;=AQ84,5,IF(X84&gt;=AP84,4,IF(X84&gt;=AO84,3,IF(X84&gt;=AN84,2,IF(X84&lt;AM84,0,1))))))</f>
        <v>9</v>
      </c>
      <c r="AV84" s="203" t="str">
        <f>VLOOKUP(AU84,$BB$8:$BC$14,2,FALSE)</f>
        <v>N/A</v>
      </c>
      <c r="AW84" s="223"/>
      <c r="AX84" s="220">
        <f t="shared" si="67"/>
        <v>9</v>
      </c>
      <c r="AY84" s="203" t="str">
        <f>VLOOKUP(AX84,$BB$8:$BC$14,2,FALSE)</f>
        <v>N/A</v>
      </c>
      <c r="AZ84" s="223"/>
      <c r="BK84" s="203" t="str">
        <f t="shared" si="76"/>
        <v>POL 03</v>
      </c>
      <c r="BL84" s="203" t="str">
        <f>IFERROR(VLOOKUP($D84,'Pre-Assessment Estimator'!$C$10:$X$100,'Pre-Assessment Estimator'!X$2,FALSE),"")</f>
        <v>N/A</v>
      </c>
      <c r="BM84" s="203">
        <f>IFERROR(VLOOKUP($D84,'Pre-Assessment Estimator'!$C$10:$AE$100,'Pre-Assessment Estimator'!AE$2,FALSE),"")</f>
        <v>0</v>
      </c>
      <c r="BN84" s="203">
        <f t="shared" si="69"/>
        <v>1</v>
      </c>
      <c r="BO84" s="203">
        <f t="shared" si="70"/>
        <v>0</v>
      </c>
      <c r="BP84" s="203"/>
      <c r="BQ84" s="106" t="str">
        <f t="shared" si="71"/>
        <v/>
      </c>
    </row>
    <row r="85" spans="1:73" x14ac:dyDescent="0.25">
      <c r="A85" s="106">
        <v>78</v>
      </c>
      <c r="C85" s="202" t="s">
        <v>204</v>
      </c>
      <c r="D85" s="203" t="s">
        <v>180</v>
      </c>
      <c r="E85" s="216">
        <v>1</v>
      </c>
      <c r="F85" s="216">
        <v>1</v>
      </c>
      <c r="G85" s="216">
        <v>1</v>
      </c>
      <c r="H85" s="216">
        <v>1</v>
      </c>
      <c r="I85" s="217">
        <v>1</v>
      </c>
      <c r="K85" s="266">
        <f t="shared" si="75"/>
        <v>1</v>
      </c>
      <c r="L85" s="202"/>
      <c r="M85" s="203"/>
      <c r="N85" s="203"/>
      <c r="O85" s="203">
        <f>'Manuell filtrering og justering'!D83</f>
        <v>0</v>
      </c>
      <c r="P85" s="204">
        <f>VLOOKUP(C85,'Manuell filtrering og justering'!$A$7:$G$97,'Manuell filtrering og justering'!$G$1,FALSE)</f>
        <v>1</v>
      </c>
      <c r="Q85" s="205">
        <f t="shared" si="77"/>
        <v>0</v>
      </c>
      <c r="R85" s="206">
        <f>IF($S$4='Manuell filtrering og justering'!$I$2,P85,(K85-Q85))</f>
        <v>1</v>
      </c>
      <c r="T85" s="207">
        <f>(Pol_Weight/Pol_Credits)*Pol04_credits</f>
        <v>6.1538461538461538E-3</v>
      </c>
      <c r="U85" s="207">
        <f>(Pol04_05/Pol04_credits)*Pol04_user</f>
        <v>0</v>
      </c>
      <c r="W85" s="259">
        <f>IF(VLOOKUP(D85,'Pre-Assessment Estimator'!$C$10:$W$100,'Pre-Assessment Estimator'!$E$2,FALSE)&gt;R85,R85,VLOOKUP(D85,'Pre-Assessment Estimator'!$C$10:$W$100,'Pre-Assessment Estimator'!$E$2,FALSE))*BU85</f>
        <v>0</v>
      </c>
      <c r="X85" s="208">
        <f>IF(VLOOKUP(D85,'Pre-Assessment Estimator'!$C$10:$W$100,'Pre-Assessment Estimator'!$L$2,FALSE)&gt;R85,R85,VLOOKUP(D85,'Pre-Assessment Estimator'!$C$10:$W$100,'Pre-Assessment Estimator'!$L$2,FALSE))*BU85</f>
        <v>0</v>
      </c>
      <c r="Y85" s="208">
        <f>IF(VLOOKUP(D85,'Pre-Assessment Estimator'!$C$10:$W$100,'Pre-Assessment Estimator'!$R$2,FALSE)&gt;R85,R85,VLOOKUP(D85,'Pre-Assessment Estimator'!$C$10:$W$100,'Pre-Assessment Estimator'!$R$2,FALSE))*BU85</f>
        <v>0</v>
      </c>
      <c r="Z85" s="106" t="s">
        <v>546</v>
      </c>
      <c r="AA85" s="361"/>
      <c r="AB85" s="362"/>
      <c r="AC85" s="362"/>
      <c r="AD85" s="362"/>
      <c r="AE85" s="363"/>
      <c r="AF85" s="169"/>
      <c r="AG85" s="361"/>
      <c r="AH85" s="362"/>
      <c r="AI85" s="362"/>
      <c r="AJ85" s="362"/>
      <c r="AK85" s="363"/>
      <c r="AM85" s="226"/>
      <c r="AN85" s="227"/>
      <c r="AO85" s="227"/>
      <c r="AP85" s="227"/>
      <c r="AQ85" s="228">
        <f t="shared" si="64"/>
        <v>0</v>
      </c>
      <c r="AR85" s="220">
        <f t="shared" si="73"/>
        <v>9</v>
      </c>
      <c r="AS85" s="203" t="str">
        <f>VLOOKUP(AR85,$BB$8:$BC$14,2,FALSE)</f>
        <v>N/A</v>
      </c>
      <c r="AT85" s="223"/>
      <c r="AU85" s="220">
        <f>IF(AQ85=0,9,IF(X85&gt;=AQ85,5,IF(X85&gt;=AP85,4,IF(X85&gt;=AO85,3,IF(X85&gt;=AN85,2,IF(X85&lt;AM85,0,1))))))</f>
        <v>9</v>
      </c>
      <c r="AV85" s="203" t="str">
        <f>VLOOKUP(AU85,$BB$8:$BC$14,2,FALSE)</f>
        <v>N/A</v>
      </c>
      <c r="AW85" s="223"/>
      <c r="AX85" s="220">
        <f t="shared" si="67"/>
        <v>9</v>
      </c>
      <c r="AY85" s="203" t="str">
        <f>VLOOKUP(AX85,$BB$8:$BC$14,2,FALSE)</f>
        <v>N/A</v>
      </c>
      <c r="AZ85" s="223"/>
      <c r="BK85" s="203" t="str">
        <f t="shared" si="76"/>
        <v>POL 04</v>
      </c>
      <c r="BL85" s="203" t="str">
        <f>IFERROR(VLOOKUP($D85,'Pre-Assessment Estimator'!$C$10:$X$100,'Pre-Assessment Estimator'!X$2,FALSE),"")</f>
        <v>No</v>
      </c>
      <c r="BM85" s="278" t="str">
        <f>IFERROR(VLOOKUP($D85,'Pre-Assessment Estimator'!$C$10:$AE$100,'Pre-Assessment Estimator'!AE$2,FALSE),"")</f>
        <v>Ja</v>
      </c>
      <c r="BN85" s="203">
        <f t="shared" si="69"/>
        <v>1</v>
      </c>
      <c r="BO85" s="862" t="s">
        <v>551</v>
      </c>
      <c r="BP85" s="203"/>
      <c r="BQ85" s="106" t="str">
        <f t="shared" si="71"/>
        <v/>
      </c>
      <c r="BR85" s="106" t="s">
        <v>557</v>
      </c>
      <c r="BS85" s="203">
        <f>VLOOKUP(BO85,$BO$3:$BP$4,2,FALSE)</f>
        <v>1</v>
      </c>
      <c r="BU85" s="863">
        <f>IF($BL$4=ais_no,BS85,IF(AND(BO85=$BO$3,BL85=$BQ$3),0,BN85))</f>
        <v>1</v>
      </c>
    </row>
    <row r="86" spans="1:73" ht="15.75" thickBot="1" x14ac:dyDescent="0.3">
      <c r="A86" s="106">
        <v>79</v>
      </c>
      <c r="C86" s="202" t="s">
        <v>205</v>
      </c>
      <c r="D86" s="203" t="s">
        <v>183</v>
      </c>
      <c r="E86" s="216">
        <v>1</v>
      </c>
      <c r="F86" s="216">
        <v>1</v>
      </c>
      <c r="G86" s="216"/>
      <c r="H86" s="350">
        <v>1</v>
      </c>
      <c r="I86" s="217">
        <v>1</v>
      </c>
      <c r="K86" s="266">
        <f t="shared" si="75"/>
        <v>1</v>
      </c>
      <c r="L86" s="202"/>
      <c r="M86" s="203"/>
      <c r="N86" s="203"/>
      <c r="O86" s="203">
        <f>'Manuell filtrering og justering'!D84</f>
        <v>0</v>
      </c>
      <c r="P86" s="204">
        <f>VLOOKUP(C86,'Manuell filtrering og justering'!$A$7:$G$97,'Manuell filtrering og justering'!$G$1,FALSE)</f>
        <v>1</v>
      </c>
      <c r="Q86" s="205">
        <f t="shared" si="77"/>
        <v>0</v>
      </c>
      <c r="R86" s="206">
        <f>IF($S$4='Manuell filtrering og justering'!$I$2,P86,(K86-Q86))</f>
        <v>1</v>
      </c>
      <c r="T86" s="207">
        <f>(Pol_Weight/Pol_Credits)*Pol05_credits</f>
        <v>6.1538461538461538E-3</v>
      </c>
      <c r="U86" s="207">
        <f>IFERROR((Pol05_10/Pol05_credits)*Pol05_user,0)</f>
        <v>0</v>
      </c>
      <c r="W86" s="259">
        <f>IF(VLOOKUP(D86,'Pre-Assessment Estimator'!$C$10:$W$100,'Pre-Assessment Estimator'!$E$2,FALSE)&gt;R86,R86,VLOOKUP(D86,'Pre-Assessment Estimator'!$C$10:$W$100,'Pre-Assessment Estimator'!$E$2,FALSE))*BU86</f>
        <v>0</v>
      </c>
      <c r="X86" s="208">
        <f>IF(VLOOKUP(D86,'Pre-Assessment Estimator'!$C$10:$W$100,'Pre-Assessment Estimator'!$L$2,FALSE)&gt;R86,R86,VLOOKUP(D86,'Pre-Assessment Estimator'!$C$10:$W$100,'Pre-Assessment Estimator'!$L$2,FALSE))*BU86</f>
        <v>0</v>
      </c>
      <c r="Y86" s="208">
        <f>IF(VLOOKUP(D86,'Pre-Assessment Estimator'!$C$10:$W$100,'Pre-Assessment Estimator'!$R$2,FALSE)&gt;R86,R86,VLOOKUP(D86,'Pre-Assessment Estimator'!$C$10:$W$100,'Pre-Assessment Estimator'!$R$2,FALSE))*BU86</f>
        <v>0</v>
      </c>
      <c r="Z86" s="106" t="s">
        <v>546</v>
      </c>
      <c r="AA86" s="364"/>
      <c r="AB86" s="365"/>
      <c r="AC86" s="365"/>
      <c r="AD86" s="365"/>
      <c r="AE86" s="366"/>
      <c r="AF86" s="169"/>
      <c r="AG86" s="364"/>
      <c r="AH86" s="365"/>
      <c r="AI86" s="365"/>
      <c r="AJ86" s="365"/>
      <c r="AK86" s="366"/>
      <c r="AM86" s="237"/>
      <c r="AN86" s="239"/>
      <c r="AO86" s="239"/>
      <c r="AP86" s="239"/>
      <c r="AQ86" s="240">
        <f t="shared" si="64"/>
        <v>0</v>
      </c>
      <c r="AR86" s="241">
        <f t="shared" si="73"/>
        <v>9</v>
      </c>
      <c r="AS86" s="242" t="str">
        <f>VLOOKUP(AR86,$BB$8:$BC$14,2,FALSE)</f>
        <v>N/A</v>
      </c>
      <c r="AT86" s="243"/>
      <c r="AU86" s="241">
        <f>IF(AQ86=0,9,IF(X86&gt;=AQ86,5,IF(X86&gt;=AP86,4,IF(X86&gt;=AO86,3,IF(X86&gt;=AN86,2,IF(X86&lt;AM86,0,1))))))</f>
        <v>9</v>
      </c>
      <c r="AV86" s="242" t="str">
        <f>VLOOKUP(AU86,$BB$8:$BC$14,2,FALSE)</f>
        <v>N/A</v>
      </c>
      <c r="AW86" s="243"/>
      <c r="AX86" s="241">
        <f t="shared" si="67"/>
        <v>9</v>
      </c>
      <c r="AY86" s="242" t="str">
        <f>VLOOKUP(AX86,$BB$8:$BC$14,2,FALSE)</f>
        <v>N/A</v>
      </c>
      <c r="AZ86" s="243"/>
      <c r="BK86" s="203" t="str">
        <f t="shared" si="76"/>
        <v>POL 05</v>
      </c>
      <c r="BL86" s="203" t="str">
        <f>IFERROR(VLOOKUP($D86,'Pre-Assessment Estimator'!$C$10:$X$100,'Pre-Assessment Estimator'!X$2,FALSE),"")</f>
        <v>No</v>
      </c>
      <c r="BM86" s="278" t="str">
        <f>IFERROR(VLOOKUP($D86,'Pre-Assessment Estimator'!$C$10:$AE$100,'Pre-Assessment Estimator'!AE$2,FALSE),"")</f>
        <v>Ja</v>
      </c>
      <c r="BN86" s="203">
        <f t="shared" si="69"/>
        <v>1</v>
      </c>
      <c r="BO86" s="862" t="s">
        <v>551</v>
      </c>
      <c r="BP86" s="203"/>
      <c r="BQ86" s="106" t="str">
        <f t="shared" si="71"/>
        <v/>
      </c>
      <c r="BR86" s="106" t="s">
        <v>524</v>
      </c>
      <c r="BS86" s="203">
        <f>VLOOKUP(BO86,$BO$3:$BP$4,2,FALSE)</f>
        <v>1</v>
      </c>
      <c r="BU86" s="863">
        <f>IF($BL$4=ais_no,BS86,IF(AND(BO86=$BO$3,BL86=$BQ$3),0,BN86))</f>
        <v>1</v>
      </c>
    </row>
    <row r="87" spans="1:73" ht="15.75" thickBot="1" x14ac:dyDescent="0.3">
      <c r="A87" s="106">
        <v>80</v>
      </c>
      <c r="C87" s="244"/>
      <c r="D87" s="245" t="s">
        <v>230</v>
      </c>
      <c r="E87" s="245">
        <f>SUM(E82:E86)</f>
        <v>13</v>
      </c>
      <c r="F87" s="245">
        <f>SUM(F82:F86)</f>
        <v>13</v>
      </c>
      <c r="G87" s="245">
        <f>SUM(G82:G86)</f>
        <v>12</v>
      </c>
      <c r="H87" s="245">
        <f>SUM(H82:H86)</f>
        <v>13</v>
      </c>
      <c r="I87" s="246">
        <f>SUM(I82:I86)</f>
        <v>13</v>
      </c>
      <c r="K87" s="272">
        <f t="shared" si="75"/>
        <v>13</v>
      </c>
      <c r="L87" s="248"/>
      <c r="M87" s="249"/>
      <c r="N87" s="249"/>
      <c r="O87" s="249"/>
      <c r="P87" s="250"/>
      <c r="Q87" s="251">
        <f>SUM(Q82:Q86)</f>
        <v>0</v>
      </c>
      <c r="R87" s="273">
        <f>SUM(R82:R86)</f>
        <v>13</v>
      </c>
      <c r="T87" s="253">
        <f>SUM(T82:T86)</f>
        <v>7.9999999999999988E-2</v>
      </c>
      <c r="U87" s="253">
        <f>SUM(U82:U86)</f>
        <v>0</v>
      </c>
      <c r="W87" s="47">
        <f>SUM(W82:W86)</f>
        <v>0</v>
      </c>
      <c r="X87" s="47">
        <f t="shared" ref="X87:Y87" si="78">SUM(X82:X86)</f>
        <v>0</v>
      </c>
      <c r="Y87" s="47">
        <f t="shared" si="78"/>
        <v>0</v>
      </c>
      <c r="AA87" s="169"/>
      <c r="AB87" s="169"/>
      <c r="AC87" s="169"/>
      <c r="AD87" s="169"/>
      <c r="AE87" s="169"/>
      <c r="AF87" s="169"/>
      <c r="AG87" s="169"/>
      <c r="AH87" s="169"/>
      <c r="AI87" s="169"/>
      <c r="AJ87" s="169"/>
      <c r="AK87" s="169"/>
      <c r="AM87" s="107"/>
      <c r="AN87" s="254"/>
      <c r="AO87" s="107"/>
      <c r="AP87" s="107"/>
      <c r="AQ87" s="107"/>
      <c r="BK87" s="245"/>
      <c r="BL87" s="245" t="str">
        <f>IFERROR(VLOOKUP($D87,'Pre-Assessment Estimator'!$C$10:$X$100,'Pre-Assessment Estimator'!X$2,FALSE),"")</f>
        <v/>
      </c>
      <c r="BM87" s="245" t="str">
        <f>IFERROR(VLOOKUP($D87,'Pre-Assessment Estimator'!$C$10:$AE$100,'Pre-Assessment Estimator'!AE$2,FALSE),"")</f>
        <v/>
      </c>
      <c r="BN87" s="245" t="str">
        <f t="shared" si="69"/>
        <v/>
      </c>
      <c r="BO87" s="245" t="str">
        <f t="shared" si="70"/>
        <v/>
      </c>
      <c r="BP87" s="245"/>
      <c r="BQ87" s="106" t="str">
        <f t="shared" si="71"/>
        <v/>
      </c>
    </row>
    <row r="88" spans="1:73" ht="15.75" thickBot="1" x14ac:dyDescent="0.3">
      <c r="A88" s="106">
        <v>81</v>
      </c>
      <c r="W88" s="3"/>
      <c r="X88" s="3"/>
      <c r="Y88" s="3"/>
      <c r="AA88" s="169"/>
      <c r="AB88" s="169"/>
      <c r="AC88" s="169"/>
      <c r="AD88" s="169"/>
      <c r="AE88" s="169"/>
      <c r="AF88" s="169"/>
      <c r="AG88" s="169"/>
      <c r="AH88" s="169"/>
      <c r="AI88" s="169"/>
      <c r="AJ88" s="169"/>
      <c r="AK88" s="169"/>
      <c r="AM88" s="107"/>
      <c r="AN88" s="107"/>
      <c r="AO88" s="107"/>
      <c r="AP88" s="107"/>
      <c r="AQ88" s="107"/>
      <c r="BL88" s="106" t="str">
        <f>IFERROR(VLOOKUP($D88,'Pre-Assessment Estimator'!$C$10:$X$100,'Pre-Assessment Estimator'!X$2,FALSE),"")</f>
        <v/>
      </c>
      <c r="BM88" s="106" t="str">
        <f>IFERROR(VLOOKUP($D88,'Pre-Assessment Estimator'!$C$10:$AE$100,'Pre-Assessment Estimator'!AE$2,FALSE),"")</f>
        <v/>
      </c>
      <c r="BN88" s="106" t="str">
        <f t="shared" si="69"/>
        <v/>
      </c>
      <c r="BO88" s="106" t="str">
        <f t="shared" si="70"/>
        <v/>
      </c>
      <c r="BQ88" s="106" t="str">
        <f t="shared" si="71"/>
        <v/>
      </c>
    </row>
    <row r="89" spans="1:73" ht="15.75" thickBot="1" x14ac:dyDescent="0.3">
      <c r="A89" s="106">
        <v>82</v>
      </c>
      <c r="C89" s="176"/>
      <c r="D89" s="177" t="s">
        <v>244</v>
      </c>
      <c r="E89" s="178" t="str">
        <f>$E$8</f>
        <v>Office</v>
      </c>
      <c r="F89" s="178" t="str">
        <f>$F$8</f>
        <v>Retail</v>
      </c>
      <c r="G89" s="178" t="str">
        <f>$G$8</f>
        <v>Residential</v>
      </c>
      <c r="H89" s="178" t="str">
        <f>$H$8</f>
        <v>Industrial</v>
      </c>
      <c r="I89" s="179" t="str">
        <f>$I$8</f>
        <v>Education</v>
      </c>
      <c r="K89" s="168" t="str">
        <f>$D$5</f>
        <v>Office</v>
      </c>
      <c r="L89" s="255"/>
      <c r="M89" s="256"/>
      <c r="N89" s="256"/>
      <c r="O89" s="256"/>
      <c r="P89" s="444" t="s">
        <v>405</v>
      </c>
      <c r="Q89" s="183" t="s">
        <v>230</v>
      </c>
      <c r="R89" s="168"/>
      <c r="W89" s="44"/>
      <c r="X89" s="64"/>
      <c r="Y89" s="64"/>
      <c r="AA89" s="169"/>
      <c r="AB89" s="169"/>
      <c r="AC89" s="169"/>
      <c r="AD89" s="169"/>
      <c r="AE89" s="169"/>
      <c r="AF89" s="169"/>
      <c r="AG89" s="169"/>
      <c r="AH89" s="169"/>
      <c r="AI89" s="169"/>
      <c r="AJ89" s="169"/>
      <c r="AK89" s="169"/>
      <c r="AM89" s="107"/>
      <c r="AN89" s="107"/>
      <c r="AO89" s="107"/>
      <c r="AP89" s="107"/>
      <c r="AQ89" s="107"/>
      <c r="BK89" s="177"/>
      <c r="BL89" s="177" t="str">
        <f>D89</f>
        <v>BREEAM innovation credits</v>
      </c>
      <c r="BM89" s="177" t="str">
        <f>IFERROR(VLOOKUP($D89,'Pre-Assessment Estimator'!$C$10:$AE$100,'Pre-Assessment Estimator'!AE$2,FALSE),"")</f>
        <v/>
      </c>
      <c r="BN89" s="177" t="str">
        <f t="shared" si="69"/>
        <v/>
      </c>
      <c r="BO89" s="177" t="str">
        <f t="shared" si="70"/>
        <v/>
      </c>
      <c r="BP89" s="177"/>
      <c r="BQ89" s="106" t="str">
        <f t="shared" si="71"/>
        <v/>
      </c>
    </row>
    <row r="90" spans="1:73" x14ac:dyDescent="0.25">
      <c r="A90" s="106">
        <v>83</v>
      </c>
      <c r="C90" s="197" t="s">
        <v>206</v>
      </c>
      <c r="D90" s="198" t="str">
        <f t="shared" ref="D90:D92" si="79">C90&amp;" - "&amp;D109</f>
        <v>Inn 01 - Man 05 Aftercare</v>
      </c>
      <c r="E90" s="199">
        <v>1</v>
      </c>
      <c r="F90" s="199">
        <v>1</v>
      </c>
      <c r="G90" s="199">
        <v>1</v>
      </c>
      <c r="H90" s="199">
        <v>1</v>
      </c>
      <c r="I90" s="200">
        <v>1</v>
      </c>
      <c r="K90" s="257">
        <f t="shared" ref="K90:K99" si="80">HLOOKUP($D$5,$E$8:$I$99,$A90,FALSE)</f>
        <v>1</v>
      </c>
      <c r="L90" s="202"/>
      <c r="M90" s="203"/>
      <c r="N90" s="203"/>
      <c r="O90" s="203">
        <f>'Manuell filtrering og justering'!D88</f>
        <v>0</v>
      </c>
      <c r="P90" s="204">
        <f>VLOOKUP(C90,'Manuell filtrering og justering'!$A$7:$G$97,'Manuell filtrering og justering'!$G$1,FALSE)</f>
        <v>1</v>
      </c>
      <c r="Q90" s="205">
        <f>IF(SUM(L90:O90)&gt;K90,K90,SUM(L90:O90))</f>
        <v>0</v>
      </c>
      <c r="R90" s="206">
        <f>IF($S$4='Manuell filtrering og justering'!$I$2,P90,(K90-Q90))</f>
        <v>1</v>
      </c>
      <c r="T90" s="207">
        <f>(Inn_Weight/Inn_Credits)*Inn01_credits</f>
        <v>0.01</v>
      </c>
      <c r="U90" s="207">
        <f>(T90/Inn01_credits)*Inn01_user</f>
        <v>0</v>
      </c>
      <c r="W90" s="259">
        <f>IF(VLOOKUP(D90,'Pre-Assessment Estimator'!$C$10:$W$100,'Pre-Assessment Estimator'!$E$2,FALSE)&gt;R90,R90,VLOOKUP(D90,'Pre-Assessment Estimator'!$C$10:$W$100,'Pre-Assessment Estimator'!$E$2,FALSE))</f>
        <v>0</v>
      </c>
      <c r="X90" s="208">
        <f>IF(VLOOKUP(D90,'Pre-Assessment Estimator'!$C$10:$W$100,'Pre-Assessment Estimator'!$L$2,FALSE)&gt;R90,R90,VLOOKUP(D90,'Pre-Assessment Estimator'!$C$10:$W$100,'Pre-Assessment Estimator'!$L$2,FALSE))</f>
        <v>0</v>
      </c>
      <c r="Y90" s="208">
        <f>IF(VLOOKUP(D90,'Pre-Assessment Estimator'!$C$10:$W$100,'Pre-Assessment Estimator'!$R$2,FALSE)&gt;R90,R90,VLOOKUP(D90,'Pre-Assessment Estimator'!$C$10:$W$100,'Pre-Assessment Estimator'!$R$2,FALSE))</f>
        <v>0</v>
      </c>
      <c r="AA90" s="367"/>
      <c r="AB90" s="368"/>
      <c r="AC90" s="368"/>
      <c r="AD90" s="368"/>
      <c r="AE90" s="369"/>
      <c r="AF90" s="169"/>
      <c r="AG90" s="367"/>
      <c r="AH90" s="368"/>
      <c r="AI90" s="368"/>
      <c r="AJ90" s="368"/>
      <c r="AK90" s="369"/>
      <c r="AM90" s="263"/>
      <c r="AN90" s="264"/>
      <c r="AO90" s="264"/>
      <c r="AP90" s="264"/>
      <c r="AQ90" s="265">
        <f t="shared" si="64"/>
        <v>0</v>
      </c>
      <c r="AR90" s="211">
        <f t="shared" si="73"/>
        <v>9</v>
      </c>
      <c r="AS90" s="214" t="str">
        <f t="shared" ref="AS90:AS98" si="81">VLOOKUP(AR90,$BB$8:$BC$14,2,FALSE)</f>
        <v>N/A</v>
      </c>
      <c r="AT90" s="215"/>
      <c r="AU90" s="211">
        <f t="shared" ref="AU90:AU98" si="82">IF(AQ90=0,9,IF(X90&gt;=AQ90,5,IF(X90&gt;=AP90,4,IF(X90&gt;=AO90,3,IF(X90&gt;=AN90,2,IF(X90&lt;AM90,0,1))))))</f>
        <v>9</v>
      </c>
      <c r="AV90" s="214" t="str">
        <f t="shared" ref="AV90:AV98" si="83">VLOOKUP(AU90,$BB$8:$BC$14,2,FALSE)</f>
        <v>N/A</v>
      </c>
      <c r="AW90" s="215"/>
      <c r="AX90" s="211">
        <f t="shared" si="67"/>
        <v>9</v>
      </c>
      <c r="AY90" s="214" t="str">
        <f t="shared" ref="AY90:AY98" si="84">VLOOKUP(AX90,$BB$8:$BC$14,2,FALSE)</f>
        <v>N/A</v>
      </c>
      <c r="AZ90" s="215"/>
      <c r="BK90" s="198" t="str">
        <f t="shared" ref="BK90:BK98" si="85">C90</f>
        <v>Inn 01</v>
      </c>
      <c r="BL90" s="198" t="str">
        <f>IFERROR(VLOOKUP($D90,'Pre-Assessment Estimator'!$C$10:$X$100,'Pre-Assessment Estimator'!X$2,FALSE),"")</f>
        <v>N/A</v>
      </c>
      <c r="BM90" s="198">
        <f>IFERROR(VLOOKUP($D90,'Pre-Assessment Estimator'!$C$10:$AE$100,'Pre-Assessment Estimator'!AE$2,FALSE),"")</f>
        <v>0</v>
      </c>
      <c r="BN90" s="198">
        <f t="shared" si="69"/>
        <v>1</v>
      </c>
      <c r="BO90" s="198">
        <f t="shared" si="70"/>
        <v>0</v>
      </c>
      <c r="BP90" s="198"/>
      <c r="BQ90" s="106" t="str">
        <f t="shared" si="71"/>
        <v/>
      </c>
    </row>
    <row r="91" spans="1:73" x14ac:dyDescent="0.25">
      <c r="A91" s="106">
        <v>84</v>
      </c>
      <c r="C91" s="202" t="s">
        <v>207</v>
      </c>
      <c r="D91" s="203" t="str">
        <f t="shared" si="79"/>
        <v>Inn 02 - Hea 02 Indoor air quality</v>
      </c>
      <c r="E91" s="216">
        <v>1</v>
      </c>
      <c r="F91" s="216">
        <v>1</v>
      </c>
      <c r="G91" s="216">
        <v>1</v>
      </c>
      <c r="H91" s="216">
        <v>1</v>
      </c>
      <c r="I91" s="217">
        <v>1</v>
      </c>
      <c r="K91" s="266">
        <f t="shared" si="80"/>
        <v>1</v>
      </c>
      <c r="L91" s="202"/>
      <c r="M91" s="203"/>
      <c r="N91" s="203"/>
      <c r="O91" s="203">
        <f>'Manuell filtrering og justering'!D89</f>
        <v>0</v>
      </c>
      <c r="P91" s="204">
        <f>VLOOKUP(C91,'Manuell filtrering og justering'!$A$7:$G$97,'Manuell filtrering og justering'!$G$1,FALSE)</f>
        <v>1</v>
      </c>
      <c r="Q91" s="205">
        <f t="shared" ref="Q91:Q98" si="86">IF(SUM(L91:O91)&gt;K91,K91,SUM(L91:O91))</f>
        <v>0</v>
      </c>
      <c r="R91" s="206">
        <f>IF($S$4='Manuell filtrering og justering'!$I$2,P91,(K91-Q91))</f>
        <v>1</v>
      </c>
      <c r="T91" s="207">
        <f>(Inn_Weight/Inn_Credits)*Inn02_credits</f>
        <v>0.01</v>
      </c>
      <c r="U91" s="207">
        <f>(T91/Inn02_credits)*Inn02_user</f>
        <v>0</v>
      </c>
      <c r="W91" s="259">
        <f>IF(VLOOKUP(D91,'Pre-Assessment Estimator'!$C$10:$W$100,'Pre-Assessment Estimator'!$E$2,FALSE)&gt;R91,R91,VLOOKUP(D91,'Pre-Assessment Estimator'!$C$10:$W$100,'Pre-Assessment Estimator'!$E$2,FALSE))</f>
        <v>0</v>
      </c>
      <c r="X91" s="208">
        <f>IF(VLOOKUP(D91,'Pre-Assessment Estimator'!$C$10:$W$100,'Pre-Assessment Estimator'!$L$2,FALSE)&gt;R91,R91,VLOOKUP(D91,'Pre-Assessment Estimator'!$C$10:$W$100,'Pre-Assessment Estimator'!$L$2,FALSE))</f>
        <v>0</v>
      </c>
      <c r="Y91" s="208">
        <f>IF(VLOOKUP(D91,'Pre-Assessment Estimator'!$C$10:$W$100,'Pre-Assessment Estimator'!$R$2,FALSE)&gt;R91,R91,VLOOKUP(D91,'Pre-Assessment Estimator'!$C$10:$W$100,'Pre-Assessment Estimator'!$R$2,FALSE))</f>
        <v>0</v>
      </c>
      <c r="AA91" s="361"/>
      <c r="AB91" s="362"/>
      <c r="AC91" s="362"/>
      <c r="AD91" s="362"/>
      <c r="AE91" s="363"/>
      <c r="AF91" s="169"/>
      <c r="AG91" s="361"/>
      <c r="AH91" s="362"/>
      <c r="AI91" s="362"/>
      <c r="AJ91" s="362"/>
      <c r="AK91" s="363"/>
      <c r="AM91" s="226"/>
      <c r="AN91" s="227"/>
      <c r="AO91" s="227"/>
      <c r="AP91" s="227"/>
      <c r="AQ91" s="228">
        <f t="shared" si="64"/>
        <v>0</v>
      </c>
      <c r="AR91" s="220">
        <f t="shared" si="73"/>
        <v>9</v>
      </c>
      <c r="AS91" s="203" t="str">
        <f t="shared" si="81"/>
        <v>N/A</v>
      </c>
      <c r="AT91" s="223"/>
      <c r="AU91" s="220">
        <f t="shared" si="82"/>
        <v>9</v>
      </c>
      <c r="AV91" s="203" t="str">
        <f t="shared" si="83"/>
        <v>N/A</v>
      </c>
      <c r="AW91" s="223"/>
      <c r="AX91" s="220">
        <f t="shared" si="67"/>
        <v>9</v>
      </c>
      <c r="AY91" s="203" t="str">
        <f t="shared" si="84"/>
        <v>N/A</v>
      </c>
      <c r="AZ91" s="223"/>
      <c r="BK91" s="203" t="str">
        <f t="shared" si="85"/>
        <v>Inn 02</v>
      </c>
      <c r="BL91" s="203" t="str">
        <f>IFERROR(VLOOKUP($D91,'Pre-Assessment Estimator'!$C$10:$X$100,'Pre-Assessment Estimator'!X$2,FALSE),"")</f>
        <v>N/A</v>
      </c>
      <c r="BM91" s="203">
        <f>IFERROR(VLOOKUP($D91,'Pre-Assessment Estimator'!$C$10:$AE$100,'Pre-Assessment Estimator'!AE$2,FALSE),"")</f>
        <v>0</v>
      </c>
      <c r="BN91" s="203">
        <f t="shared" si="69"/>
        <v>1</v>
      </c>
      <c r="BO91" s="203">
        <f t="shared" si="70"/>
        <v>0</v>
      </c>
      <c r="BP91" s="203"/>
      <c r="BQ91" s="106" t="str">
        <f t="shared" si="71"/>
        <v/>
      </c>
    </row>
    <row r="92" spans="1:73" x14ac:dyDescent="0.25">
      <c r="A92" s="106">
        <v>85</v>
      </c>
      <c r="C92" s="202" t="s">
        <v>208</v>
      </c>
      <c r="D92" s="203" t="str">
        <f t="shared" si="79"/>
        <v>Inn 03 - Tra 03 Alternative modes of transport</v>
      </c>
      <c r="E92" s="216">
        <v>1</v>
      </c>
      <c r="F92" s="216">
        <v>1</v>
      </c>
      <c r="G92" s="216">
        <v>1</v>
      </c>
      <c r="H92" s="216">
        <v>1</v>
      </c>
      <c r="I92" s="217">
        <v>1</v>
      </c>
      <c r="K92" s="266">
        <f t="shared" si="80"/>
        <v>1</v>
      </c>
      <c r="L92" s="202"/>
      <c r="M92" s="203"/>
      <c r="N92" s="203"/>
      <c r="O92" s="203">
        <f>'Manuell filtrering og justering'!D90</f>
        <v>0</v>
      </c>
      <c r="P92" s="204">
        <f>VLOOKUP(C92,'Manuell filtrering og justering'!$A$7:$G$97,'Manuell filtrering og justering'!$G$1,FALSE)</f>
        <v>1</v>
      </c>
      <c r="Q92" s="205">
        <f t="shared" si="86"/>
        <v>0</v>
      </c>
      <c r="R92" s="206">
        <f>IF($S$4='Manuell filtrering og justering'!$I$2,P92,(K92-Q92))</f>
        <v>1</v>
      </c>
      <c r="T92" s="207">
        <f>(Inn_Weight/Inn_Credits)*Inn03_credits</f>
        <v>0.01</v>
      </c>
      <c r="U92" s="207">
        <f>(T92/Inn03_credits)*Inn03_user</f>
        <v>0</v>
      </c>
      <c r="W92" s="259">
        <f>IF(VLOOKUP(D92,'Pre-Assessment Estimator'!$C$10:$W$100,'Pre-Assessment Estimator'!$E$2,FALSE)&gt;R92,R92,VLOOKUP(D92,'Pre-Assessment Estimator'!$C$10:$W$100,'Pre-Assessment Estimator'!$E$2,FALSE))</f>
        <v>0</v>
      </c>
      <c r="X92" s="208">
        <f>IF(VLOOKUP(D92,'Pre-Assessment Estimator'!$C$10:$W$100,'Pre-Assessment Estimator'!$L$2,FALSE)&gt;R92,R92,VLOOKUP(D92,'Pre-Assessment Estimator'!$C$10:$W$100,'Pre-Assessment Estimator'!$L$2,FALSE))</f>
        <v>0</v>
      </c>
      <c r="Y92" s="208">
        <f>IF(VLOOKUP(D92,'Pre-Assessment Estimator'!$C$10:$W$100,'Pre-Assessment Estimator'!$R$2,FALSE)&gt;R92,R92,VLOOKUP(D92,'Pre-Assessment Estimator'!$C$10:$W$100,'Pre-Assessment Estimator'!$R$2,FALSE))</f>
        <v>0</v>
      </c>
      <c r="AA92" s="361"/>
      <c r="AB92" s="362"/>
      <c r="AC92" s="362"/>
      <c r="AD92" s="362"/>
      <c r="AE92" s="363"/>
      <c r="AF92" s="169"/>
      <c r="AG92" s="361"/>
      <c r="AH92" s="362"/>
      <c r="AI92" s="362"/>
      <c r="AJ92" s="362"/>
      <c r="AK92" s="363"/>
      <c r="AM92" s="226"/>
      <c r="AN92" s="227"/>
      <c r="AO92" s="227"/>
      <c r="AP92" s="227"/>
      <c r="AQ92" s="228">
        <f t="shared" si="64"/>
        <v>0</v>
      </c>
      <c r="AR92" s="220">
        <f t="shared" si="73"/>
        <v>9</v>
      </c>
      <c r="AS92" s="203" t="str">
        <f t="shared" si="81"/>
        <v>N/A</v>
      </c>
      <c r="AT92" s="223"/>
      <c r="AU92" s="220">
        <f t="shared" si="82"/>
        <v>9</v>
      </c>
      <c r="AV92" s="203" t="str">
        <f t="shared" si="83"/>
        <v>N/A</v>
      </c>
      <c r="AW92" s="223"/>
      <c r="AX92" s="220">
        <f t="shared" si="67"/>
        <v>9</v>
      </c>
      <c r="AY92" s="203" t="str">
        <f t="shared" si="84"/>
        <v>N/A</v>
      </c>
      <c r="AZ92" s="223"/>
      <c r="BK92" s="203" t="str">
        <f t="shared" si="85"/>
        <v>Inn 03</v>
      </c>
      <c r="BL92" s="203" t="str">
        <f>IFERROR(VLOOKUP($D92,'Pre-Assessment Estimator'!$C$10:$X$100,'Pre-Assessment Estimator'!X$2,FALSE),"")</f>
        <v>N/A</v>
      </c>
      <c r="BM92" s="203">
        <f>IFERROR(VLOOKUP($D92,'Pre-Assessment Estimator'!$C$10:$AE$100,'Pre-Assessment Estimator'!AE$2,FALSE),"")</f>
        <v>0</v>
      </c>
      <c r="BN92" s="203">
        <f t="shared" si="69"/>
        <v>1</v>
      </c>
      <c r="BO92" s="203">
        <f t="shared" si="70"/>
        <v>0</v>
      </c>
      <c r="BP92" s="203"/>
      <c r="BQ92" s="106" t="str">
        <f t="shared" si="71"/>
        <v/>
      </c>
    </row>
    <row r="93" spans="1:73" x14ac:dyDescent="0.25">
      <c r="A93" s="106">
        <v>86</v>
      </c>
      <c r="C93" s="202" t="s">
        <v>209</v>
      </c>
      <c r="D93" s="203" t="str">
        <f t="shared" ref="D93:D98" si="87">C93&amp;" - "&amp;D112</f>
        <v>Inn 04 - Wat 01 Water consumption</v>
      </c>
      <c r="E93" s="216">
        <v>1</v>
      </c>
      <c r="F93" s="216">
        <v>1</v>
      </c>
      <c r="G93" s="216">
        <v>1</v>
      </c>
      <c r="H93" s="216">
        <v>1</v>
      </c>
      <c r="I93" s="217">
        <v>1</v>
      </c>
      <c r="K93" s="266">
        <f t="shared" si="80"/>
        <v>1</v>
      </c>
      <c r="L93" s="202"/>
      <c r="M93" s="203"/>
      <c r="N93" s="203"/>
      <c r="O93" s="203">
        <f>'Manuell filtrering og justering'!D91</f>
        <v>0</v>
      </c>
      <c r="P93" s="204">
        <f>VLOOKUP(C93,'Manuell filtrering og justering'!$A$7:$G$97,'Manuell filtrering og justering'!$G$1,FALSE)</f>
        <v>1</v>
      </c>
      <c r="Q93" s="205">
        <f t="shared" si="86"/>
        <v>0</v>
      </c>
      <c r="R93" s="206">
        <f>IF($S$4='Manuell filtrering og justering'!$I$2,P93,(K93-Q93))</f>
        <v>1</v>
      </c>
      <c r="T93" s="207">
        <f>(Inn_Weight/Inn_Credits)*Inn04_credits</f>
        <v>0.01</v>
      </c>
      <c r="U93" s="207">
        <f>IF(Inn04_credits=0,0,(T93/Inn04_credits)*Inn04_user)</f>
        <v>0</v>
      </c>
      <c r="W93" s="259">
        <f>IF(VLOOKUP(D93,'Pre-Assessment Estimator'!$C$10:$W$100,'Pre-Assessment Estimator'!$E$2,FALSE)&gt;R93,R93,VLOOKUP(D93,'Pre-Assessment Estimator'!$C$10:$W$100,'Pre-Assessment Estimator'!$E$2,FALSE))</f>
        <v>0</v>
      </c>
      <c r="X93" s="208">
        <f>IF(VLOOKUP(D93,'Pre-Assessment Estimator'!$C$10:$W$100,'Pre-Assessment Estimator'!$L$2,FALSE)&gt;R93,R93,VLOOKUP(D93,'Pre-Assessment Estimator'!$C$10:$W$100,'Pre-Assessment Estimator'!$L$2,FALSE))</f>
        <v>0</v>
      </c>
      <c r="Y93" s="208">
        <f>IF(VLOOKUP(D93,'Pre-Assessment Estimator'!$C$10:$W$100,'Pre-Assessment Estimator'!$R$2,FALSE)&gt;R93,R93,VLOOKUP(D93,'Pre-Assessment Estimator'!$C$10:$W$100,'Pre-Assessment Estimator'!$R$2,FALSE))</f>
        <v>0</v>
      </c>
      <c r="AA93" s="361"/>
      <c r="AB93" s="362"/>
      <c r="AC93" s="362"/>
      <c r="AD93" s="362"/>
      <c r="AE93" s="363"/>
      <c r="AF93" s="169"/>
      <c r="AG93" s="361"/>
      <c r="AH93" s="362"/>
      <c r="AI93" s="362"/>
      <c r="AJ93" s="362"/>
      <c r="AK93" s="363"/>
      <c r="AM93" s="226"/>
      <c r="AN93" s="227"/>
      <c r="AO93" s="227"/>
      <c r="AP93" s="227"/>
      <c r="AQ93" s="228">
        <f t="shared" si="64"/>
        <v>0</v>
      </c>
      <c r="AR93" s="220">
        <f t="shared" si="73"/>
        <v>9</v>
      </c>
      <c r="AS93" s="203" t="str">
        <f t="shared" si="81"/>
        <v>N/A</v>
      </c>
      <c r="AT93" s="223"/>
      <c r="AU93" s="220">
        <f t="shared" si="82"/>
        <v>9</v>
      </c>
      <c r="AV93" s="203" t="str">
        <f t="shared" si="83"/>
        <v>N/A</v>
      </c>
      <c r="AW93" s="223"/>
      <c r="AX93" s="220">
        <f t="shared" si="67"/>
        <v>9</v>
      </c>
      <c r="AY93" s="203" t="str">
        <f t="shared" si="84"/>
        <v>N/A</v>
      </c>
      <c r="AZ93" s="223"/>
      <c r="BK93" s="203" t="str">
        <f t="shared" si="85"/>
        <v>Inn 04</v>
      </c>
      <c r="BL93" s="203" t="str">
        <f>IFERROR(VLOOKUP($D93,'Pre-Assessment Estimator'!$C$10:$X$100,'Pre-Assessment Estimator'!X$2,FALSE),"")</f>
        <v>N/A</v>
      </c>
      <c r="BM93" s="203">
        <f>IFERROR(VLOOKUP($D93,'Pre-Assessment Estimator'!$C$10:$AE$100,'Pre-Assessment Estimator'!AE$2,FALSE),"")</f>
        <v>0</v>
      </c>
      <c r="BN93" s="203">
        <f t="shared" si="69"/>
        <v>1</v>
      </c>
      <c r="BO93" s="203">
        <f t="shared" si="70"/>
        <v>0</v>
      </c>
      <c r="BP93" s="203"/>
      <c r="BQ93" s="106" t="str">
        <f t="shared" si="71"/>
        <v/>
      </c>
    </row>
    <row r="94" spans="1:73" x14ac:dyDescent="0.25">
      <c r="A94" s="106">
        <v>87</v>
      </c>
      <c r="C94" s="202" t="s">
        <v>210</v>
      </c>
      <c r="D94" s="203" t="str">
        <f t="shared" si="87"/>
        <v>Inn 05 - Mat 01 Life cycle impacts</v>
      </c>
      <c r="E94" s="216">
        <v>2</v>
      </c>
      <c r="F94" s="216">
        <v>2</v>
      </c>
      <c r="G94" s="216">
        <v>2</v>
      </c>
      <c r="H94" s="216">
        <v>2</v>
      </c>
      <c r="I94" s="217">
        <v>2</v>
      </c>
      <c r="K94" s="266">
        <f t="shared" si="80"/>
        <v>2</v>
      </c>
      <c r="L94" s="202"/>
      <c r="M94" s="203"/>
      <c r="N94" s="203"/>
      <c r="O94" s="203">
        <f>'Manuell filtrering og justering'!D92</f>
        <v>0</v>
      </c>
      <c r="P94" s="204">
        <f>VLOOKUP(C94,'Manuell filtrering og justering'!$A$7:$G$97,'Manuell filtrering og justering'!$G$1,FALSE)</f>
        <v>1</v>
      </c>
      <c r="Q94" s="205">
        <f t="shared" si="86"/>
        <v>0</v>
      </c>
      <c r="R94" s="206">
        <f>IF($S$4='Manuell filtrering og justering'!$I$2,P94,(K94-Q94))</f>
        <v>2</v>
      </c>
      <c r="T94" s="207">
        <f>(Inn_Weight/Inn_Credits)*Inn05_credits</f>
        <v>0.02</v>
      </c>
      <c r="U94" s="207">
        <f>(T94/Inn05_credits)*Inn05_user</f>
        <v>0</v>
      </c>
      <c r="W94" s="259">
        <f>IF(VLOOKUP(D94,'Pre-Assessment Estimator'!$C$10:$W$100,'Pre-Assessment Estimator'!$E$2,FALSE)&gt;R94,R94,VLOOKUP(D94,'Pre-Assessment Estimator'!$C$10:$W$100,'Pre-Assessment Estimator'!$E$2,FALSE))</f>
        <v>0</v>
      </c>
      <c r="X94" s="208">
        <f>IF(VLOOKUP(D94,'Pre-Assessment Estimator'!$C$10:$W$100,'Pre-Assessment Estimator'!$L$2,FALSE)&gt;R94,R94,VLOOKUP(D94,'Pre-Assessment Estimator'!$C$10:$W$100,'Pre-Assessment Estimator'!$L$2,FALSE))</f>
        <v>0</v>
      </c>
      <c r="Y94" s="208">
        <f>IF(VLOOKUP(D94,'Pre-Assessment Estimator'!$C$10:$W$100,'Pre-Assessment Estimator'!$R$2,FALSE)&gt;R94,R94,VLOOKUP(D94,'Pre-Assessment Estimator'!$C$10:$W$100,'Pre-Assessment Estimator'!$R$2,FALSE))</f>
        <v>0</v>
      </c>
      <c r="AA94" s="361"/>
      <c r="AB94" s="362"/>
      <c r="AC94" s="362"/>
      <c r="AD94" s="362"/>
      <c r="AE94" s="363"/>
      <c r="AF94" s="169"/>
      <c r="AG94" s="361"/>
      <c r="AH94" s="362"/>
      <c r="AI94" s="362"/>
      <c r="AJ94" s="362"/>
      <c r="AK94" s="363"/>
      <c r="AM94" s="226"/>
      <c r="AN94" s="227"/>
      <c r="AO94" s="227"/>
      <c r="AP94" s="227"/>
      <c r="AQ94" s="228">
        <f t="shared" si="64"/>
        <v>0</v>
      </c>
      <c r="AR94" s="220">
        <f t="shared" si="73"/>
        <v>9</v>
      </c>
      <c r="AS94" s="203" t="str">
        <f t="shared" si="81"/>
        <v>N/A</v>
      </c>
      <c r="AT94" s="223"/>
      <c r="AU94" s="220">
        <f t="shared" si="82"/>
        <v>9</v>
      </c>
      <c r="AV94" s="203" t="str">
        <f t="shared" si="83"/>
        <v>N/A</v>
      </c>
      <c r="AW94" s="223"/>
      <c r="AX94" s="220">
        <f t="shared" si="67"/>
        <v>9</v>
      </c>
      <c r="AY94" s="203" t="str">
        <f t="shared" si="84"/>
        <v>N/A</v>
      </c>
      <c r="AZ94" s="223"/>
      <c r="BK94" s="203" t="str">
        <f t="shared" si="85"/>
        <v>Inn 05</v>
      </c>
      <c r="BL94" s="203" t="str">
        <f>IFERROR(VLOOKUP($D94,'Pre-Assessment Estimator'!$C$10:$X$100,'Pre-Assessment Estimator'!X$2,FALSE),"")</f>
        <v>N/A</v>
      </c>
      <c r="BM94" s="203">
        <f>IFERROR(VLOOKUP($D94,'Pre-Assessment Estimator'!$C$10:$AE$100,'Pre-Assessment Estimator'!AE$2,FALSE),"")</f>
        <v>0</v>
      </c>
      <c r="BN94" s="203">
        <f t="shared" si="69"/>
        <v>1</v>
      </c>
      <c r="BO94" s="203">
        <f t="shared" si="70"/>
        <v>0</v>
      </c>
      <c r="BP94" s="203"/>
      <c r="BQ94" s="106" t="str">
        <f t="shared" si="71"/>
        <v/>
      </c>
    </row>
    <row r="95" spans="1:73" x14ac:dyDescent="0.25">
      <c r="A95" s="106">
        <v>88</v>
      </c>
      <c r="C95" s="202" t="s">
        <v>211</v>
      </c>
      <c r="D95" s="203" t="str">
        <f t="shared" si="87"/>
        <v>Inn 06 - Mat 03 Responsible sourcing of materials</v>
      </c>
      <c r="E95" s="216">
        <v>1</v>
      </c>
      <c r="F95" s="216">
        <v>1</v>
      </c>
      <c r="G95" s="216">
        <v>1</v>
      </c>
      <c r="H95" s="216">
        <v>1</v>
      </c>
      <c r="I95" s="217">
        <v>1</v>
      </c>
      <c r="K95" s="266">
        <f t="shared" si="80"/>
        <v>1</v>
      </c>
      <c r="L95" s="202"/>
      <c r="M95" s="203"/>
      <c r="N95" s="203"/>
      <c r="O95" s="203">
        <f>'Manuell filtrering og justering'!D93</f>
        <v>0</v>
      </c>
      <c r="P95" s="204">
        <f>VLOOKUP(C95,'Manuell filtrering og justering'!$A$7:$G$97,'Manuell filtrering og justering'!$G$1,FALSE)</f>
        <v>1</v>
      </c>
      <c r="Q95" s="205">
        <f t="shared" si="86"/>
        <v>0</v>
      </c>
      <c r="R95" s="206">
        <f>IF($S$4='Manuell filtrering og justering'!$I$2,P95,(K95-Q95))</f>
        <v>1</v>
      </c>
      <c r="T95" s="207">
        <f>(Inn_Weight/Inn_Credits)*Inn06_credits</f>
        <v>0.01</v>
      </c>
      <c r="U95" s="207">
        <f>(T95/Inn06_credits)*Inn06_user</f>
        <v>0</v>
      </c>
      <c r="W95" s="259">
        <f>IF(VLOOKUP(D95,'Pre-Assessment Estimator'!$C$10:$W$100,'Pre-Assessment Estimator'!$E$2,FALSE)&gt;R95,R95,VLOOKUP(D95,'Pre-Assessment Estimator'!$C$10:$W$100,'Pre-Assessment Estimator'!$E$2,FALSE))</f>
        <v>0</v>
      </c>
      <c r="X95" s="208">
        <f>IF(VLOOKUP(D95,'Pre-Assessment Estimator'!$C$10:$W$100,'Pre-Assessment Estimator'!$L$2,FALSE)&gt;R95,R95,VLOOKUP(D95,'Pre-Assessment Estimator'!$C$10:$W$100,'Pre-Assessment Estimator'!$L$2,FALSE))</f>
        <v>0</v>
      </c>
      <c r="Y95" s="208">
        <f>IF(VLOOKUP(D95,'Pre-Assessment Estimator'!$C$10:$W$100,'Pre-Assessment Estimator'!$R$2,FALSE)&gt;R95,R95,VLOOKUP(D95,'Pre-Assessment Estimator'!$C$10:$W$100,'Pre-Assessment Estimator'!$R$2,FALSE))</f>
        <v>0</v>
      </c>
      <c r="AA95" s="361"/>
      <c r="AB95" s="362"/>
      <c r="AC95" s="362"/>
      <c r="AD95" s="362"/>
      <c r="AE95" s="363"/>
      <c r="AF95" s="169"/>
      <c r="AG95" s="361"/>
      <c r="AH95" s="362"/>
      <c r="AI95" s="362"/>
      <c r="AJ95" s="362"/>
      <c r="AK95" s="363"/>
      <c r="AM95" s="226"/>
      <c r="AN95" s="227"/>
      <c r="AO95" s="227"/>
      <c r="AP95" s="227"/>
      <c r="AQ95" s="228">
        <f t="shared" si="64"/>
        <v>0</v>
      </c>
      <c r="AR95" s="220">
        <f t="shared" si="73"/>
        <v>9</v>
      </c>
      <c r="AS95" s="203" t="str">
        <f t="shared" si="81"/>
        <v>N/A</v>
      </c>
      <c r="AT95" s="223"/>
      <c r="AU95" s="220">
        <f t="shared" si="82"/>
        <v>9</v>
      </c>
      <c r="AV95" s="203" t="str">
        <f t="shared" si="83"/>
        <v>N/A</v>
      </c>
      <c r="AW95" s="223"/>
      <c r="AX95" s="220">
        <f t="shared" si="67"/>
        <v>9</v>
      </c>
      <c r="AY95" s="203" t="str">
        <f t="shared" si="84"/>
        <v>N/A</v>
      </c>
      <c r="AZ95" s="223"/>
      <c r="BK95" s="203" t="str">
        <f t="shared" si="85"/>
        <v>Inn 06</v>
      </c>
      <c r="BL95" s="203" t="str">
        <f>IFERROR(VLOOKUP($D95,'Pre-Assessment Estimator'!$C$10:$X$100,'Pre-Assessment Estimator'!X$2,FALSE),"")</f>
        <v>N/A</v>
      </c>
      <c r="BM95" s="203">
        <f>IFERROR(VLOOKUP($D95,'Pre-Assessment Estimator'!$C$10:$AE$100,'Pre-Assessment Estimator'!AE$2,FALSE),"")</f>
        <v>0</v>
      </c>
      <c r="BN95" s="203">
        <f t="shared" si="69"/>
        <v>1</v>
      </c>
      <c r="BO95" s="203">
        <f t="shared" si="70"/>
        <v>0</v>
      </c>
      <c r="BP95" s="203"/>
      <c r="BQ95" s="106" t="str">
        <f t="shared" si="71"/>
        <v/>
      </c>
    </row>
    <row r="96" spans="1:73" x14ac:dyDescent="0.25">
      <c r="A96" s="106">
        <v>89</v>
      </c>
      <c r="C96" s="202" t="s">
        <v>212</v>
      </c>
      <c r="D96" s="203" t="str">
        <f t="shared" si="87"/>
        <v>Inn 07 - Wst 01 Construction site waste man.</v>
      </c>
      <c r="E96" s="216">
        <v>1</v>
      </c>
      <c r="F96" s="216">
        <v>1</v>
      </c>
      <c r="G96" s="216">
        <v>1</v>
      </c>
      <c r="H96" s="216">
        <v>1</v>
      </c>
      <c r="I96" s="217">
        <v>1</v>
      </c>
      <c r="K96" s="266">
        <f t="shared" si="80"/>
        <v>1</v>
      </c>
      <c r="L96" s="202"/>
      <c r="M96" s="203"/>
      <c r="N96" s="203"/>
      <c r="O96" s="203">
        <f>'Manuell filtrering og justering'!D94</f>
        <v>0</v>
      </c>
      <c r="P96" s="204">
        <f>VLOOKUP(C96,'Manuell filtrering og justering'!$A$7:$G$97,'Manuell filtrering og justering'!$G$1,FALSE)</f>
        <v>1</v>
      </c>
      <c r="Q96" s="205">
        <f t="shared" si="86"/>
        <v>0</v>
      </c>
      <c r="R96" s="206">
        <f>IF($S$4='Manuell filtrering og justering'!$I$2,P96,(K96-Q96))</f>
        <v>1</v>
      </c>
      <c r="T96" s="207">
        <f>(Inn_Weight/Inn_Credits)*Inn07_credits</f>
        <v>0.01</v>
      </c>
      <c r="U96" s="207">
        <f>(T96/Inn07_credits)*Inn07_user</f>
        <v>0</v>
      </c>
      <c r="W96" s="259">
        <f>IF(VLOOKUP(D96,'Pre-Assessment Estimator'!$C$10:$W$100,'Pre-Assessment Estimator'!$E$2,FALSE)&gt;R96,R96,VLOOKUP(D96,'Pre-Assessment Estimator'!$C$10:$W$100,'Pre-Assessment Estimator'!$E$2,FALSE))</f>
        <v>0</v>
      </c>
      <c r="X96" s="208">
        <f>IF(VLOOKUP(D96,'Pre-Assessment Estimator'!$C$10:$W$100,'Pre-Assessment Estimator'!$L$2,FALSE)&gt;R96,R96,VLOOKUP(D96,'Pre-Assessment Estimator'!$C$10:$W$100,'Pre-Assessment Estimator'!$L$2,FALSE))</f>
        <v>0</v>
      </c>
      <c r="Y96" s="208">
        <f>IF(VLOOKUP(D96,'Pre-Assessment Estimator'!$C$10:$W$100,'Pre-Assessment Estimator'!$R$2,FALSE)&gt;R96,R96,VLOOKUP(D96,'Pre-Assessment Estimator'!$C$10:$W$100,'Pre-Assessment Estimator'!$R$2,FALSE))</f>
        <v>0</v>
      </c>
      <c r="AA96" s="361"/>
      <c r="AB96" s="362"/>
      <c r="AC96" s="362"/>
      <c r="AD96" s="362"/>
      <c r="AE96" s="363"/>
      <c r="AF96" s="169"/>
      <c r="AG96" s="361"/>
      <c r="AH96" s="362"/>
      <c r="AI96" s="362"/>
      <c r="AJ96" s="362"/>
      <c r="AK96" s="363"/>
      <c r="AM96" s="226"/>
      <c r="AN96" s="227"/>
      <c r="AO96" s="227"/>
      <c r="AP96" s="227"/>
      <c r="AQ96" s="228">
        <f t="shared" si="64"/>
        <v>0</v>
      </c>
      <c r="AR96" s="220">
        <f t="shared" si="73"/>
        <v>9</v>
      </c>
      <c r="AS96" s="203" t="str">
        <f t="shared" si="81"/>
        <v>N/A</v>
      </c>
      <c r="AT96" s="223"/>
      <c r="AU96" s="220">
        <f t="shared" si="82"/>
        <v>9</v>
      </c>
      <c r="AV96" s="203" t="str">
        <f t="shared" si="83"/>
        <v>N/A</v>
      </c>
      <c r="AW96" s="223"/>
      <c r="AX96" s="220">
        <f t="shared" si="67"/>
        <v>9</v>
      </c>
      <c r="AY96" s="203" t="str">
        <f t="shared" si="84"/>
        <v>N/A</v>
      </c>
      <c r="AZ96" s="223"/>
      <c r="BK96" s="203" t="str">
        <f t="shared" si="85"/>
        <v>Inn 07</v>
      </c>
      <c r="BL96" s="203" t="str">
        <f>IFERROR(VLOOKUP($D96,'Pre-Assessment Estimator'!$C$10:$X$100,'Pre-Assessment Estimator'!X$2,FALSE),"")</f>
        <v>N/A</v>
      </c>
      <c r="BM96" s="203">
        <f>IFERROR(VLOOKUP($D96,'Pre-Assessment Estimator'!$C$10:$AE$100,'Pre-Assessment Estimator'!AE$2,FALSE),"")</f>
        <v>0</v>
      </c>
      <c r="BN96" s="203">
        <f t="shared" si="69"/>
        <v>1</v>
      </c>
      <c r="BO96" s="203">
        <f t="shared" si="70"/>
        <v>0</v>
      </c>
      <c r="BP96" s="203"/>
      <c r="BQ96" s="106" t="str">
        <f t="shared" si="71"/>
        <v/>
      </c>
    </row>
    <row r="97" spans="1:69" x14ac:dyDescent="0.25">
      <c r="A97" s="106">
        <v>90</v>
      </c>
      <c r="C97" s="202" t="s">
        <v>242</v>
      </c>
      <c r="D97" s="203" t="str">
        <f t="shared" si="87"/>
        <v>Inn 08 - Wst 02 Recycled aggregates</v>
      </c>
      <c r="E97" s="216">
        <v>1</v>
      </c>
      <c r="F97" s="216">
        <v>1</v>
      </c>
      <c r="G97" s="216">
        <v>1</v>
      </c>
      <c r="H97" s="216">
        <v>1</v>
      </c>
      <c r="I97" s="217">
        <v>1</v>
      </c>
      <c r="K97" s="266">
        <f t="shared" si="80"/>
        <v>1</v>
      </c>
      <c r="L97" s="202"/>
      <c r="M97" s="203"/>
      <c r="N97" s="203"/>
      <c r="O97" s="203">
        <f>'Manuell filtrering og justering'!D95</f>
        <v>0</v>
      </c>
      <c r="P97" s="204">
        <f>VLOOKUP(C97,'Manuell filtrering og justering'!$A$7:$G$97,'Manuell filtrering og justering'!$G$1,FALSE)</f>
        <v>1</v>
      </c>
      <c r="Q97" s="205">
        <f t="shared" si="86"/>
        <v>0</v>
      </c>
      <c r="R97" s="206">
        <f>IF($S$4='Manuell filtrering og justering'!$I$2,P97,(K97-Q97))</f>
        <v>1</v>
      </c>
      <c r="T97" s="207">
        <f>(Inn_Weight/Inn_Credits)*Inn08_credits</f>
        <v>0.01</v>
      </c>
      <c r="U97" s="207">
        <f>(T97/Inn08_credits)*Inn08_user</f>
        <v>0</v>
      </c>
      <c r="W97" s="259">
        <f>IF(VLOOKUP(D97,'Pre-Assessment Estimator'!$C$10:$W$100,'Pre-Assessment Estimator'!$E$2,FALSE)&gt;R97,R97,VLOOKUP(D97,'Pre-Assessment Estimator'!$C$10:$W$100,'Pre-Assessment Estimator'!$E$2,FALSE))</f>
        <v>0</v>
      </c>
      <c r="X97" s="208">
        <f>IF(VLOOKUP(D97,'Pre-Assessment Estimator'!$C$10:$W$100,'Pre-Assessment Estimator'!$L$2,FALSE)&gt;R97,R97,VLOOKUP(D97,'Pre-Assessment Estimator'!$C$10:$W$100,'Pre-Assessment Estimator'!$L$2,FALSE))</f>
        <v>0</v>
      </c>
      <c r="Y97" s="208">
        <f>IF(VLOOKUP(D97,'Pre-Assessment Estimator'!$C$10:$W$100,'Pre-Assessment Estimator'!$R$2,FALSE)&gt;R97,R97,VLOOKUP(D97,'Pre-Assessment Estimator'!$C$10:$W$100,'Pre-Assessment Estimator'!$R$2,FALSE))</f>
        <v>0</v>
      </c>
      <c r="AA97" s="361"/>
      <c r="AB97" s="362"/>
      <c r="AC97" s="362"/>
      <c r="AD97" s="362"/>
      <c r="AE97" s="363"/>
      <c r="AF97" s="169"/>
      <c r="AG97" s="361"/>
      <c r="AH97" s="362"/>
      <c r="AI97" s="362"/>
      <c r="AJ97" s="362"/>
      <c r="AK97" s="363"/>
      <c r="AM97" s="226"/>
      <c r="AN97" s="227"/>
      <c r="AO97" s="227"/>
      <c r="AP97" s="227"/>
      <c r="AQ97" s="228">
        <f>IF($D$5=$G$8,AK97,AE97)</f>
        <v>0</v>
      </c>
      <c r="AR97" s="220">
        <f t="shared" si="73"/>
        <v>9</v>
      </c>
      <c r="AS97" s="203" t="str">
        <f t="shared" si="81"/>
        <v>N/A</v>
      </c>
      <c r="AT97" s="223"/>
      <c r="AU97" s="220">
        <f t="shared" si="82"/>
        <v>9</v>
      </c>
      <c r="AV97" s="203" t="str">
        <f t="shared" si="83"/>
        <v>N/A</v>
      </c>
      <c r="AW97" s="223"/>
      <c r="AX97" s="220">
        <f t="shared" si="67"/>
        <v>9</v>
      </c>
      <c r="AY97" s="203" t="str">
        <f t="shared" si="84"/>
        <v>N/A</v>
      </c>
      <c r="AZ97" s="223"/>
      <c r="BK97" s="203" t="str">
        <f t="shared" si="85"/>
        <v>Inn 08</v>
      </c>
      <c r="BL97" s="203" t="str">
        <f>IFERROR(VLOOKUP($D97,'Pre-Assessment Estimator'!$C$10:$X$100,'Pre-Assessment Estimator'!X$2,FALSE),"")</f>
        <v>N/A</v>
      </c>
      <c r="BM97" s="203">
        <f>IFERROR(VLOOKUP($D97,'Pre-Assessment Estimator'!$C$10:$AE$100,'Pre-Assessment Estimator'!AE$2,FALSE),"")</f>
        <v>0</v>
      </c>
      <c r="BN97" s="203">
        <f t="shared" si="69"/>
        <v>1</v>
      </c>
      <c r="BO97" s="203">
        <f t="shared" si="70"/>
        <v>0</v>
      </c>
      <c r="BP97" s="203"/>
      <c r="BQ97" s="106" t="str">
        <f t="shared" si="71"/>
        <v/>
      </c>
    </row>
    <row r="98" spans="1:69" ht="15.75" thickBot="1" x14ac:dyDescent="0.3">
      <c r="A98" s="106">
        <v>91</v>
      </c>
      <c r="C98" s="279" t="s">
        <v>272</v>
      </c>
      <c r="D98" s="203" t="str">
        <f t="shared" si="87"/>
        <v xml:space="preserve">Inn 09 - Approved innovation credits </v>
      </c>
      <c r="E98" s="280">
        <v>10</v>
      </c>
      <c r="F98" s="280">
        <v>10</v>
      </c>
      <c r="G98" s="280">
        <v>10</v>
      </c>
      <c r="H98" s="280">
        <v>10</v>
      </c>
      <c r="I98" s="281">
        <v>10</v>
      </c>
      <c r="K98" s="282">
        <f t="shared" si="80"/>
        <v>10</v>
      </c>
      <c r="L98" s="230"/>
      <c r="M98" s="231"/>
      <c r="N98" s="231"/>
      <c r="O98" s="203">
        <f>'Manuell filtrering og justering'!D96</f>
        <v>0</v>
      </c>
      <c r="P98" s="204">
        <f>VLOOKUP(C98,'Manuell filtrering og justering'!$A$7:$G$97,'Manuell filtrering og justering'!$G$1,FALSE)</f>
        <v>10</v>
      </c>
      <c r="Q98" s="205">
        <f t="shared" si="86"/>
        <v>0</v>
      </c>
      <c r="R98" s="283">
        <f t="shared" ref="R98" si="88">K98-Q98</f>
        <v>10</v>
      </c>
      <c r="T98" s="207">
        <f>(Inn_Weight/Inn_Credits)*Inn09_credits</f>
        <v>0.1</v>
      </c>
      <c r="U98" s="207">
        <f>(T98/Inn09_credits)*Inn09_user</f>
        <v>0</v>
      </c>
      <c r="W98" s="259">
        <f>IF(VLOOKUP(D98,'Pre-Assessment Estimator'!$C$10:$W$100,'Pre-Assessment Estimator'!$E$2,FALSE)&gt;R98,R98,VLOOKUP(D98,'Pre-Assessment Estimator'!$C$10:$W$100,'Pre-Assessment Estimator'!$E$2,FALSE))</f>
        <v>0</v>
      </c>
      <c r="X98" s="208">
        <f>IF(VLOOKUP(D98,'Pre-Assessment Estimator'!$C$10:$W$100,'Pre-Assessment Estimator'!$L$2,FALSE)&gt;R98,R98,VLOOKUP(D98,'Pre-Assessment Estimator'!$C$10:$W$100,'Pre-Assessment Estimator'!$L$2,FALSE))</f>
        <v>0</v>
      </c>
      <c r="Y98" s="208">
        <f>IF(VLOOKUP(D98,'Pre-Assessment Estimator'!$C$10:$W$100,'Pre-Assessment Estimator'!$R$2,FALSE)&gt;R98,R98,VLOOKUP(D98,'Pre-Assessment Estimator'!$C$10:$W$100,'Pre-Assessment Estimator'!$R$2,FALSE))</f>
        <v>0</v>
      </c>
      <c r="AA98" s="364"/>
      <c r="AB98" s="365"/>
      <c r="AC98" s="365"/>
      <c r="AD98" s="365"/>
      <c r="AE98" s="366"/>
      <c r="AF98" s="169"/>
      <c r="AG98" s="364"/>
      <c r="AH98" s="365"/>
      <c r="AI98" s="365"/>
      <c r="AJ98" s="365"/>
      <c r="AK98" s="366"/>
      <c r="AM98" s="237"/>
      <c r="AN98" s="239"/>
      <c r="AO98" s="239"/>
      <c r="AP98" s="239"/>
      <c r="AQ98" s="240">
        <f>IF($D$5=$G$8,AK98,AE98)</f>
        <v>0</v>
      </c>
      <c r="AR98" s="241">
        <f t="shared" si="73"/>
        <v>9</v>
      </c>
      <c r="AS98" s="242" t="str">
        <f t="shared" si="81"/>
        <v>N/A</v>
      </c>
      <c r="AT98" s="243"/>
      <c r="AU98" s="241">
        <f t="shared" si="82"/>
        <v>9</v>
      </c>
      <c r="AV98" s="242" t="str">
        <f t="shared" si="83"/>
        <v>N/A</v>
      </c>
      <c r="AW98" s="243"/>
      <c r="AX98" s="241">
        <f t="shared" si="67"/>
        <v>9</v>
      </c>
      <c r="AY98" s="242" t="str">
        <f t="shared" si="84"/>
        <v>N/A</v>
      </c>
      <c r="AZ98" s="243"/>
      <c r="BK98" s="203" t="str">
        <f t="shared" si="85"/>
        <v>Inn 09</v>
      </c>
      <c r="BL98" s="203" t="str">
        <f>IFERROR(VLOOKUP($D98,'Pre-Assessment Estimator'!$C$10:$X$100,'Pre-Assessment Estimator'!X$2,FALSE),"")</f>
        <v>N/A</v>
      </c>
      <c r="BM98" s="203">
        <f>IFERROR(VLOOKUP($D98,'Pre-Assessment Estimator'!$C$10:$AE$100,'Pre-Assessment Estimator'!AE$2,FALSE),"")</f>
        <v>0</v>
      </c>
      <c r="BN98" s="203">
        <f t="shared" si="69"/>
        <v>1</v>
      </c>
      <c r="BO98" s="203">
        <f t="shared" si="70"/>
        <v>0</v>
      </c>
      <c r="BP98" s="203"/>
      <c r="BQ98" s="106" t="str">
        <f t="shared" si="71"/>
        <v/>
      </c>
    </row>
    <row r="99" spans="1:69" ht="15.75" thickBot="1" x14ac:dyDescent="0.3">
      <c r="A99" s="106">
        <v>92</v>
      </c>
      <c r="C99" s="244" t="s">
        <v>230</v>
      </c>
      <c r="D99" s="245"/>
      <c r="E99" s="245">
        <f>IF(SUM(E90:E98)&gt;10,10,SUM(E90:E98))</f>
        <v>10</v>
      </c>
      <c r="F99" s="245">
        <f t="shared" ref="F99:H99" si="89">IF(SUM(F90:F98)&gt;10,10,SUM(F90:F98))</f>
        <v>10</v>
      </c>
      <c r="G99" s="245">
        <f t="shared" si="89"/>
        <v>10</v>
      </c>
      <c r="H99" s="245">
        <f t="shared" si="89"/>
        <v>10</v>
      </c>
      <c r="I99" s="246">
        <f>IF(SUM(I90:I98)&gt;10,10,SUM(I90:I98))</f>
        <v>10</v>
      </c>
      <c r="K99" s="272">
        <f t="shared" si="80"/>
        <v>10</v>
      </c>
      <c r="L99" s="248"/>
      <c r="M99" s="249"/>
      <c r="N99" s="249"/>
      <c r="O99" s="249"/>
      <c r="P99" s="250"/>
      <c r="Q99" s="251">
        <f>SUM(Q90:Q98)</f>
        <v>0</v>
      </c>
      <c r="R99" s="273">
        <f>IF(SUM(R90:R98)&gt;10,10,SUM(R90:R98))</f>
        <v>10</v>
      </c>
      <c r="T99" s="284">
        <f>IF(SUM(T90:T98)&gt;0.1,0.1,(SUM(T90:T98)))</f>
        <v>0.1</v>
      </c>
      <c r="U99" s="284">
        <f>IF(SUM(U90:U98)&gt;0.1,0.1,(SUM(U90:U98)))</f>
        <v>0</v>
      </c>
      <c r="W99" s="47">
        <f>IF(SUM(W90:W98)&gt;10,10,SUM(W90:W98))</f>
        <v>0</v>
      </c>
      <c r="X99" s="47">
        <f t="shared" ref="X99" si="90">IF(SUM(X90:X98)&gt;10,10,SUM(X90:X98))</f>
        <v>0</v>
      </c>
      <c r="Y99" s="47">
        <f>IF(SUM(Y90:Y98)&gt;10,10,SUM(Y90:Y98))</f>
        <v>0</v>
      </c>
      <c r="AM99" s="107"/>
      <c r="AN99" s="107"/>
      <c r="AO99" s="107"/>
      <c r="AP99" s="107"/>
      <c r="AQ99" s="285"/>
      <c r="AR99" s="286"/>
      <c r="BK99" s="245"/>
      <c r="BL99" s="245" t="str">
        <f>IFERROR(VLOOKUP($D99,'Pre-Assessment Estimator'!$C$10:$X$100,'Pre-Assessment Estimator'!X$2,FALSE),"")</f>
        <v/>
      </c>
      <c r="BM99" s="245" t="str">
        <f>IFERROR(VLOOKUP($D99,'Pre-Assessment Estimator'!$C$10:$AE$100,'Pre-Assessment Estimator'!AE$2,FALSE),"")</f>
        <v/>
      </c>
      <c r="BN99" s="245" t="str">
        <f t="shared" si="69"/>
        <v/>
      </c>
      <c r="BO99" s="245" t="str">
        <f t="shared" si="70"/>
        <v/>
      </c>
      <c r="BP99" s="245"/>
      <c r="BQ99" s="106" t="str">
        <f t="shared" si="71"/>
        <v/>
      </c>
    </row>
    <row r="100" spans="1:69" ht="15.75" thickBot="1" x14ac:dyDescent="0.3">
      <c r="A100" s="106">
        <v>93</v>
      </c>
      <c r="AM100" s="107"/>
      <c r="AN100" s="107"/>
      <c r="AO100" s="107"/>
      <c r="AP100" s="107"/>
      <c r="AQ100" s="285"/>
      <c r="AR100" s="286"/>
      <c r="BL100" s="106" t="str">
        <f>IFERROR(VLOOKUP($D100,'Pre-Assessment Estimator'!$C$10:$X$100,'Pre-Assessment Estimator'!X$2,FALSE),"")</f>
        <v/>
      </c>
      <c r="BM100" s="106" t="str">
        <f>IFERROR(VLOOKUP($D100,'Pre-Assessment Estimator'!$C$10:$AE$100,'Pre-Assessment Estimator'!AE$2,FALSE),"")</f>
        <v/>
      </c>
      <c r="BN100" s="106" t="str">
        <f t="shared" si="69"/>
        <v/>
      </c>
      <c r="BO100" s="106" t="str">
        <f t="shared" si="70"/>
        <v/>
      </c>
      <c r="BQ100" s="106" t="str">
        <f t="shared" si="71"/>
        <v/>
      </c>
    </row>
    <row r="101" spans="1:69" ht="15.75" thickBot="1" x14ac:dyDescent="0.3">
      <c r="A101" s="106">
        <v>94</v>
      </c>
      <c r="C101" s="185"/>
      <c r="D101" s="186" t="s">
        <v>251</v>
      </c>
      <c r="E101" s="383" t="str">
        <f>$E$8</f>
        <v>Office</v>
      </c>
      <c r="F101" s="383" t="str">
        <f>$F$8</f>
        <v>Retail</v>
      </c>
      <c r="G101" s="383" t="str">
        <f>$G$8</f>
        <v>Residential</v>
      </c>
      <c r="H101" s="383" t="str">
        <f>$H$8</f>
        <v>Industrial</v>
      </c>
      <c r="I101" s="384" t="str">
        <f>$I$8</f>
        <v>Education</v>
      </c>
      <c r="K101" s="168" t="str">
        <f>$D$5</f>
        <v>Office</v>
      </c>
      <c r="L101" s="287"/>
      <c r="M101" s="288"/>
      <c r="N101" s="256"/>
      <c r="O101" s="256"/>
      <c r="P101" s="444" t="s">
        <v>405</v>
      </c>
      <c r="Q101" s="183" t="s">
        <v>230</v>
      </c>
      <c r="R101" s="168"/>
      <c r="W101" s="44"/>
      <c r="X101" s="64"/>
      <c r="Y101" s="64"/>
      <c r="AM101" s="107"/>
      <c r="AN101" s="107"/>
      <c r="AO101" s="107"/>
      <c r="AP101" s="107"/>
      <c r="AQ101" s="285"/>
      <c r="AR101" s="286"/>
      <c r="BK101" s="177"/>
      <c r="BL101" s="177" t="str">
        <f>D101</f>
        <v>Spesialtilfeller</v>
      </c>
      <c r="BM101" s="177" t="str">
        <f>IFERROR(VLOOKUP($D101,'Pre-Assessment Estimator'!$C$10:$AE$100,'Pre-Assessment Estimator'!AE$2,FALSE),"")</f>
        <v/>
      </c>
      <c r="BN101" s="177" t="str">
        <f t="shared" si="69"/>
        <v/>
      </c>
      <c r="BO101" s="177" t="str">
        <f t="shared" si="70"/>
        <v/>
      </c>
      <c r="BP101" s="177"/>
      <c r="BQ101" s="106" t="str">
        <f t="shared" si="71"/>
        <v/>
      </c>
    </row>
    <row r="102" spans="1:69" x14ac:dyDescent="0.25">
      <c r="A102" s="106">
        <v>95</v>
      </c>
      <c r="C102" s="263" t="s">
        <v>47</v>
      </c>
      <c r="D102" s="214" t="s">
        <v>281</v>
      </c>
      <c r="E102" s="261" t="s">
        <v>252</v>
      </c>
      <c r="F102" s="261" t="s">
        <v>252</v>
      </c>
      <c r="G102" s="261" t="s">
        <v>252</v>
      </c>
      <c r="H102" s="261" t="s">
        <v>252</v>
      </c>
      <c r="I102" s="262" t="s">
        <v>252</v>
      </c>
      <c r="K102" s="257" t="str">
        <f>HLOOKUP($D$5,$E$8:$I$103,$A102,FALSE)</f>
        <v>Yes/No</v>
      </c>
      <c r="L102" s="205"/>
      <c r="M102" s="289"/>
      <c r="N102" s="203"/>
      <c r="O102" s="203"/>
      <c r="P102" s="204"/>
      <c r="Q102" s="205"/>
      <c r="R102" s="258" t="str">
        <f>K102</f>
        <v>Yes/No</v>
      </c>
      <c r="T102" s="207"/>
      <c r="U102" s="290" t="s">
        <v>253</v>
      </c>
      <c r="W102" s="259">
        <f>VLOOKUP(Hea01_Crit1,'Pre-Assessment Estimator'!$C$10:$W$100,'Pre-Assessment Estimator'!$E$2,FALSE)</f>
        <v>0</v>
      </c>
      <c r="X102" s="208">
        <f>VLOOKUP(D102,'Pre-Assessment Estimator'!$C$10:$W$100,'Pre-Assessment Estimator'!$L$2,FALSE)</f>
        <v>0</v>
      </c>
      <c r="Y102" s="208">
        <f>VLOOKUP(D102,'Pre-Assessment Estimator'!$C$10:$W$100,'Pre-Assessment Estimator'!$R$2,FALSE)</f>
        <v>0</v>
      </c>
      <c r="AA102" s="260" t="s">
        <v>13</v>
      </c>
      <c r="AB102" s="261" t="s">
        <v>13</v>
      </c>
      <c r="AC102" s="261" t="s">
        <v>13</v>
      </c>
      <c r="AD102" s="261" t="s">
        <v>13</v>
      </c>
      <c r="AE102" s="262" t="s">
        <v>13</v>
      </c>
      <c r="AG102" s="260" t="s">
        <v>13</v>
      </c>
      <c r="AH102" s="261" t="s">
        <v>13</v>
      </c>
      <c r="AI102" s="261" t="s">
        <v>13</v>
      </c>
      <c r="AJ102" s="261" t="s">
        <v>13</v>
      </c>
      <c r="AK102" s="262" t="s">
        <v>13</v>
      </c>
      <c r="AM102" s="211" t="str">
        <f t="shared" ref="AM102:AP103" si="91">IF($D$5=$G$8,AG102,AA102)</f>
        <v>Yes</v>
      </c>
      <c r="AN102" s="212" t="str">
        <f t="shared" si="91"/>
        <v>Yes</v>
      </c>
      <c r="AO102" s="212" t="str">
        <f t="shared" si="91"/>
        <v>Yes</v>
      </c>
      <c r="AP102" s="212" t="str">
        <f t="shared" si="91"/>
        <v>Yes</v>
      </c>
      <c r="AQ102" s="275" t="str">
        <f>IF($D$5=$G$8,AK102,AE102)</f>
        <v>Yes</v>
      </c>
      <c r="AR102" s="211">
        <f>IF(W102="Yes",5,0)</f>
        <v>0</v>
      </c>
      <c r="AS102" s="214" t="str">
        <f>VLOOKUP(AR102,$BB$8:$BC$14,2,FALSE)</f>
        <v>Unclassified</v>
      </c>
      <c r="AT102" s="215"/>
      <c r="AU102" s="211">
        <f>IF(X102="Yes",5,0)</f>
        <v>0</v>
      </c>
      <c r="AV102" s="214" t="str">
        <f>VLOOKUP(AU102,$BB$8:$BC$14,2,FALSE)</f>
        <v>Unclassified</v>
      </c>
      <c r="AW102" s="215"/>
      <c r="AX102" s="211">
        <f>IF(Y102="Yes",5,0)</f>
        <v>0</v>
      </c>
      <c r="AY102" s="214" t="str">
        <f>VLOOKUP(AX102,$BB$8:$BC$14,2,FALSE)</f>
        <v>Unclassified</v>
      </c>
      <c r="AZ102" s="215"/>
      <c r="BK102" s="214"/>
      <c r="BL102" s="214"/>
      <c r="BM102" s="214">
        <f>IFERROR(VLOOKUP($D102,'Pre-Assessment Estimator'!$C$10:$AE$100,'Pre-Assessment Estimator'!AE$2,FALSE),"")</f>
        <v>0</v>
      </c>
      <c r="BN102" s="214" t="str">
        <f t="shared" si="69"/>
        <v/>
      </c>
      <c r="BO102" s="214" t="str">
        <f t="shared" si="70"/>
        <v/>
      </c>
      <c r="BP102" s="214"/>
      <c r="BQ102" s="106" t="str">
        <f t="shared" si="71"/>
        <v/>
      </c>
    </row>
    <row r="103" spans="1:69" ht="15.75" thickBot="1" x14ac:dyDescent="0.3">
      <c r="A103" s="106">
        <v>96</v>
      </c>
      <c r="C103" s="226" t="s">
        <v>4</v>
      </c>
      <c r="D103" s="203" t="s">
        <v>282</v>
      </c>
      <c r="E103" s="216" t="s">
        <v>252</v>
      </c>
      <c r="F103" s="216" t="s">
        <v>252</v>
      </c>
      <c r="G103" s="216" t="s">
        <v>252</v>
      </c>
      <c r="H103" s="216" t="s">
        <v>252</v>
      </c>
      <c r="I103" s="217" t="s">
        <v>252</v>
      </c>
      <c r="K103" s="266" t="str">
        <f>HLOOKUP($D$5,$E$8:$I$103,$A103,FALSE)</f>
        <v>Yes/No</v>
      </c>
      <c r="L103" s="291"/>
      <c r="M103" s="289"/>
      <c r="N103" s="203"/>
      <c r="O103" s="203"/>
      <c r="P103" s="204"/>
      <c r="Q103" s="205"/>
      <c r="R103" s="258" t="str">
        <f>K103</f>
        <v>Yes/No</v>
      </c>
      <c r="T103" s="207"/>
      <c r="U103" s="290" t="s">
        <v>253</v>
      </c>
      <c r="W103" s="259">
        <f>VLOOKUP(Mat01_Crit1,'Pre-Assessment Estimator'!$C$10:$W$100,'Pre-Assessment Estimator'!$E$2,FALSE)</f>
        <v>0</v>
      </c>
      <c r="X103" s="208">
        <f>VLOOKUP(D103,'Pre-Assessment Estimator'!$C$10:$W$100,'Pre-Assessment Estimator'!$L$2,FALSE)</f>
        <v>0</v>
      </c>
      <c r="Y103" s="208">
        <f>VLOOKUP(D103,'Pre-Assessment Estimator'!$C$10:$W$100,'Pre-Assessment Estimator'!$R$2,FALSE)</f>
        <v>0</v>
      </c>
      <c r="AA103" s="388" t="s">
        <v>13</v>
      </c>
      <c r="AB103" s="216" t="s">
        <v>13</v>
      </c>
      <c r="AC103" s="216" t="s">
        <v>13</v>
      </c>
      <c r="AD103" s="216" t="s">
        <v>13</v>
      </c>
      <c r="AE103" s="217" t="s">
        <v>13</v>
      </c>
      <c r="AG103" s="388" t="s">
        <v>13</v>
      </c>
      <c r="AH103" s="216" t="s">
        <v>13</v>
      </c>
      <c r="AI103" s="216" t="s">
        <v>13</v>
      </c>
      <c r="AJ103" s="216" t="s">
        <v>13</v>
      </c>
      <c r="AK103" s="217" t="s">
        <v>13</v>
      </c>
      <c r="AM103" s="220" t="str">
        <f t="shared" si="91"/>
        <v>Yes</v>
      </c>
      <c r="AN103" s="221" t="str">
        <f t="shared" si="91"/>
        <v>Yes</v>
      </c>
      <c r="AO103" s="221" t="str">
        <f t="shared" si="91"/>
        <v>Yes</v>
      </c>
      <c r="AP103" s="221" t="str">
        <f t="shared" si="91"/>
        <v>Yes</v>
      </c>
      <c r="AQ103" s="225" t="str">
        <f>IF($D$5=$G$8,AK103,AE103)</f>
        <v>Yes</v>
      </c>
      <c r="AR103" s="220">
        <f>IF(W103="Yes",5,0)</f>
        <v>0</v>
      </c>
      <c r="AS103" s="203" t="str">
        <f>VLOOKUP(AR103,$BB$8:$BC$14,2,FALSE)</f>
        <v>Unclassified</v>
      </c>
      <c r="AT103" s="223"/>
      <c r="AU103" s="220">
        <f>IF(X103="Yes",5,0)</f>
        <v>0</v>
      </c>
      <c r="AV103" s="203" t="str">
        <f>VLOOKUP(AU103,$BB$8:$BC$14,2,FALSE)</f>
        <v>Unclassified</v>
      </c>
      <c r="AW103" s="223"/>
      <c r="AX103" s="220">
        <f>IF(Y103="Yes",5,0)</f>
        <v>0</v>
      </c>
      <c r="AY103" s="203" t="str">
        <f>VLOOKUP(AX103,$BB$8:$BC$14,2,FALSE)</f>
        <v>Unclassified</v>
      </c>
      <c r="AZ103" s="223"/>
      <c r="BK103" s="203"/>
      <c r="BL103" s="203"/>
      <c r="BM103" s="203">
        <f>IFERROR(VLOOKUP($D103,'Pre-Assessment Estimator'!$C$10:$AE$100,'Pre-Assessment Estimator'!AE$2,FALSE),"")</f>
        <v>0</v>
      </c>
      <c r="BN103" s="203" t="str">
        <f t="shared" si="69"/>
        <v/>
      </c>
      <c r="BO103" s="203" t="str">
        <f t="shared" si="70"/>
        <v/>
      </c>
      <c r="BP103" s="203"/>
      <c r="BQ103" s="106" t="str">
        <f t="shared" si="71"/>
        <v/>
      </c>
    </row>
    <row r="104" spans="1:69" ht="15.75" thickBot="1" x14ac:dyDescent="0.3">
      <c r="A104" s="106">
        <v>97</v>
      </c>
      <c r="C104" s="237" t="s">
        <v>350</v>
      </c>
      <c r="D104" s="239" t="s">
        <v>351</v>
      </c>
      <c r="E104" s="235" t="s">
        <v>252</v>
      </c>
      <c r="F104" s="235" t="s">
        <v>252</v>
      </c>
      <c r="G104" s="235" t="s">
        <v>252</v>
      </c>
      <c r="H104" s="235" t="s">
        <v>252</v>
      </c>
      <c r="I104" s="236" t="s">
        <v>252</v>
      </c>
      <c r="K104" s="266" t="str">
        <f>HLOOKUP($D$5,$E$8:$I$104,$A104,FALSE)</f>
        <v>Yes/No</v>
      </c>
      <c r="L104" s="291"/>
      <c r="M104" s="289"/>
      <c r="N104" s="203"/>
      <c r="O104" s="203"/>
      <c r="P104" s="204"/>
      <c r="Q104" s="205"/>
      <c r="R104" s="258" t="str">
        <f>K104</f>
        <v>Yes/No</v>
      </c>
      <c r="T104" s="207"/>
      <c r="U104" s="290" t="s">
        <v>253</v>
      </c>
      <c r="W104" s="259">
        <f>VLOOKUP(Mat03_Crit1,'Pre-Assessment Estimator'!$C$10:$W$100,'Pre-Assessment Estimator'!$E$2,FALSE)</f>
        <v>0</v>
      </c>
      <c r="X104" s="208">
        <f>VLOOKUP(D104,'Pre-Assessment Estimator'!$C$10:$W$100,'Pre-Assessment Estimator'!$L$2,FALSE)</f>
        <v>0</v>
      </c>
      <c r="Y104" s="208">
        <f>VLOOKUP(D104,'Pre-Assessment Estimator'!$C$10:$W$100,'Pre-Assessment Estimator'!$R$2,FALSE)</f>
        <v>0</v>
      </c>
      <c r="AA104" s="385" t="s">
        <v>13</v>
      </c>
      <c r="AB104" s="386" t="s">
        <v>13</v>
      </c>
      <c r="AC104" s="386" t="s">
        <v>13</v>
      </c>
      <c r="AD104" s="386" t="s">
        <v>13</v>
      </c>
      <c r="AE104" s="387" t="s">
        <v>13</v>
      </c>
      <c r="AG104" s="385" t="s">
        <v>13</v>
      </c>
      <c r="AH104" s="386" t="s">
        <v>13</v>
      </c>
      <c r="AI104" s="386" t="s">
        <v>13</v>
      </c>
      <c r="AJ104" s="386" t="s">
        <v>13</v>
      </c>
      <c r="AK104" s="387" t="s">
        <v>13</v>
      </c>
      <c r="AM104" s="389" t="str">
        <f t="shared" ref="AM104" si="92">IF($D$5=$G$8,AG104,AA104)</f>
        <v>Yes</v>
      </c>
      <c r="AN104" s="390" t="str">
        <f t="shared" ref="AN104" si="93">IF($D$5=$G$8,AH104,AB104)</f>
        <v>Yes</v>
      </c>
      <c r="AO104" s="390" t="str">
        <f t="shared" ref="AO104" si="94">IF($D$5=$G$8,AI104,AC104)</f>
        <v>Yes</v>
      </c>
      <c r="AP104" s="390" t="str">
        <f t="shared" ref="AP104" si="95">IF($D$5=$G$8,AJ104,AD104)</f>
        <v>Yes</v>
      </c>
      <c r="AQ104" s="391" t="str">
        <f>IF($D$5=$G$8,AK104,AE104)</f>
        <v>Yes</v>
      </c>
      <c r="AR104" s="389">
        <f>IF(W104="Yes",5,0)</f>
        <v>0</v>
      </c>
      <c r="AS104" s="392" t="str">
        <f>VLOOKUP(AR104,$BB$8:$BC$14,2,FALSE)</f>
        <v>Unclassified</v>
      </c>
      <c r="AT104" s="393"/>
      <c r="AU104" s="389">
        <f>IF(X104="Yes",5,0)</f>
        <v>0</v>
      </c>
      <c r="AV104" s="392" t="str">
        <f>VLOOKUP(AU104,$BB$8:$BC$14,2,FALSE)</f>
        <v>Unclassified</v>
      </c>
      <c r="AW104" s="393"/>
      <c r="AX104" s="389">
        <f>IF(Y104="Yes",5,0)</f>
        <v>0</v>
      </c>
      <c r="AY104" s="392" t="str">
        <f>VLOOKUP(AX104,$BB$8:$BC$14,2,FALSE)</f>
        <v>Unclassified</v>
      </c>
      <c r="AZ104" s="393"/>
      <c r="BK104" s="239"/>
      <c r="BL104" s="239"/>
      <c r="BM104" s="239">
        <f>IFERROR(VLOOKUP($D104,'Pre-Assessment Estimator'!$C$10:$AE$100,'Pre-Assessment Estimator'!AE$2,FALSE),"")</f>
        <v>0</v>
      </c>
      <c r="BN104" s="239" t="str">
        <f t="shared" si="69"/>
        <v/>
      </c>
      <c r="BO104" s="239" t="str">
        <f t="shared" si="70"/>
        <v/>
      </c>
      <c r="BP104" s="239"/>
      <c r="BQ104" s="106" t="str">
        <f t="shared" si="71"/>
        <v/>
      </c>
    </row>
    <row r="106" spans="1:69" ht="15.75" thickBot="1" x14ac:dyDescent="0.3">
      <c r="D106" s="292" t="s">
        <v>286</v>
      </c>
      <c r="E106" s="106">
        <f>E16+E28+E41+E50+E57+E64+E71+E79+E87</f>
        <v>132</v>
      </c>
      <c r="F106" s="106">
        <f>F16+F28+F41+F50+F57+F64+F71+F79+F87</f>
        <v>131</v>
      </c>
      <c r="G106" s="106">
        <f>G16+G28+G41+G50+G57+G64+G71+G79+G87</f>
        <v>125</v>
      </c>
      <c r="H106" s="106">
        <f>H16+H28+H41+H50+H57+H64+H71+H79+H87</f>
        <v>131</v>
      </c>
      <c r="I106" s="106">
        <f>I16+I28+I41+I50+I57+I64+I71+I79+I87</f>
        <v>133</v>
      </c>
      <c r="K106" s="106">
        <f>K16+K28+K41+K50+K57+K64+K71+K79+K87+K99</f>
        <v>142</v>
      </c>
      <c r="Q106" s="106">
        <f>Q16+Q28+Q41+Q50+Q57+Q64+Q71+Q79+Q87+Q99</f>
        <v>13</v>
      </c>
      <c r="R106" s="106">
        <f>R16+R28+R41+R50+R57+R64+R71+R79+R87+R99</f>
        <v>129</v>
      </c>
    </row>
    <row r="107" spans="1:69" x14ac:dyDescent="0.25">
      <c r="AL107" s="906" t="s">
        <v>257</v>
      </c>
      <c r="AM107" s="907"/>
      <c r="AN107" s="907"/>
      <c r="AO107" s="907"/>
      <c r="AP107" s="907"/>
      <c r="AQ107" s="908"/>
      <c r="AR107" s="293">
        <f>MIN(AR9:AR104)</f>
        <v>0</v>
      </c>
      <c r="AS107" s="92" t="str">
        <f>VLOOKUP(AR107,$BB$8:$BC$14,2,FALSE)</f>
        <v>Unclassified</v>
      </c>
      <c r="AT107" s="93">
        <f>VLOOKUP(BP_MinStandards,BE107:BG112,2,FALSE)</f>
        <v>0</v>
      </c>
      <c r="AU107" s="293">
        <f>MIN(AU9:AU104)</f>
        <v>0</v>
      </c>
      <c r="AV107" s="92" t="str">
        <f>VLOOKUP(AU107,$BB$8:$BC$14,2,FALSE)</f>
        <v>Unclassified</v>
      </c>
      <c r="AW107" s="93">
        <f>VLOOKUP(BP_MinStandards_design,BE107:BG112,2,FALSE)</f>
        <v>0</v>
      </c>
      <c r="AX107" s="293">
        <f>MIN(AX9:AX104)</f>
        <v>0</v>
      </c>
      <c r="AY107" s="92" t="str">
        <f>VLOOKUP(AX107,$BB$8:$BC$14,2,FALSE)</f>
        <v>Unclassified</v>
      </c>
      <c r="AZ107" s="93">
        <f>VLOOKUP(BP_MinStandards_const,BE107:BG112,2,FALSE)</f>
        <v>0</v>
      </c>
      <c r="BC107" s="294" t="s">
        <v>261</v>
      </c>
      <c r="BD107" s="295">
        <v>0</v>
      </c>
      <c r="BE107" s="296" t="s">
        <v>77</v>
      </c>
      <c r="BF107" s="297">
        <v>0</v>
      </c>
    </row>
    <row r="108" spans="1:69" x14ac:dyDescent="0.25">
      <c r="C108" s="301"/>
      <c r="D108" s="301" t="s">
        <v>245</v>
      </c>
      <c r="E108" s="301"/>
      <c r="F108" s="301"/>
      <c r="G108" s="301"/>
      <c r="H108" s="301"/>
      <c r="I108" s="301"/>
      <c r="U108" s="106">
        <f>Man_cont_tot+Hea_cont_tot+Ene_cont_tot+Tra_cont_tot+Wat_cont_tot+Mat_cont_tot+Wst_cont_tot+LE_cont_tot+Pol_cont_tot+Inn_cont_tot</f>
        <v>0</v>
      </c>
      <c r="AL108" s="909" t="s">
        <v>258</v>
      </c>
      <c r="AM108" s="910"/>
      <c r="AN108" s="910"/>
      <c r="AO108" s="910"/>
      <c r="AP108" s="910"/>
      <c r="AQ108" s="911"/>
      <c r="AR108" s="289">
        <f>Man_Credits+Hea_Credits+Ene_Credits+Tra_Credits+Wat__Credits+Mat_Credits+Wst_Credits+LE_Credits+Pol_Credits+Inn_Credits</f>
        <v>129</v>
      </c>
      <c r="AS108" s="203"/>
      <c r="AT108" s="223"/>
      <c r="AU108" s="289">
        <f>Man_Credits+Hea_Credits+Ene_Credits+Tra_Credits+Wat__Credits+Mat_Credits+Wst_Credits+LE_Credits+Pol_Credits+Inn_Credits</f>
        <v>129</v>
      </c>
      <c r="AV108" s="203"/>
      <c r="AW108" s="223"/>
      <c r="AX108" s="289">
        <f>Man_Credits+Hea_Credits+Ene_Credits+Tra_Credits+Wat__Credits+Mat_Credits+Wst_Credits+LE_Credits+Pol_Credits+Inn_Credits</f>
        <v>129</v>
      </c>
      <c r="AY108" s="203"/>
      <c r="AZ108" s="223"/>
      <c r="BC108" s="298" t="s">
        <v>260</v>
      </c>
      <c r="BD108" s="299">
        <v>0.3</v>
      </c>
      <c r="BE108" s="109" t="s">
        <v>79</v>
      </c>
      <c r="BF108" s="300">
        <v>1</v>
      </c>
    </row>
    <row r="109" spans="1:69" x14ac:dyDescent="0.25">
      <c r="D109" s="106" t="s">
        <v>345</v>
      </c>
      <c r="AL109" s="909" t="s">
        <v>259</v>
      </c>
      <c r="AM109" s="910"/>
      <c r="AN109" s="910"/>
      <c r="AO109" s="910"/>
      <c r="AP109" s="910"/>
      <c r="AQ109" s="911"/>
      <c r="AR109" s="289">
        <f>Achieved_initial</f>
        <v>0</v>
      </c>
      <c r="AS109" s="203"/>
      <c r="AT109" s="223"/>
      <c r="AU109" s="289">
        <f>Achieved_design</f>
        <v>0</v>
      </c>
      <c r="AV109" s="203"/>
      <c r="AW109" s="223"/>
      <c r="AX109" s="289">
        <f>Achieved_const</f>
        <v>0</v>
      </c>
      <c r="AY109" s="203"/>
      <c r="AZ109" s="223"/>
      <c r="BC109" s="298" t="s">
        <v>260</v>
      </c>
      <c r="BD109" s="299">
        <v>0.45</v>
      </c>
      <c r="BE109" s="109" t="s">
        <v>80</v>
      </c>
      <c r="BF109" s="300">
        <v>2</v>
      </c>
    </row>
    <row r="110" spans="1:69" ht="15.75" thickBot="1" x14ac:dyDescent="0.3">
      <c r="D110" s="106" t="s">
        <v>116</v>
      </c>
      <c r="AL110" s="912" t="s">
        <v>262</v>
      </c>
      <c r="AM110" s="913"/>
      <c r="AN110" s="913"/>
      <c r="AO110" s="913"/>
      <c r="AP110" s="913"/>
      <c r="AQ110" s="914"/>
      <c r="AR110" s="96">
        <f>Score_Initial</f>
        <v>0</v>
      </c>
      <c r="AS110" s="94" t="str">
        <f>IF(AR110&gt;=BD112,BE112,IF(AR110&gt;=BD111,BE111,IF(AR110&gt;=BD110,BE110,IF(AR110&gt;=BD109,BE109,IF(AR110&gt;=BD108,BE108,BE107)))))</f>
        <v>Unclassified</v>
      </c>
      <c r="AT110" s="95">
        <f>VLOOKUP(AS110,BE107:BG112,2,FALSE)</f>
        <v>0</v>
      </c>
      <c r="AU110" s="96">
        <f>Score_design</f>
        <v>0</v>
      </c>
      <c r="AV110" s="94" t="str">
        <f>IF(AU110&gt;=BD112,BE112,IF(AU110&gt;=BD111,BE111,IF(AU110&gt;=BD110,BE110,IF(AU110&gt;=BD109,BE109,IF(AU110&gt;=BD108,BE108,BE107)))))</f>
        <v>Unclassified</v>
      </c>
      <c r="AW110" s="95">
        <f>VLOOKUP(AV110,BE107:BG112,2,FALSE)</f>
        <v>0</v>
      </c>
      <c r="AX110" s="96">
        <f>Score_const</f>
        <v>0</v>
      </c>
      <c r="AY110" s="94" t="str">
        <f>IF(AX110&gt;=BD112,BE112,IF(AX110&gt;=BD111,BE111,IF(AX110&gt;=BD110,BE110,IF(AX110&gt;=BD109,BE109,IF(AX110&gt;=BD108,BE108,BE107)))))</f>
        <v>Unclassified</v>
      </c>
      <c r="AZ110" s="95">
        <f>VLOOKUP(AY110,BE107:BG112,2,FALSE)</f>
        <v>0</v>
      </c>
      <c r="BC110" s="298" t="s">
        <v>260</v>
      </c>
      <c r="BD110" s="299">
        <v>0.55000000000000004</v>
      </c>
      <c r="BE110" s="109" t="s">
        <v>81</v>
      </c>
      <c r="BF110" s="300">
        <v>3</v>
      </c>
    </row>
    <row r="111" spans="1:69" ht="15.75" thickBot="1" x14ac:dyDescent="0.3">
      <c r="D111" s="106" t="s">
        <v>158</v>
      </c>
      <c r="AL111" s="159"/>
      <c r="AM111" s="159"/>
      <c r="AN111" s="159"/>
      <c r="AO111" s="159"/>
      <c r="AP111" s="159"/>
      <c r="AQ111" s="159"/>
      <c r="AR111" s="159"/>
      <c r="AS111" s="159"/>
      <c r="BC111" s="298" t="s">
        <v>260</v>
      </c>
      <c r="BD111" s="299">
        <v>0.7</v>
      </c>
      <c r="BE111" s="109" t="s">
        <v>82</v>
      </c>
      <c r="BF111" s="300">
        <v>4</v>
      </c>
    </row>
    <row r="112" spans="1:69" ht="15.75" thickBot="1" x14ac:dyDescent="0.3">
      <c r="D112" s="106" t="s">
        <v>165</v>
      </c>
      <c r="AL112" s="302" t="s">
        <v>263</v>
      </c>
      <c r="AM112" s="303"/>
      <c r="AN112" s="303"/>
      <c r="AO112" s="303"/>
      <c r="AP112" s="303"/>
      <c r="AQ112" s="304"/>
      <c r="AR112" s="305" t="s">
        <v>264</v>
      </c>
      <c r="AS112" s="67" t="str">
        <f>IF(AT112=1,(BP_MinStandards&amp;"*"),AS110)</f>
        <v>Unclassified</v>
      </c>
      <c r="AT112" s="66">
        <f>IF(AT107&lt;AT110,1,0)</f>
        <v>0</v>
      </c>
      <c r="AV112" s="67" t="str">
        <f>IF(AW112=1,(BP_MinStandards_design&amp;"*"),AV110)</f>
        <v>Unclassified</v>
      </c>
      <c r="AW112" s="66">
        <f>IF(AW107&lt;AW110,1,0)</f>
        <v>0</v>
      </c>
      <c r="AY112" s="67" t="str">
        <f>IF(AZ112=1,(BP_MinStandards_const&amp;"*"),AY110)</f>
        <v>Unclassified</v>
      </c>
      <c r="AZ112" s="66">
        <f>IF(AZ107&lt;AZ110,1,0)</f>
        <v>0</v>
      </c>
      <c r="BC112" s="306" t="s">
        <v>260</v>
      </c>
      <c r="BD112" s="307">
        <v>0.85</v>
      </c>
      <c r="BE112" s="308" t="s">
        <v>83</v>
      </c>
      <c r="BF112" s="309">
        <v>5</v>
      </c>
    </row>
    <row r="113" spans="3:51" x14ac:dyDescent="0.25">
      <c r="D113" s="106" t="s">
        <v>169</v>
      </c>
    </row>
    <row r="114" spans="3:51" x14ac:dyDescent="0.25">
      <c r="D114" s="106" t="s">
        <v>170</v>
      </c>
      <c r="AL114" s="106" t="s">
        <v>265</v>
      </c>
    </row>
    <row r="115" spans="3:51" x14ac:dyDescent="0.25">
      <c r="D115" s="106" t="s">
        <v>352</v>
      </c>
      <c r="AS115" s="310" t="str">
        <f>IF(AT112=1,AL114,"")</f>
        <v/>
      </c>
      <c r="AV115" s="310" t="str">
        <f>IF(AW112=1,AL114,"")</f>
        <v/>
      </c>
      <c r="AY115" s="310" t="str">
        <f>IF(AZ112=1,AL114,"")</f>
        <v/>
      </c>
    </row>
    <row r="116" spans="3:51" x14ac:dyDescent="0.25">
      <c r="D116" s="106" t="s">
        <v>340</v>
      </c>
    </row>
    <row r="117" spans="3:51" x14ac:dyDescent="0.25">
      <c r="D117" s="106" t="s">
        <v>359</v>
      </c>
      <c r="AL117" s="106" t="str">
        <f>"* = "&amp;AL114</f>
        <v>* = The rating has been limited to the min. standards level achieved</v>
      </c>
    </row>
    <row r="124" spans="3:51" x14ac:dyDescent="0.25">
      <c r="C124" s="106" t="s">
        <v>13</v>
      </c>
      <c r="D124" s="106" t="s">
        <v>356</v>
      </c>
      <c r="E124" s="106" t="s">
        <v>348</v>
      </c>
    </row>
    <row r="125" spans="3:51" x14ac:dyDescent="0.25">
      <c r="C125" s="106" t="s">
        <v>14</v>
      </c>
      <c r="D125" s="106" t="s">
        <v>356</v>
      </c>
      <c r="E125" s="106" t="s">
        <v>349</v>
      </c>
    </row>
    <row r="138" spans="3:7" ht="15.75" thickBot="1" x14ac:dyDescent="0.3">
      <c r="D138" s="849">
        <v>1</v>
      </c>
      <c r="E138" s="849">
        <v>2</v>
      </c>
      <c r="F138" s="849">
        <v>3</v>
      </c>
      <c r="G138" s="849">
        <v>4</v>
      </c>
    </row>
    <row r="139" spans="3:7" ht="15.75" thickBot="1" x14ac:dyDescent="0.3">
      <c r="C139" s="176"/>
      <c r="D139" s="837" t="s">
        <v>532</v>
      </c>
      <c r="E139" s="177" t="s">
        <v>538</v>
      </c>
      <c r="F139" s="177" t="s">
        <v>540</v>
      </c>
      <c r="G139" s="188" t="s">
        <v>541</v>
      </c>
    </row>
    <row r="140" spans="3:7" x14ac:dyDescent="0.25">
      <c r="C140" s="197" t="s">
        <v>533</v>
      </c>
      <c r="D140" s="834" t="str">
        <f>'Pre-Assessment Estimator'!AG18</f>
        <v>O1: Glare ctrl/artificial light</v>
      </c>
      <c r="E140" s="198">
        <v>0</v>
      </c>
      <c r="F140" s="198" t="s">
        <v>539</v>
      </c>
      <c r="G140" s="841"/>
    </row>
    <row r="141" spans="3:7" x14ac:dyDescent="0.25">
      <c r="C141" s="202" t="s">
        <v>533</v>
      </c>
      <c r="D141" s="77" t="str">
        <f>'Pre-Assessment Estimator'!AH18</f>
        <v>O2: Glare control (-0,5 c)</v>
      </c>
      <c r="E141" s="203">
        <v>-0.5</v>
      </c>
      <c r="F141" s="203" t="s">
        <v>539</v>
      </c>
      <c r="G141" s="223"/>
    </row>
    <row r="142" spans="3:7" x14ac:dyDescent="0.25">
      <c r="C142" s="202" t="s">
        <v>533</v>
      </c>
      <c r="D142" s="77" t="str">
        <f>'Pre-Assessment Estimator'!AI18</f>
        <v>O2: Artificial lighting (-0,5 c)</v>
      </c>
      <c r="E142" s="203">
        <v>-0.5</v>
      </c>
      <c r="F142" s="203" t="s">
        <v>539</v>
      </c>
      <c r="G142" s="223"/>
    </row>
    <row r="143" spans="3:7" x14ac:dyDescent="0.25">
      <c r="C143" s="202" t="s">
        <v>533</v>
      </c>
      <c r="D143" s="77" t="str">
        <f>'Pre-Assessment Estimator'!AJ18</f>
        <v>O2: Glare ctrl &amp; artif light (-1,0 c)</v>
      </c>
      <c r="E143" s="203">
        <v>-1</v>
      </c>
      <c r="F143" s="203" t="s">
        <v>539</v>
      </c>
      <c r="G143" s="223"/>
    </row>
    <row r="144" spans="3:7" x14ac:dyDescent="0.25">
      <c r="C144" s="202" t="s">
        <v>533</v>
      </c>
      <c r="D144" s="77" t="str">
        <f>'Pre-Assessment Estimator'!AK18</f>
        <v>O3: Glare ctrl/artif lighting</v>
      </c>
      <c r="E144" s="203">
        <v>0</v>
      </c>
      <c r="F144" s="203" t="s">
        <v>539</v>
      </c>
      <c r="G144" s="223"/>
    </row>
    <row r="145" spans="3:7" ht="15.75" thickBot="1" x14ac:dyDescent="0.3">
      <c r="C145" s="276" t="s">
        <v>533</v>
      </c>
      <c r="D145" s="835" t="str">
        <f>'Pre-Assessment Estimator'!AL18</f>
        <v>Glare ctrl/artif lighting N/A</v>
      </c>
      <c r="E145" s="242">
        <v>0</v>
      </c>
      <c r="F145" s="242" t="s">
        <v>539</v>
      </c>
      <c r="G145" s="243">
        <v>2</v>
      </c>
    </row>
    <row r="146" spans="3:7" x14ac:dyDescent="0.25">
      <c r="C146" s="197" t="s">
        <v>534</v>
      </c>
      <c r="D146" s="834" t="str">
        <f>'Pre-Assessment Estimator'!AG20</f>
        <v>O1: VOC</v>
      </c>
      <c r="E146" s="198">
        <v>0</v>
      </c>
      <c r="F146" s="198" t="s">
        <v>539</v>
      </c>
      <c r="G146" s="841"/>
    </row>
    <row r="147" spans="3:7" x14ac:dyDescent="0.25">
      <c r="C147" s="202" t="s">
        <v>534</v>
      </c>
      <c r="D147" s="77" t="str">
        <f>'Pre-Assessment Estimator'!AH20</f>
        <v>O2: VOC (AC 6-7: -0,5 c)</v>
      </c>
      <c r="E147" s="203">
        <v>-0.5</v>
      </c>
      <c r="F147" s="203" t="s">
        <v>539</v>
      </c>
      <c r="G147" s="223"/>
    </row>
    <row r="148" spans="3:7" x14ac:dyDescent="0.25">
      <c r="C148" s="202" t="s">
        <v>534</v>
      </c>
      <c r="D148" s="77" t="str">
        <f>'Pre-Assessment Estimator'!AI20</f>
        <v>O2: VOC (AC 8-9: -1,0 c)</v>
      </c>
      <c r="E148" s="203">
        <v>-1</v>
      </c>
      <c r="F148" s="203" t="s">
        <v>539</v>
      </c>
      <c r="G148" s="223"/>
    </row>
    <row r="149" spans="3:7" x14ac:dyDescent="0.25">
      <c r="C149" s="202" t="s">
        <v>534</v>
      </c>
      <c r="D149" s="77" t="str">
        <f>'Pre-Assessment Estimator'!AJ20</f>
        <v>O3: VOC</v>
      </c>
      <c r="E149" s="203">
        <v>0</v>
      </c>
      <c r="F149" s="203" t="s">
        <v>539</v>
      </c>
      <c r="G149" s="223"/>
    </row>
    <row r="150" spans="3:7" ht="15.75" thickBot="1" x14ac:dyDescent="0.3">
      <c r="C150" s="230" t="s">
        <v>534</v>
      </c>
      <c r="D150" s="839" t="str">
        <f>'Pre-Assessment Estimator'!AK20</f>
        <v>VOC N/A</v>
      </c>
      <c r="E150" s="231">
        <v>0</v>
      </c>
      <c r="F150" s="231" t="s">
        <v>539</v>
      </c>
      <c r="G150" s="840">
        <v>5</v>
      </c>
    </row>
    <row r="151" spans="3:7" x14ac:dyDescent="0.25">
      <c r="C151" s="394" t="s">
        <v>535</v>
      </c>
      <c r="D151" s="838" t="str">
        <f>'Pre-Assessment Estimator'!AG32</f>
        <v>O1: Sub-metering</v>
      </c>
      <c r="E151" s="214">
        <v>0</v>
      </c>
      <c r="F151" s="214" t="s">
        <v>539</v>
      </c>
      <c r="G151" s="215"/>
    </row>
    <row r="152" spans="3:7" x14ac:dyDescent="0.25">
      <c r="C152" s="202" t="s">
        <v>535</v>
      </c>
      <c r="D152" s="77" t="str">
        <f>'Pre-Assessment Estimator'!AH32</f>
        <v>O2: Sub-met. (AC 1-3: -0,5 c)</v>
      </c>
      <c r="E152" s="203">
        <v>-0.5</v>
      </c>
      <c r="F152" s="203" t="s">
        <v>539</v>
      </c>
      <c r="G152" s="223"/>
    </row>
    <row r="153" spans="3:7" x14ac:dyDescent="0.25">
      <c r="C153" s="202" t="s">
        <v>535</v>
      </c>
      <c r="D153" s="77" t="str">
        <f>'Pre-Assessment Estimator'!AI32</f>
        <v>O2: Sub-met. (AC 4-7: -1,0 c)</v>
      </c>
      <c r="E153" s="203">
        <v>-1</v>
      </c>
      <c r="F153" s="203" t="s">
        <v>539</v>
      </c>
      <c r="G153" s="223"/>
    </row>
    <row r="154" spans="3:7" x14ac:dyDescent="0.25">
      <c r="C154" s="202" t="s">
        <v>535</v>
      </c>
      <c r="D154" s="77" t="str">
        <f>'Pre-Assessment Estimator'!AJ32</f>
        <v>O3: Sub-metering</v>
      </c>
      <c r="E154" s="203">
        <v>0</v>
      </c>
      <c r="F154" s="203" t="s">
        <v>539</v>
      </c>
      <c r="G154" s="223"/>
    </row>
    <row r="155" spans="3:7" ht="15.75" thickBot="1" x14ac:dyDescent="0.3">
      <c r="C155" s="230" t="s">
        <v>535</v>
      </c>
      <c r="D155" s="839" t="str">
        <f>'Pre-Assessment Estimator'!AK32</f>
        <v>Sub-metering N/A</v>
      </c>
      <c r="E155" s="231">
        <v>0</v>
      </c>
      <c r="F155" s="231" t="s">
        <v>539</v>
      </c>
      <c r="G155" s="840">
        <v>1</v>
      </c>
    </row>
    <row r="156" spans="3:7" x14ac:dyDescent="0.25">
      <c r="C156" s="394" t="s">
        <v>536</v>
      </c>
      <c r="D156" s="838" t="str">
        <f>'Pre-Assessment Estimator'!AG55</f>
        <v>O1: Flow control</v>
      </c>
      <c r="E156" s="214">
        <v>0</v>
      </c>
      <c r="F156" s="214" t="s">
        <v>539</v>
      </c>
      <c r="G156" s="215"/>
    </row>
    <row r="157" spans="3:7" x14ac:dyDescent="0.25">
      <c r="C157" s="202" t="s">
        <v>536</v>
      </c>
      <c r="D157" s="77" t="str">
        <f>'Pre-Assessment Estimator'!AH55</f>
        <v>O2: Flow control (-0,5 c)</v>
      </c>
      <c r="E157" s="203">
        <v>-0.5</v>
      </c>
      <c r="F157" s="203" t="s">
        <v>539</v>
      </c>
      <c r="G157" s="223"/>
    </row>
    <row r="158" spans="3:7" x14ac:dyDescent="0.25">
      <c r="C158" s="202" t="s">
        <v>536</v>
      </c>
      <c r="D158" s="77" t="str">
        <f>'Pre-Assessment Estimator'!AI55</f>
        <v xml:space="preserve">O3: Flow control </v>
      </c>
      <c r="E158" s="203">
        <v>0</v>
      </c>
      <c r="F158" s="203" t="s">
        <v>539</v>
      </c>
      <c r="G158" s="223"/>
    </row>
    <row r="159" spans="3:7" ht="15.75" thickBot="1" x14ac:dyDescent="0.3">
      <c r="C159" s="276" t="s">
        <v>536</v>
      </c>
      <c r="D159" s="835" t="str">
        <f>'Pre-Assessment Estimator'!AJ55</f>
        <v>Flow control N/A</v>
      </c>
      <c r="E159" s="242">
        <v>0</v>
      </c>
      <c r="F159" s="242" t="s">
        <v>539</v>
      </c>
      <c r="G159" s="243">
        <v>1</v>
      </c>
    </row>
    <row r="160" spans="3:7" ht="15.75" thickBot="1" x14ac:dyDescent="0.3">
      <c r="C160" s="845" t="s">
        <v>201</v>
      </c>
      <c r="D160" s="846" t="s">
        <v>531</v>
      </c>
      <c r="E160" s="847">
        <v>1</v>
      </c>
      <c r="F160" s="847" t="s">
        <v>542</v>
      </c>
      <c r="G160" s="297"/>
    </row>
    <row r="161" spans="3:7" x14ac:dyDescent="0.25">
      <c r="C161" s="394"/>
      <c r="D161" s="844" t="s">
        <v>537</v>
      </c>
      <c r="E161" s="214"/>
      <c r="F161" s="214"/>
      <c r="G161" s="215"/>
    </row>
    <row r="162" spans="3:7" x14ac:dyDescent="0.25">
      <c r="C162" s="202"/>
      <c r="D162" s="836" t="s">
        <v>537</v>
      </c>
      <c r="E162" s="203"/>
      <c r="F162" s="203"/>
      <c r="G162" s="223"/>
    </row>
    <row r="163" spans="3:7" x14ac:dyDescent="0.25">
      <c r="C163" s="202"/>
      <c r="D163" s="836" t="s">
        <v>537</v>
      </c>
      <c r="E163" s="203"/>
      <c r="F163" s="203"/>
      <c r="G163" s="223"/>
    </row>
    <row r="164" spans="3:7" x14ac:dyDescent="0.25">
      <c r="C164" s="202"/>
      <c r="D164" s="836" t="s">
        <v>537</v>
      </c>
      <c r="E164" s="203"/>
      <c r="F164" s="203"/>
      <c r="G164" s="223"/>
    </row>
    <row r="165" spans="3:7" ht="15.75" thickBot="1" x14ac:dyDescent="0.3">
      <c r="C165" s="230"/>
      <c r="D165" s="843" t="s">
        <v>537</v>
      </c>
      <c r="E165" s="231"/>
      <c r="F165" s="231"/>
      <c r="G165" s="840"/>
    </row>
    <row r="166" spans="3:7" x14ac:dyDescent="0.25">
      <c r="C166" s="394"/>
      <c r="D166" s="214" t="s">
        <v>526</v>
      </c>
      <c r="E166" s="214">
        <v>1</v>
      </c>
      <c r="F166" s="214"/>
      <c r="G166" s="215"/>
    </row>
    <row r="167" spans="3:7" x14ac:dyDescent="0.25">
      <c r="C167" s="202"/>
      <c r="D167" s="203" t="s">
        <v>530</v>
      </c>
      <c r="E167" s="203">
        <v>0.5</v>
      </c>
      <c r="F167" s="203"/>
      <c r="G167" s="223"/>
    </row>
    <row r="168" spans="3:7" ht="15.75" thickBot="1" x14ac:dyDescent="0.3">
      <c r="C168" s="276"/>
      <c r="D168" s="242" t="s">
        <v>528</v>
      </c>
      <c r="E168" s="242">
        <v>1</v>
      </c>
      <c r="F168" s="242"/>
      <c r="G168" s="243"/>
    </row>
    <row r="169" spans="3:7" x14ac:dyDescent="0.25">
      <c r="C169" s="197"/>
      <c r="D169" s="842" t="s">
        <v>537</v>
      </c>
      <c r="E169" s="198"/>
      <c r="F169" s="198"/>
      <c r="G169" s="841"/>
    </row>
    <row r="170" spans="3:7" x14ac:dyDescent="0.25">
      <c r="C170" s="202"/>
      <c r="D170" s="836" t="s">
        <v>537</v>
      </c>
      <c r="E170" s="203"/>
      <c r="F170" s="203"/>
      <c r="G170" s="223"/>
    </row>
    <row r="171" spans="3:7" x14ac:dyDescent="0.25">
      <c r="C171" s="202"/>
      <c r="D171" s="836" t="s">
        <v>537</v>
      </c>
      <c r="E171" s="203"/>
      <c r="F171" s="203"/>
      <c r="G171" s="223"/>
    </row>
    <row r="172" spans="3:7" x14ac:dyDescent="0.25">
      <c r="C172" s="202"/>
      <c r="D172" s="203" t="str">
        <f>AIS_NA</f>
        <v>N/A</v>
      </c>
      <c r="E172" s="203">
        <v>1</v>
      </c>
      <c r="F172" s="203"/>
      <c r="G172" s="223"/>
    </row>
    <row r="173" spans="3:7" ht="15.75" thickBot="1" x14ac:dyDescent="0.3">
      <c r="C173" s="276"/>
      <c r="D173" s="242" t="s">
        <v>14</v>
      </c>
      <c r="E173" s="242">
        <v>1</v>
      </c>
      <c r="F173" s="242"/>
      <c r="G173" s="243"/>
    </row>
  </sheetData>
  <sheetProtection algorithmName="SHA-512" hashValue="bfRpUgvBBSOXrpzVGaLZaM1osRBU3OKbnjF8dgH7wf9hEsr082pH9AritbScuvp7KqYi5GNyWi4Twe3YmwPnaw==" saltValue="J59KIOfoTCEixFLrkS9qHA==" spinCount="100000" sheet="1" selectLockedCells="1"/>
  <sortState xmlns:xlrd2="http://schemas.microsoft.com/office/spreadsheetml/2017/richdata2" ref="D158:E241">
    <sortCondition ref="E158:E241"/>
  </sortState>
  <mergeCells count="12">
    <mergeCell ref="AL109:AQ109"/>
    <mergeCell ref="AL110:AQ110"/>
    <mergeCell ref="E7:I7"/>
    <mergeCell ref="L7:P7"/>
    <mergeCell ref="AA7:AE7"/>
    <mergeCell ref="AG7:AK7"/>
    <mergeCell ref="AM7:AQ7"/>
    <mergeCell ref="AX7:AZ7"/>
    <mergeCell ref="AR7:AT7"/>
    <mergeCell ref="AU7:AW7"/>
    <mergeCell ref="AL107:AQ107"/>
    <mergeCell ref="AL108:AQ108"/>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0"/>
  <sheetViews>
    <sheetView zoomScale="70" zoomScaleNormal="70" workbookViewId="0">
      <selection activeCell="H2" sqref="H2"/>
    </sheetView>
  </sheetViews>
  <sheetFormatPr defaultColWidth="8.85546875" defaultRowHeight="15" x14ac:dyDescent="0.25"/>
  <cols>
    <col min="2" max="2" width="60.28515625" bestFit="1" customWidth="1"/>
    <col min="3" max="3" width="19.85546875" customWidth="1"/>
    <col min="4" max="4" width="27.140625" bestFit="1" customWidth="1"/>
    <col min="5" max="5" width="22.5703125" style="31" bestFit="1" customWidth="1"/>
    <col min="7" max="7" width="11.140625" bestFit="1" customWidth="1"/>
    <col min="17" max="17" width="20.140625" bestFit="1" customWidth="1"/>
    <col min="18" max="18" width="45.85546875" customWidth="1"/>
    <col min="19" max="19" width="46.28515625" customWidth="1"/>
    <col min="20" max="20" width="36.140625" customWidth="1"/>
  </cols>
  <sheetData>
    <row r="1" spans="1:20" s="31" customFormat="1" ht="15.75" thickBot="1" x14ac:dyDescent="0.3">
      <c r="G1" s="31">
        <v>7</v>
      </c>
    </row>
    <row r="2" spans="1:20" s="31" customFormat="1" ht="15.75" thickBot="1" x14ac:dyDescent="0.3">
      <c r="B2" s="73" t="s">
        <v>270</v>
      </c>
      <c r="C2" s="73"/>
      <c r="D2" s="73"/>
      <c r="E2" s="73"/>
      <c r="F2" s="73"/>
      <c r="G2" s="475" t="s">
        <v>405</v>
      </c>
      <c r="H2" s="441" t="s">
        <v>14</v>
      </c>
      <c r="I2" s="31" t="s">
        <v>13</v>
      </c>
    </row>
    <row r="3" spans="1:20" s="31" customFormat="1" x14ac:dyDescent="0.25"/>
    <row r="4" spans="1:20" s="31" customFormat="1" ht="15.75" thickBot="1" x14ac:dyDescent="0.3">
      <c r="Q4" s="31" t="s">
        <v>499</v>
      </c>
    </row>
    <row r="5" spans="1:20" ht="23.25" thickBot="1" x14ac:dyDescent="0.3">
      <c r="B5" s="62" t="s">
        <v>90</v>
      </c>
      <c r="C5" s="65" t="s">
        <v>266</v>
      </c>
      <c r="D5" s="70" t="s">
        <v>269</v>
      </c>
      <c r="E5" s="65" t="s">
        <v>230</v>
      </c>
      <c r="G5" s="459" t="s">
        <v>497</v>
      </c>
      <c r="M5" s="923" t="s">
        <v>498</v>
      </c>
      <c r="N5" s="923"/>
      <c r="Q5" s="456" t="s">
        <v>413</v>
      </c>
      <c r="R5" s="457" t="s">
        <v>414</v>
      </c>
      <c r="S5" s="457" t="s">
        <v>415</v>
      </c>
      <c r="T5" s="458" t="s">
        <v>416</v>
      </c>
    </row>
    <row r="6" spans="1:20" ht="15.75" thickBot="1" x14ac:dyDescent="0.3">
      <c r="B6" s="69" t="s">
        <v>66</v>
      </c>
      <c r="C6" s="69"/>
      <c r="D6" s="69"/>
      <c r="E6" s="69"/>
      <c r="G6" s="460"/>
      <c r="M6" s="446" t="s">
        <v>417</v>
      </c>
      <c r="N6" t="b">
        <f>M6=Q6</f>
        <v>1</v>
      </c>
      <c r="Q6" s="481" t="s">
        <v>417</v>
      </c>
      <c r="R6" s="482"/>
      <c r="S6" s="482"/>
      <c r="T6" s="483"/>
    </row>
    <row r="7" spans="1:20" x14ac:dyDescent="0.25">
      <c r="A7" t="s">
        <v>96</v>
      </c>
      <c r="B7" s="56" t="s">
        <v>341</v>
      </c>
      <c r="C7" s="56">
        <f>Poeng!K9</f>
        <v>4</v>
      </c>
      <c r="D7" s="55"/>
      <c r="E7" s="56">
        <f>Poeng!R9</f>
        <v>4</v>
      </c>
      <c r="G7" s="460">
        <f t="shared" ref="G7:G13" si="0">SUMIF($P$7:$P$91,A7,$S$7:$S$91)</f>
        <v>4</v>
      </c>
      <c r="H7" s="479" t="str">
        <f>IF(E7=G7,"OK","FEIL")</f>
        <v>OK</v>
      </c>
      <c r="M7" s="450" t="s">
        <v>96</v>
      </c>
      <c r="N7" s="445" t="b">
        <f t="shared" ref="N7:N70" si="1">M7=Q7</f>
        <v>1</v>
      </c>
      <c r="P7" t="s">
        <v>96</v>
      </c>
      <c r="Q7" s="461" t="s">
        <v>96</v>
      </c>
      <c r="R7" s="488" t="s">
        <v>418</v>
      </c>
      <c r="S7" s="486">
        <v>4</v>
      </c>
      <c r="T7" s="462" t="s">
        <v>419</v>
      </c>
    </row>
    <row r="8" spans="1:20" x14ac:dyDescent="0.25">
      <c r="A8" t="s">
        <v>97</v>
      </c>
      <c r="B8" s="54" t="s">
        <v>342</v>
      </c>
      <c r="C8" s="54">
        <f>Poeng!K10</f>
        <v>4</v>
      </c>
      <c r="D8" s="53"/>
      <c r="E8" s="56">
        <f>Poeng!R10</f>
        <v>4</v>
      </c>
      <c r="G8" s="460">
        <f t="shared" si="0"/>
        <v>4</v>
      </c>
      <c r="H8" s="479" t="str">
        <f t="shared" ref="H8:H71" si="2">IF(E8=G8,"OK","FEIL")</f>
        <v>OK</v>
      </c>
      <c r="M8" s="450" t="s">
        <v>97</v>
      </c>
      <c r="N8" s="445" t="b">
        <f t="shared" si="1"/>
        <v>1</v>
      </c>
      <c r="P8" t="s">
        <v>97</v>
      </c>
      <c r="Q8" s="461" t="s">
        <v>97</v>
      </c>
      <c r="R8" s="488" t="s">
        <v>420</v>
      </c>
      <c r="S8" s="487">
        <v>4</v>
      </c>
      <c r="T8" s="463" t="s">
        <v>419</v>
      </c>
    </row>
    <row r="9" spans="1:20" x14ac:dyDescent="0.25">
      <c r="A9" t="s">
        <v>98</v>
      </c>
      <c r="B9" s="54" t="s">
        <v>343</v>
      </c>
      <c r="C9" s="54">
        <f>Poeng!K11</f>
        <v>6</v>
      </c>
      <c r="D9" s="53"/>
      <c r="E9" s="56">
        <f>Poeng!R11</f>
        <v>6</v>
      </c>
      <c r="G9" s="460">
        <f t="shared" si="0"/>
        <v>6</v>
      </c>
      <c r="H9" s="479" t="str">
        <f t="shared" si="2"/>
        <v>OK</v>
      </c>
      <c r="J9" s="445"/>
      <c r="M9" s="450" t="s">
        <v>98</v>
      </c>
      <c r="N9" s="445" t="b">
        <f t="shared" si="1"/>
        <v>1</v>
      </c>
      <c r="P9" t="s">
        <v>98</v>
      </c>
      <c r="Q9" s="461" t="s">
        <v>98</v>
      </c>
      <c r="R9" s="488" t="s">
        <v>421</v>
      </c>
      <c r="S9" s="486">
        <v>6</v>
      </c>
      <c r="T9" s="462" t="s">
        <v>419</v>
      </c>
    </row>
    <row r="10" spans="1:20" x14ac:dyDescent="0.25">
      <c r="A10" t="s">
        <v>99</v>
      </c>
      <c r="B10" s="54" t="s">
        <v>344</v>
      </c>
      <c r="C10" s="54">
        <f>Poeng!K12</f>
        <v>3</v>
      </c>
      <c r="D10" s="53"/>
      <c r="E10" s="56">
        <f>Poeng!R12</f>
        <v>3</v>
      </c>
      <c r="G10" s="460">
        <f t="shared" si="0"/>
        <v>3</v>
      </c>
      <c r="H10" s="479" t="str">
        <f t="shared" si="2"/>
        <v>OK</v>
      </c>
      <c r="J10" s="445"/>
      <c r="M10" s="450" t="s">
        <v>99</v>
      </c>
      <c r="N10" s="445" t="b">
        <f t="shared" si="1"/>
        <v>1</v>
      </c>
      <c r="P10" t="s">
        <v>99</v>
      </c>
      <c r="Q10" s="461" t="s">
        <v>99</v>
      </c>
      <c r="R10" s="488" t="s">
        <v>422</v>
      </c>
      <c r="S10" s="486">
        <v>3</v>
      </c>
      <c r="T10" s="462" t="s">
        <v>419</v>
      </c>
    </row>
    <row r="11" spans="1:20" ht="15" customHeight="1" x14ac:dyDescent="0.25">
      <c r="A11" t="s">
        <v>100</v>
      </c>
      <c r="B11" s="54" t="s">
        <v>345</v>
      </c>
      <c r="C11" s="54">
        <f>Poeng!K13</f>
        <v>3</v>
      </c>
      <c r="D11" s="53"/>
      <c r="E11" s="56">
        <f>Poeng!R13</f>
        <v>3</v>
      </c>
      <c r="G11" s="460">
        <f t="shared" si="0"/>
        <v>3</v>
      </c>
      <c r="H11" s="479" t="str">
        <f t="shared" si="2"/>
        <v>OK</v>
      </c>
      <c r="J11" s="445"/>
      <c r="M11" s="450" t="s">
        <v>100</v>
      </c>
      <c r="N11" s="445" t="b">
        <f t="shared" si="1"/>
        <v>1</v>
      </c>
      <c r="P11" t="s">
        <v>100</v>
      </c>
      <c r="Q11" s="461" t="s">
        <v>100</v>
      </c>
      <c r="R11" s="488" t="s">
        <v>423</v>
      </c>
      <c r="S11" s="486">
        <v>3</v>
      </c>
      <c r="T11" s="462" t="s">
        <v>419</v>
      </c>
    </row>
    <row r="12" spans="1:20" x14ac:dyDescent="0.25">
      <c r="B12" s="54" t="s">
        <v>101</v>
      </c>
      <c r="C12" s="54">
        <f>Poeng!K14</f>
        <v>0</v>
      </c>
      <c r="D12" s="53"/>
      <c r="E12" s="56">
        <f>Poeng!R14</f>
        <v>0</v>
      </c>
      <c r="G12" s="460">
        <f t="shared" si="0"/>
        <v>0</v>
      </c>
      <c r="H12" s="479" t="str">
        <f t="shared" si="2"/>
        <v>OK</v>
      </c>
      <c r="J12" s="445"/>
      <c r="M12" s="447"/>
      <c r="N12" s="445" t="b">
        <f t="shared" si="1"/>
        <v>1</v>
      </c>
      <c r="Q12" s="464"/>
      <c r="R12" s="485"/>
      <c r="S12" s="485"/>
      <c r="T12" s="465"/>
    </row>
    <row r="13" spans="1:20" ht="15.75" thickBot="1" x14ac:dyDescent="0.3">
      <c r="B13" s="59" t="s">
        <v>102</v>
      </c>
      <c r="C13" s="59">
        <f>Poeng!K15</f>
        <v>0</v>
      </c>
      <c r="D13" s="58"/>
      <c r="E13" s="56">
        <f>Poeng!R15</f>
        <v>0</v>
      </c>
      <c r="G13" s="460">
        <f t="shared" si="0"/>
        <v>0</v>
      </c>
      <c r="H13" s="479" t="str">
        <f t="shared" si="2"/>
        <v>OK</v>
      </c>
      <c r="J13" s="445"/>
      <c r="M13" s="448" t="s">
        <v>424</v>
      </c>
      <c r="N13" s="445" t="b">
        <f t="shared" si="1"/>
        <v>1</v>
      </c>
      <c r="Q13" s="466" t="s">
        <v>424</v>
      </c>
      <c r="R13" s="485"/>
      <c r="S13" s="485"/>
      <c r="T13" s="465"/>
    </row>
    <row r="14" spans="1:20" ht="25.5" thickBot="1" x14ac:dyDescent="0.3">
      <c r="B14" s="60" t="s">
        <v>230</v>
      </c>
      <c r="C14" s="60">
        <f>Poeng!K16</f>
        <v>20</v>
      </c>
      <c r="D14" s="60"/>
      <c r="E14" s="60">
        <f>SUM(E7:E13)</f>
        <v>20</v>
      </c>
      <c r="G14" s="60">
        <f>SUM(G7:G13)</f>
        <v>20</v>
      </c>
      <c r="H14" s="479" t="str">
        <f t="shared" si="2"/>
        <v>OK</v>
      </c>
      <c r="J14" s="445"/>
      <c r="M14" s="453" t="s">
        <v>124</v>
      </c>
      <c r="N14" s="445" t="b">
        <f t="shared" si="1"/>
        <v>1</v>
      </c>
      <c r="P14" s="445" t="s">
        <v>124</v>
      </c>
      <c r="Q14" s="924" t="s">
        <v>124</v>
      </c>
      <c r="R14" s="490" t="s">
        <v>425</v>
      </c>
      <c r="S14" s="486">
        <v>2</v>
      </c>
      <c r="T14" s="467" t="s">
        <v>419</v>
      </c>
    </row>
    <row r="15" spans="1:20" ht="15.75" thickBot="1" x14ac:dyDescent="0.3">
      <c r="B15" s="31"/>
      <c r="C15" s="31"/>
      <c r="D15" s="31"/>
      <c r="G15" s="460"/>
      <c r="H15" s="479" t="str">
        <f t="shared" si="2"/>
        <v>OK</v>
      </c>
      <c r="J15" s="445"/>
      <c r="M15" s="454"/>
      <c r="N15" s="445" t="b">
        <f t="shared" si="1"/>
        <v>1</v>
      </c>
      <c r="P15" s="445" t="s">
        <v>124</v>
      </c>
      <c r="Q15" s="925"/>
      <c r="R15" s="489" t="s">
        <v>426</v>
      </c>
      <c r="S15" s="487">
        <v>1</v>
      </c>
      <c r="T15" s="468" t="s">
        <v>419</v>
      </c>
    </row>
    <row r="16" spans="1:20" ht="15.75" thickBot="1" x14ac:dyDescent="0.3">
      <c r="B16" s="57" t="s">
        <v>69</v>
      </c>
      <c r="C16" s="57"/>
      <c r="D16" s="57"/>
      <c r="E16" s="57"/>
      <c r="G16" s="460">
        <f t="shared" ref="G16:G25" si="3">SUMIF($P$7:$P$91,A16,$S$7:$S$91)</f>
        <v>0</v>
      </c>
      <c r="H16" s="479" t="str">
        <f t="shared" si="2"/>
        <v>OK</v>
      </c>
      <c r="J16" s="445"/>
      <c r="M16" s="455"/>
      <c r="N16" s="445" t="b">
        <f t="shared" si="1"/>
        <v>1</v>
      </c>
      <c r="P16" s="445" t="s">
        <v>124</v>
      </c>
      <c r="Q16" s="926"/>
      <c r="R16" s="489" t="s">
        <v>427</v>
      </c>
      <c r="S16" s="486">
        <v>1</v>
      </c>
      <c r="T16" s="467" t="s">
        <v>419</v>
      </c>
    </row>
    <row r="17" spans="1:20" ht="24.75" x14ac:dyDescent="0.25">
      <c r="A17" t="s">
        <v>124</v>
      </c>
      <c r="B17" s="56" t="s">
        <v>122</v>
      </c>
      <c r="C17" s="56">
        <f>Poeng!K19</f>
        <v>4</v>
      </c>
      <c r="D17" s="55"/>
      <c r="E17" s="56">
        <f>Poeng!R19</f>
        <v>4</v>
      </c>
      <c r="G17" s="460">
        <f t="shared" si="3"/>
        <v>4</v>
      </c>
      <c r="H17" s="479" t="str">
        <f t="shared" si="2"/>
        <v>OK</v>
      </c>
      <c r="J17" s="445"/>
      <c r="M17" s="453" t="s">
        <v>125</v>
      </c>
      <c r="N17" s="445" t="b">
        <f t="shared" si="1"/>
        <v>1</v>
      </c>
      <c r="P17" s="445" t="s">
        <v>125</v>
      </c>
      <c r="Q17" s="924" t="s">
        <v>125</v>
      </c>
      <c r="R17" s="490" t="s">
        <v>428</v>
      </c>
      <c r="S17" s="486">
        <v>4</v>
      </c>
      <c r="T17" s="467" t="s">
        <v>419</v>
      </c>
    </row>
    <row r="18" spans="1:20" x14ac:dyDescent="0.25">
      <c r="A18" t="s">
        <v>125</v>
      </c>
      <c r="B18" s="72" t="s">
        <v>116</v>
      </c>
      <c r="C18" s="72">
        <f>Poeng!K20</f>
        <v>7</v>
      </c>
      <c r="D18" s="53"/>
      <c r="E18" s="480">
        <f>Poeng!R20</f>
        <v>5</v>
      </c>
      <c r="G18" s="460">
        <f t="shared" si="3"/>
        <v>5</v>
      </c>
      <c r="H18" s="479" t="str">
        <f t="shared" si="2"/>
        <v>OK</v>
      </c>
      <c r="J18" s="445"/>
      <c r="M18" s="454"/>
      <c r="N18" s="445" t="b">
        <f t="shared" si="1"/>
        <v>1</v>
      </c>
      <c r="P18" t="s">
        <v>125</v>
      </c>
      <c r="Q18" s="925"/>
      <c r="R18" s="489" t="s">
        <v>429</v>
      </c>
      <c r="S18" s="486">
        <v>1</v>
      </c>
      <c r="T18" s="467" t="s">
        <v>419</v>
      </c>
    </row>
    <row r="19" spans="1:20" x14ac:dyDescent="0.25">
      <c r="A19" t="s">
        <v>126</v>
      </c>
      <c r="B19" s="72" t="s">
        <v>117</v>
      </c>
      <c r="C19" s="72">
        <f>Poeng!K21</f>
        <v>2</v>
      </c>
      <c r="D19" s="53"/>
      <c r="E19" s="480">
        <f>Poeng!R21</f>
        <v>2</v>
      </c>
      <c r="G19" s="460">
        <f t="shared" si="3"/>
        <v>2</v>
      </c>
      <c r="H19" s="479" t="str">
        <f t="shared" si="2"/>
        <v>OK</v>
      </c>
      <c r="J19" s="445"/>
      <c r="M19" s="455"/>
      <c r="N19" s="445" t="b">
        <f t="shared" si="1"/>
        <v>1</v>
      </c>
      <c r="P19" s="445" t="s">
        <v>125</v>
      </c>
      <c r="Q19" s="926"/>
      <c r="R19" s="489" t="s">
        <v>430</v>
      </c>
      <c r="S19" s="486" t="s">
        <v>253</v>
      </c>
      <c r="T19" s="467" t="s">
        <v>431</v>
      </c>
    </row>
    <row r="20" spans="1:20" x14ac:dyDescent="0.25">
      <c r="A20" t="s">
        <v>127</v>
      </c>
      <c r="B20" s="54" t="s">
        <v>118</v>
      </c>
      <c r="C20" s="54">
        <f>Poeng!K22</f>
        <v>1</v>
      </c>
      <c r="D20" s="53"/>
      <c r="E20" s="56">
        <f>Poeng!R22</f>
        <v>1</v>
      </c>
      <c r="G20" s="460">
        <f t="shared" si="3"/>
        <v>1</v>
      </c>
      <c r="H20" s="479" t="str">
        <f t="shared" si="2"/>
        <v>OK</v>
      </c>
      <c r="J20" s="445"/>
      <c r="M20" s="451" t="s">
        <v>126</v>
      </c>
      <c r="N20" s="445" t="b">
        <f t="shared" si="1"/>
        <v>1</v>
      </c>
      <c r="P20" s="445" t="s">
        <v>126</v>
      </c>
      <c r="Q20" s="461" t="s">
        <v>126</v>
      </c>
      <c r="R20" s="489" t="s">
        <v>432</v>
      </c>
      <c r="S20" s="486">
        <v>2</v>
      </c>
      <c r="T20" s="467" t="s">
        <v>419</v>
      </c>
    </row>
    <row r="21" spans="1:20" x14ac:dyDescent="0.25">
      <c r="A21" t="s">
        <v>128</v>
      </c>
      <c r="B21" s="54" t="s">
        <v>134</v>
      </c>
      <c r="C21" s="54">
        <f>Poeng!K23</f>
        <v>2</v>
      </c>
      <c r="D21" s="53"/>
      <c r="E21" s="56">
        <f>Poeng!R23</f>
        <v>2</v>
      </c>
      <c r="G21" s="460">
        <f t="shared" si="3"/>
        <v>2</v>
      </c>
      <c r="H21" s="479" t="str">
        <f t="shared" si="2"/>
        <v>OK</v>
      </c>
      <c r="J21" s="445"/>
      <c r="M21" s="451" t="s">
        <v>127</v>
      </c>
      <c r="N21" s="445" t="b">
        <f t="shared" si="1"/>
        <v>1</v>
      </c>
      <c r="P21" t="s">
        <v>127</v>
      </c>
      <c r="Q21" s="461" t="s">
        <v>127</v>
      </c>
      <c r="R21" s="489" t="s">
        <v>433</v>
      </c>
      <c r="S21" s="486">
        <v>1</v>
      </c>
      <c r="T21" s="467" t="s">
        <v>419</v>
      </c>
    </row>
    <row r="22" spans="1:20" ht="48.75" customHeight="1" x14ac:dyDescent="0.25">
      <c r="A22" t="s">
        <v>129</v>
      </c>
      <c r="B22" s="72" t="s">
        <v>119</v>
      </c>
      <c r="C22" s="72">
        <f>Poeng!K24</f>
        <v>2</v>
      </c>
      <c r="D22" s="53"/>
      <c r="E22" s="480">
        <f>Poeng!R24</f>
        <v>2</v>
      </c>
      <c r="G22" s="460">
        <f t="shared" si="3"/>
        <v>2</v>
      </c>
      <c r="H22" s="479" t="str">
        <f t="shared" si="2"/>
        <v>OK</v>
      </c>
      <c r="J22" s="445"/>
      <c r="M22" s="451" t="s">
        <v>128</v>
      </c>
      <c r="N22" s="445" t="b">
        <f t="shared" si="1"/>
        <v>1</v>
      </c>
      <c r="P22" t="s">
        <v>128</v>
      </c>
      <c r="Q22" s="461" t="s">
        <v>128</v>
      </c>
      <c r="R22" s="489" t="s">
        <v>434</v>
      </c>
      <c r="S22" s="486">
        <v>2</v>
      </c>
      <c r="T22" s="467" t="s">
        <v>419</v>
      </c>
    </row>
    <row r="23" spans="1:20" x14ac:dyDescent="0.25">
      <c r="A23" t="s">
        <v>130</v>
      </c>
      <c r="B23" s="72" t="s">
        <v>120</v>
      </c>
      <c r="C23" s="72">
        <f>Poeng!K25</f>
        <v>1</v>
      </c>
      <c r="D23" s="53"/>
      <c r="E23" s="480">
        <f>Poeng!R25</f>
        <v>1</v>
      </c>
      <c r="G23" s="460">
        <f t="shared" si="3"/>
        <v>1</v>
      </c>
      <c r="H23" s="479" t="str">
        <f t="shared" si="2"/>
        <v>OK</v>
      </c>
      <c r="J23" s="445"/>
      <c r="M23" s="451" t="s">
        <v>129</v>
      </c>
      <c r="N23" s="445" t="b">
        <f t="shared" si="1"/>
        <v>1</v>
      </c>
      <c r="P23" t="s">
        <v>129</v>
      </c>
      <c r="Q23" s="461" t="s">
        <v>129</v>
      </c>
      <c r="R23" s="489" t="s">
        <v>435</v>
      </c>
      <c r="S23" s="486">
        <v>2</v>
      </c>
      <c r="T23" s="467" t="s">
        <v>419</v>
      </c>
    </row>
    <row r="24" spans="1:20" x14ac:dyDescent="0.25">
      <c r="A24" t="s">
        <v>131</v>
      </c>
      <c r="B24" s="54" t="s">
        <v>123</v>
      </c>
      <c r="C24" s="54">
        <f>Poeng!K26</f>
        <v>0</v>
      </c>
      <c r="D24" s="53"/>
      <c r="E24" s="56">
        <f>Poeng!R26</f>
        <v>0</v>
      </c>
      <c r="G24" s="460">
        <f t="shared" si="3"/>
        <v>0</v>
      </c>
      <c r="H24" s="479" t="str">
        <f t="shared" si="2"/>
        <v>OK</v>
      </c>
      <c r="J24" s="445"/>
      <c r="M24" s="451" t="s">
        <v>130</v>
      </c>
      <c r="N24" s="445" t="b">
        <f t="shared" si="1"/>
        <v>1</v>
      </c>
      <c r="P24" t="s">
        <v>130</v>
      </c>
      <c r="Q24" s="461" t="s">
        <v>130</v>
      </c>
      <c r="R24" s="489" t="s">
        <v>436</v>
      </c>
      <c r="S24" s="486">
        <v>1</v>
      </c>
      <c r="T24" s="467" t="s">
        <v>419</v>
      </c>
    </row>
    <row r="25" spans="1:20" ht="73.5" customHeight="1" thickBot="1" x14ac:dyDescent="0.3">
      <c r="A25" t="s">
        <v>132</v>
      </c>
      <c r="B25" s="59" t="s">
        <v>121</v>
      </c>
      <c r="C25" s="59">
        <f>Poeng!K27</f>
        <v>3</v>
      </c>
      <c r="D25" s="58"/>
      <c r="E25" s="56">
        <f>Poeng!R27</f>
        <v>3</v>
      </c>
      <c r="G25" s="460">
        <f t="shared" si="3"/>
        <v>3</v>
      </c>
      <c r="H25" s="479" t="str">
        <f t="shared" si="2"/>
        <v>OK</v>
      </c>
      <c r="M25" s="451" t="s">
        <v>131</v>
      </c>
      <c r="N25" s="445" t="b">
        <f t="shared" si="1"/>
        <v>1</v>
      </c>
      <c r="P25" t="s">
        <v>131</v>
      </c>
      <c r="Q25" s="461" t="s">
        <v>131</v>
      </c>
      <c r="R25" s="489" t="s">
        <v>437</v>
      </c>
      <c r="S25" s="486">
        <v>0</v>
      </c>
      <c r="T25" s="467" t="s">
        <v>431</v>
      </c>
    </row>
    <row r="26" spans="1:20" ht="15.75" thickBot="1" x14ac:dyDescent="0.3">
      <c r="B26" s="60" t="s">
        <v>230</v>
      </c>
      <c r="C26" s="60">
        <f>Poeng!K28</f>
        <v>22</v>
      </c>
      <c r="D26" s="60"/>
      <c r="E26" s="60">
        <f>SUM(E17:E25)</f>
        <v>20</v>
      </c>
      <c r="G26" s="60">
        <f>SUM(G17:G25)</f>
        <v>20</v>
      </c>
      <c r="H26" s="479" t="str">
        <f t="shared" si="2"/>
        <v>OK</v>
      </c>
      <c r="M26" s="451" t="s">
        <v>132</v>
      </c>
      <c r="N26" s="445" t="b">
        <f t="shared" si="1"/>
        <v>1</v>
      </c>
      <c r="P26" t="s">
        <v>132</v>
      </c>
      <c r="Q26" s="461" t="s">
        <v>132</v>
      </c>
      <c r="R26" s="489" t="s">
        <v>438</v>
      </c>
      <c r="S26" s="486">
        <v>3</v>
      </c>
      <c r="T26" s="467" t="s">
        <v>419</v>
      </c>
    </row>
    <row r="27" spans="1:20" ht="15.75" thickBot="1" x14ac:dyDescent="0.3">
      <c r="B27" s="31"/>
      <c r="C27" s="31"/>
      <c r="D27" s="31"/>
      <c r="G27" s="445"/>
      <c r="H27" s="479" t="str">
        <f t="shared" si="2"/>
        <v>OK</v>
      </c>
      <c r="M27" s="447"/>
      <c r="N27" s="445" t="b">
        <f t="shared" si="1"/>
        <v>1</v>
      </c>
      <c r="Q27" s="464"/>
      <c r="R27" s="485"/>
      <c r="S27" s="485"/>
      <c r="T27" s="465"/>
    </row>
    <row r="28" spans="1:20" ht="15.75" thickBot="1" x14ac:dyDescent="0.3">
      <c r="B28" s="57" t="s">
        <v>70</v>
      </c>
      <c r="C28" s="57"/>
      <c r="D28" s="57"/>
      <c r="E28" s="57"/>
      <c r="G28" s="460">
        <f t="shared" ref="G28:G38" si="4">SUMIF($P$7:$P$91,A28,$S$7:$S$91)</f>
        <v>0</v>
      </c>
      <c r="H28" s="479" t="str">
        <f t="shared" si="2"/>
        <v>OK</v>
      </c>
      <c r="M28" s="448" t="s">
        <v>439</v>
      </c>
      <c r="N28" s="445" t="b">
        <f t="shared" si="1"/>
        <v>1</v>
      </c>
      <c r="Q28" s="466" t="s">
        <v>439</v>
      </c>
      <c r="R28" s="485"/>
      <c r="S28" s="485"/>
      <c r="T28" s="465"/>
    </row>
    <row r="29" spans="1:20" x14ac:dyDescent="0.25">
      <c r="A29" t="s">
        <v>145</v>
      </c>
      <c r="B29" s="56" t="s">
        <v>135</v>
      </c>
      <c r="C29" s="56">
        <f>Poeng!K31</f>
        <v>12</v>
      </c>
      <c r="D29" s="55"/>
      <c r="E29" s="56">
        <f>Poeng!R31</f>
        <v>12</v>
      </c>
      <c r="G29" s="460">
        <f t="shared" si="4"/>
        <v>12</v>
      </c>
      <c r="H29" s="479" t="str">
        <f t="shared" si="2"/>
        <v>OK</v>
      </c>
      <c r="M29" s="451" t="s">
        <v>145</v>
      </c>
      <c r="N29" s="445" t="b">
        <f t="shared" si="1"/>
        <v>1</v>
      </c>
      <c r="P29" t="s">
        <v>145</v>
      </c>
      <c r="Q29" s="461" t="s">
        <v>145</v>
      </c>
      <c r="R29" s="489" t="s">
        <v>440</v>
      </c>
      <c r="S29" s="486">
        <v>12</v>
      </c>
      <c r="T29" s="462" t="s">
        <v>419</v>
      </c>
    </row>
    <row r="30" spans="1:20" x14ac:dyDescent="0.25">
      <c r="A30" t="s">
        <v>146</v>
      </c>
      <c r="B30" s="72" t="s">
        <v>144</v>
      </c>
      <c r="C30" s="72">
        <f>Poeng!K32</f>
        <v>3</v>
      </c>
      <c r="D30" s="53"/>
      <c r="E30" s="56">
        <f>Poeng!R32</f>
        <v>3</v>
      </c>
      <c r="G30" s="460">
        <f t="shared" si="4"/>
        <v>3</v>
      </c>
      <c r="H30" s="479" t="str">
        <f t="shared" si="2"/>
        <v>OK</v>
      </c>
      <c r="M30" s="451" t="s">
        <v>271</v>
      </c>
      <c r="N30" s="445" t="b">
        <f t="shared" si="1"/>
        <v>1</v>
      </c>
      <c r="P30" t="s">
        <v>146</v>
      </c>
      <c r="Q30" s="461" t="s">
        <v>271</v>
      </c>
      <c r="R30" s="489" t="s">
        <v>441</v>
      </c>
      <c r="S30" s="486">
        <v>3</v>
      </c>
      <c r="T30" s="462" t="s">
        <v>419</v>
      </c>
    </row>
    <row r="31" spans="1:20" x14ac:dyDescent="0.25">
      <c r="A31" t="s">
        <v>147</v>
      </c>
      <c r="B31" s="54" t="s">
        <v>136</v>
      </c>
      <c r="C31" s="54">
        <f>Poeng!K33</f>
        <v>1</v>
      </c>
      <c r="D31" s="53"/>
      <c r="E31" s="56">
        <f>Poeng!R33</f>
        <v>1</v>
      </c>
      <c r="G31" s="460">
        <f t="shared" si="4"/>
        <v>1</v>
      </c>
      <c r="H31" s="479" t="str">
        <f t="shared" si="2"/>
        <v>OK</v>
      </c>
      <c r="M31" s="451" t="s">
        <v>442</v>
      </c>
      <c r="N31" s="445" t="b">
        <f t="shared" si="1"/>
        <v>1</v>
      </c>
      <c r="P31" s="445" t="s">
        <v>146</v>
      </c>
      <c r="Q31" s="461" t="s">
        <v>442</v>
      </c>
      <c r="R31" s="489" t="s">
        <v>441</v>
      </c>
      <c r="S31" s="486" t="s">
        <v>253</v>
      </c>
      <c r="T31" s="462" t="s">
        <v>431</v>
      </c>
    </row>
    <row r="32" spans="1:20" x14ac:dyDescent="0.25">
      <c r="A32" t="s">
        <v>148</v>
      </c>
      <c r="B32" s="54" t="s">
        <v>137</v>
      </c>
      <c r="C32" s="54">
        <f>Poeng!K34</f>
        <v>2</v>
      </c>
      <c r="D32" s="53"/>
      <c r="E32" s="56">
        <f>Poeng!R34</f>
        <v>2</v>
      </c>
      <c r="G32" s="460">
        <f t="shared" si="4"/>
        <v>3</v>
      </c>
      <c r="H32" s="479" t="str">
        <f t="shared" si="2"/>
        <v>FEIL</v>
      </c>
      <c r="M32" s="451" t="s">
        <v>147</v>
      </c>
      <c r="N32" s="445" t="b">
        <f t="shared" si="1"/>
        <v>1</v>
      </c>
      <c r="P32" t="s">
        <v>147</v>
      </c>
      <c r="Q32" s="461" t="s">
        <v>147</v>
      </c>
      <c r="R32" s="489" t="s">
        <v>443</v>
      </c>
      <c r="S32" s="486">
        <v>1</v>
      </c>
      <c r="T32" s="462" t="s">
        <v>419</v>
      </c>
    </row>
    <row r="33" spans="1:20" x14ac:dyDescent="0.25">
      <c r="A33" t="s">
        <v>149</v>
      </c>
      <c r="B33" s="72" t="s">
        <v>138</v>
      </c>
      <c r="C33" s="72">
        <f>Poeng!K35</f>
        <v>3</v>
      </c>
      <c r="D33" s="53"/>
      <c r="E33" s="480">
        <f>Poeng!R35</f>
        <v>0</v>
      </c>
      <c r="G33" s="460">
        <f t="shared" si="4"/>
        <v>0</v>
      </c>
      <c r="H33" s="479" t="str">
        <f t="shared" si="2"/>
        <v>OK</v>
      </c>
      <c r="M33" s="451" t="s">
        <v>148</v>
      </c>
      <c r="N33" s="445" t="b">
        <f t="shared" si="1"/>
        <v>1</v>
      </c>
      <c r="P33" t="s">
        <v>148</v>
      </c>
      <c r="Q33" s="461" t="s">
        <v>148</v>
      </c>
      <c r="R33" s="489" t="s">
        <v>444</v>
      </c>
      <c r="S33" s="486">
        <v>3</v>
      </c>
      <c r="T33" s="462" t="s">
        <v>419</v>
      </c>
    </row>
    <row r="34" spans="1:20" x14ac:dyDescent="0.25">
      <c r="A34" t="s">
        <v>150</v>
      </c>
      <c r="B34" s="72" t="s">
        <v>139</v>
      </c>
      <c r="C34" s="72">
        <f>Poeng!K36</f>
        <v>2</v>
      </c>
      <c r="D34" s="53"/>
      <c r="E34" s="480">
        <f>Poeng!R36</f>
        <v>0</v>
      </c>
      <c r="G34" s="460">
        <f t="shared" si="4"/>
        <v>2</v>
      </c>
      <c r="H34" s="479" t="str">
        <f t="shared" si="2"/>
        <v>FEIL</v>
      </c>
      <c r="M34" s="451" t="s">
        <v>149</v>
      </c>
      <c r="N34" s="445" t="b">
        <f t="shared" si="1"/>
        <v>1</v>
      </c>
      <c r="P34" t="s">
        <v>149</v>
      </c>
      <c r="Q34" s="461" t="s">
        <v>149</v>
      </c>
      <c r="R34" s="489" t="s">
        <v>445</v>
      </c>
      <c r="S34" s="487" t="s">
        <v>253</v>
      </c>
      <c r="T34" s="463" t="s">
        <v>431</v>
      </c>
    </row>
    <row r="35" spans="1:20" x14ac:dyDescent="0.25">
      <c r="A35" t="s">
        <v>151</v>
      </c>
      <c r="B35" s="72" t="s">
        <v>140</v>
      </c>
      <c r="C35" s="72">
        <f>Poeng!K37</f>
        <v>5</v>
      </c>
      <c r="D35" s="53"/>
      <c r="E35" s="480">
        <f>Poeng!R37</f>
        <v>0</v>
      </c>
      <c r="G35" s="460">
        <f t="shared" si="4"/>
        <v>0</v>
      </c>
      <c r="H35" s="479" t="str">
        <f t="shared" si="2"/>
        <v>OK</v>
      </c>
      <c r="M35" s="451" t="s">
        <v>150</v>
      </c>
      <c r="N35" s="445" t="b">
        <f t="shared" si="1"/>
        <v>1</v>
      </c>
      <c r="P35" t="s">
        <v>150</v>
      </c>
      <c r="Q35" s="461" t="s">
        <v>150</v>
      </c>
      <c r="R35" s="489" t="s">
        <v>446</v>
      </c>
      <c r="S35" s="486">
        <v>2</v>
      </c>
      <c r="T35" s="462" t="s">
        <v>419</v>
      </c>
    </row>
    <row r="36" spans="1:20" x14ac:dyDescent="0.25">
      <c r="A36" t="s">
        <v>152</v>
      </c>
      <c r="B36" s="54" t="s">
        <v>141</v>
      </c>
      <c r="C36" s="54">
        <f>Poeng!K38</f>
        <v>2</v>
      </c>
      <c r="D36" s="53"/>
      <c r="E36" s="56">
        <f>Poeng!R38</f>
        <v>2</v>
      </c>
      <c r="G36" s="460">
        <f t="shared" si="4"/>
        <v>2</v>
      </c>
      <c r="H36" s="479" t="str">
        <f t="shared" si="2"/>
        <v>OK</v>
      </c>
      <c r="M36" s="451" t="s">
        <v>151</v>
      </c>
      <c r="N36" s="445" t="b">
        <f t="shared" si="1"/>
        <v>1</v>
      </c>
      <c r="P36" t="s">
        <v>151</v>
      </c>
      <c r="Q36" s="461" t="s">
        <v>151</v>
      </c>
      <c r="R36" s="489" t="s">
        <v>447</v>
      </c>
      <c r="S36" s="486" t="s">
        <v>253</v>
      </c>
      <c r="T36" s="462" t="s">
        <v>431</v>
      </c>
    </row>
    <row r="37" spans="1:20" x14ac:dyDescent="0.25">
      <c r="A37" t="s">
        <v>153</v>
      </c>
      <c r="B37" s="54" t="s">
        <v>142</v>
      </c>
      <c r="C37" s="54">
        <f>Poeng!K39</f>
        <v>0</v>
      </c>
      <c r="D37" s="53"/>
      <c r="E37" s="56">
        <f>Poeng!R39</f>
        <v>0</v>
      </c>
      <c r="G37" s="460">
        <f t="shared" si="4"/>
        <v>0</v>
      </c>
      <c r="H37" s="479" t="str">
        <f t="shared" si="2"/>
        <v>OK</v>
      </c>
      <c r="M37" s="451" t="s">
        <v>152</v>
      </c>
      <c r="N37" s="445" t="b">
        <f t="shared" si="1"/>
        <v>1</v>
      </c>
      <c r="P37" t="s">
        <v>152</v>
      </c>
      <c r="Q37" s="461" t="s">
        <v>152</v>
      </c>
      <c r="R37" s="489" t="s">
        <v>448</v>
      </c>
      <c r="S37" s="486">
        <v>2</v>
      </c>
      <c r="T37" s="462" t="s">
        <v>419</v>
      </c>
    </row>
    <row r="38" spans="1:20" ht="15.75" thickBot="1" x14ac:dyDescent="0.3">
      <c r="A38" t="s">
        <v>154</v>
      </c>
      <c r="B38" s="54" t="s">
        <v>143</v>
      </c>
      <c r="C38" s="54">
        <f>Poeng!K40</f>
        <v>2</v>
      </c>
      <c r="D38" s="53"/>
      <c r="E38" s="56">
        <f>Poeng!R40</f>
        <v>2</v>
      </c>
      <c r="G38" s="460">
        <f t="shared" si="4"/>
        <v>2</v>
      </c>
      <c r="H38" s="479" t="str">
        <f t="shared" si="2"/>
        <v>OK</v>
      </c>
      <c r="M38" s="451" t="s">
        <v>153</v>
      </c>
      <c r="N38" s="445" t="b">
        <f t="shared" si="1"/>
        <v>1</v>
      </c>
      <c r="P38" t="s">
        <v>153</v>
      </c>
      <c r="Q38" s="461" t="s">
        <v>153</v>
      </c>
      <c r="R38" s="489" t="s">
        <v>449</v>
      </c>
      <c r="S38" s="486" t="s">
        <v>253</v>
      </c>
      <c r="T38" s="462" t="s">
        <v>431</v>
      </c>
    </row>
    <row r="39" spans="1:20" ht="15.75" thickBot="1" x14ac:dyDescent="0.3">
      <c r="B39" s="60" t="s">
        <v>230</v>
      </c>
      <c r="C39" s="60">
        <f>Poeng!K41</f>
        <v>32</v>
      </c>
      <c r="D39" s="60"/>
      <c r="E39" s="60">
        <f>SUM(E29:E38)</f>
        <v>22</v>
      </c>
      <c r="G39" s="60">
        <f>SUM(G29:G38)</f>
        <v>25</v>
      </c>
      <c r="H39" s="479" t="str">
        <f t="shared" si="2"/>
        <v>FEIL</v>
      </c>
      <c r="M39" s="452" t="s">
        <v>154</v>
      </c>
      <c r="N39" s="445" t="b">
        <f t="shared" si="1"/>
        <v>1</v>
      </c>
      <c r="P39" t="s">
        <v>154</v>
      </c>
      <c r="Q39" s="469" t="s">
        <v>154</v>
      </c>
      <c r="R39" s="489" t="s">
        <v>450</v>
      </c>
      <c r="S39" s="486">
        <v>2</v>
      </c>
      <c r="T39" s="462" t="s">
        <v>419</v>
      </c>
    </row>
    <row r="40" spans="1:20" ht="15.75" thickBot="1" x14ac:dyDescent="0.3">
      <c r="B40" s="31"/>
      <c r="C40" s="31"/>
      <c r="D40" s="31"/>
      <c r="G40" s="445"/>
      <c r="H40" s="479" t="str">
        <f t="shared" si="2"/>
        <v>OK</v>
      </c>
      <c r="M40" s="447"/>
      <c r="N40" s="445" t="b">
        <f t="shared" si="1"/>
        <v>1</v>
      </c>
      <c r="Q40" s="464"/>
      <c r="R40" s="485"/>
      <c r="S40" s="485"/>
      <c r="T40" s="465"/>
    </row>
    <row r="41" spans="1:20" ht="15.75" thickBot="1" x14ac:dyDescent="0.3">
      <c r="B41" s="57" t="s">
        <v>71</v>
      </c>
      <c r="C41" s="57"/>
      <c r="D41" s="57"/>
      <c r="E41" s="57"/>
      <c r="G41" s="460">
        <f t="shared" ref="G41:G47" si="5">SUMIF($P$7:$P$91,A41,$S$7:$S$91)</f>
        <v>0</v>
      </c>
      <c r="H41" s="479" t="str">
        <f t="shared" si="2"/>
        <v>OK</v>
      </c>
      <c r="M41" s="448" t="s">
        <v>451</v>
      </c>
      <c r="N41" s="445" t="b">
        <f t="shared" si="1"/>
        <v>1</v>
      </c>
      <c r="Q41" s="466" t="s">
        <v>451</v>
      </c>
      <c r="R41" s="485"/>
      <c r="S41" s="485"/>
      <c r="T41" s="465"/>
    </row>
    <row r="42" spans="1:20" x14ac:dyDescent="0.25">
      <c r="A42" t="s">
        <v>160</v>
      </c>
      <c r="B42" s="71" t="s">
        <v>155</v>
      </c>
      <c r="C42" s="71">
        <f>Poeng!K44</f>
        <v>3</v>
      </c>
      <c r="D42" s="55"/>
      <c r="E42" s="480">
        <f>Poeng!R44</f>
        <v>3</v>
      </c>
      <c r="G42" s="460">
        <f t="shared" si="5"/>
        <v>5</v>
      </c>
      <c r="H42" s="479" t="str">
        <f t="shared" si="2"/>
        <v>FEIL</v>
      </c>
      <c r="M42" s="451" t="s">
        <v>160</v>
      </c>
      <c r="N42" s="445" t="b">
        <f t="shared" si="1"/>
        <v>1</v>
      </c>
      <c r="P42" t="s">
        <v>160</v>
      </c>
      <c r="Q42" s="461" t="s">
        <v>160</v>
      </c>
      <c r="R42" s="489" t="s">
        <v>452</v>
      </c>
      <c r="S42" s="486">
        <v>5</v>
      </c>
      <c r="T42" s="462" t="s">
        <v>419</v>
      </c>
    </row>
    <row r="43" spans="1:20" x14ac:dyDescent="0.25">
      <c r="A43" t="s">
        <v>161</v>
      </c>
      <c r="B43" s="72" t="s">
        <v>156</v>
      </c>
      <c r="C43" s="72">
        <f>Poeng!K45</f>
        <v>1</v>
      </c>
      <c r="D43" s="53"/>
      <c r="E43" s="56">
        <f>Poeng!R45</f>
        <v>1</v>
      </c>
      <c r="G43" s="460">
        <f t="shared" si="5"/>
        <v>1</v>
      </c>
      <c r="H43" s="479" t="str">
        <f t="shared" si="2"/>
        <v>OK</v>
      </c>
      <c r="M43" s="451" t="s">
        <v>161</v>
      </c>
      <c r="N43" s="445" t="b">
        <f t="shared" si="1"/>
        <v>1</v>
      </c>
      <c r="P43" t="s">
        <v>161</v>
      </c>
      <c r="Q43" s="461" t="s">
        <v>161</v>
      </c>
      <c r="R43" s="489" t="s">
        <v>453</v>
      </c>
      <c r="S43" s="486">
        <v>1</v>
      </c>
      <c r="T43" s="462" t="s">
        <v>419</v>
      </c>
    </row>
    <row r="44" spans="1:20" x14ac:dyDescent="0.25">
      <c r="A44" t="s">
        <v>162</v>
      </c>
      <c r="B44" s="72" t="s">
        <v>158</v>
      </c>
      <c r="C44" s="72">
        <f>Poeng!K46</f>
        <v>2</v>
      </c>
      <c r="D44" s="53"/>
      <c r="E44" s="56">
        <f>Poeng!R46</f>
        <v>2</v>
      </c>
      <c r="G44" s="460">
        <f t="shared" si="5"/>
        <v>2</v>
      </c>
      <c r="H44" s="479" t="str">
        <f t="shared" si="2"/>
        <v>OK</v>
      </c>
      <c r="M44" s="451" t="s">
        <v>454</v>
      </c>
      <c r="N44" s="445" t="b">
        <f t="shared" si="1"/>
        <v>1</v>
      </c>
      <c r="P44" t="s">
        <v>162</v>
      </c>
      <c r="Q44" s="461" t="s">
        <v>454</v>
      </c>
      <c r="R44" s="489" t="s">
        <v>455</v>
      </c>
      <c r="S44" s="486">
        <v>2</v>
      </c>
      <c r="T44" s="462" t="s">
        <v>419</v>
      </c>
    </row>
    <row r="45" spans="1:20" x14ac:dyDescent="0.25">
      <c r="A45" t="s">
        <v>163</v>
      </c>
      <c r="B45" s="72" t="s">
        <v>157</v>
      </c>
      <c r="C45" s="72">
        <f>Poeng!K47</f>
        <v>2</v>
      </c>
      <c r="D45" s="53"/>
      <c r="E45" s="56">
        <f>Poeng!R47</f>
        <v>2</v>
      </c>
      <c r="G45" s="460">
        <f t="shared" si="5"/>
        <v>2</v>
      </c>
      <c r="H45" s="479" t="str">
        <f t="shared" si="2"/>
        <v>OK</v>
      </c>
      <c r="M45" s="451" t="s">
        <v>456</v>
      </c>
      <c r="N45" s="445" t="b">
        <f t="shared" si="1"/>
        <v>1</v>
      </c>
      <c r="P45" s="445" t="s">
        <v>162</v>
      </c>
      <c r="Q45" s="461" t="s">
        <v>456</v>
      </c>
      <c r="R45" s="489" t="s">
        <v>455</v>
      </c>
      <c r="S45" s="486" t="s">
        <v>253</v>
      </c>
      <c r="T45" s="462" t="s">
        <v>431</v>
      </c>
    </row>
    <row r="46" spans="1:20" x14ac:dyDescent="0.25">
      <c r="A46" s="31" t="s">
        <v>164</v>
      </c>
      <c r="B46" s="72" t="s">
        <v>159</v>
      </c>
      <c r="C46" s="72">
        <f>Poeng!K48</f>
        <v>1</v>
      </c>
      <c r="D46" s="53"/>
      <c r="E46" s="56">
        <f>Poeng!R48</f>
        <v>1</v>
      </c>
      <c r="G46" s="460">
        <f t="shared" si="5"/>
        <v>1</v>
      </c>
      <c r="H46" s="479" t="str">
        <f t="shared" si="2"/>
        <v>OK</v>
      </c>
      <c r="M46" s="451" t="s">
        <v>163</v>
      </c>
      <c r="N46" s="445" t="b">
        <f t="shared" si="1"/>
        <v>1</v>
      </c>
      <c r="P46" s="445" t="s">
        <v>163</v>
      </c>
      <c r="Q46" s="461" t="s">
        <v>163</v>
      </c>
      <c r="R46" s="489" t="s">
        <v>457</v>
      </c>
      <c r="S46" s="486">
        <v>2</v>
      </c>
      <c r="T46" s="462" t="s">
        <v>419</v>
      </c>
    </row>
    <row r="47" spans="1:20" s="31" customFormat="1" ht="15.75" thickBot="1" x14ac:dyDescent="0.3">
      <c r="A47" t="s">
        <v>357</v>
      </c>
      <c r="B47" s="397" t="s">
        <v>358</v>
      </c>
      <c r="C47" s="72">
        <f>Poeng!K49</f>
        <v>0</v>
      </c>
      <c r="D47" s="74"/>
      <c r="E47" s="56">
        <f>Poeng!R49</f>
        <v>0</v>
      </c>
      <c r="G47" s="460">
        <f t="shared" si="5"/>
        <v>0</v>
      </c>
      <c r="H47" s="479" t="str">
        <f t="shared" si="2"/>
        <v>OK</v>
      </c>
      <c r="M47" s="451" t="s">
        <v>164</v>
      </c>
      <c r="N47" s="445" t="b">
        <f t="shared" si="1"/>
        <v>1</v>
      </c>
      <c r="P47" s="445" t="s">
        <v>164</v>
      </c>
      <c r="Q47" s="461" t="s">
        <v>164</v>
      </c>
      <c r="R47" s="489" t="s">
        <v>458</v>
      </c>
      <c r="S47" s="486">
        <v>1</v>
      </c>
      <c r="T47" s="462" t="s">
        <v>419</v>
      </c>
    </row>
    <row r="48" spans="1:20" ht="15.75" thickBot="1" x14ac:dyDescent="0.3">
      <c r="B48" s="60" t="s">
        <v>230</v>
      </c>
      <c r="C48" s="60">
        <f>Poeng!K50</f>
        <v>9</v>
      </c>
      <c r="D48" s="60"/>
      <c r="E48" s="60">
        <f>SUM(E42:E47)</f>
        <v>9</v>
      </c>
      <c r="G48" s="60">
        <f>SUM(G42:G47)</f>
        <v>11</v>
      </c>
      <c r="H48" s="479" t="str">
        <f t="shared" si="2"/>
        <v>FEIL</v>
      </c>
      <c r="M48" s="451" t="s">
        <v>357</v>
      </c>
      <c r="N48" s="445" t="b">
        <f t="shared" si="1"/>
        <v>1</v>
      </c>
      <c r="P48" s="445" t="s">
        <v>357</v>
      </c>
      <c r="Q48" s="461" t="s">
        <v>357</v>
      </c>
      <c r="R48" s="489" t="s">
        <v>459</v>
      </c>
      <c r="S48" s="486" t="s">
        <v>253</v>
      </c>
      <c r="T48" s="462" t="s">
        <v>431</v>
      </c>
    </row>
    <row r="49" spans="1:20" ht="15.75" thickBot="1" x14ac:dyDescent="0.3">
      <c r="B49" s="31"/>
      <c r="C49" s="31"/>
      <c r="D49" s="31"/>
      <c r="G49" s="445"/>
      <c r="H49" s="479" t="str">
        <f t="shared" si="2"/>
        <v>OK</v>
      </c>
      <c r="M49" s="447"/>
      <c r="N49" s="445" t="b">
        <f t="shared" si="1"/>
        <v>1</v>
      </c>
      <c r="Q49" s="464"/>
      <c r="R49" s="485"/>
      <c r="S49" s="485"/>
      <c r="T49" s="465"/>
    </row>
    <row r="50" spans="1:20" ht="15.75" thickBot="1" x14ac:dyDescent="0.3">
      <c r="B50" s="57" t="s">
        <v>63</v>
      </c>
      <c r="C50" s="57"/>
      <c r="D50" s="57"/>
      <c r="E50" s="57"/>
      <c r="G50" s="460">
        <f>SUMIF($P$7:$P$91,A50,$S$7:$S$91)</f>
        <v>0</v>
      </c>
      <c r="H50" s="479" t="str">
        <f t="shared" si="2"/>
        <v>OK</v>
      </c>
      <c r="M50" s="448" t="s">
        <v>460</v>
      </c>
      <c r="N50" s="445" t="b">
        <f t="shared" si="1"/>
        <v>1</v>
      </c>
      <c r="Q50" s="466" t="s">
        <v>460</v>
      </c>
      <c r="R50" s="485"/>
      <c r="S50" s="485"/>
      <c r="T50" s="465"/>
    </row>
    <row r="51" spans="1:20" x14ac:dyDescent="0.25">
      <c r="A51" t="s">
        <v>184</v>
      </c>
      <c r="B51" s="56" t="s">
        <v>165</v>
      </c>
      <c r="C51" s="56">
        <f>Poeng!K53</f>
        <v>5</v>
      </c>
      <c r="D51" s="55"/>
      <c r="E51" s="56">
        <f>Poeng!R53</f>
        <v>5</v>
      </c>
      <c r="G51" s="460">
        <f>SUMIF($P$7:$P$91,A51,$S$7:$S$91)</f>
        <v>5</v>
      </c>
      <c r="H51" s="479" t="str">
        <f t="shared" si="2"/>
        <v>OK</v>
      </c>
      <c r="M51" s="451" t="s">
        <v>184</v>
      </c>
      <c r="N51" s="445" t="b">
        <f t="shared" si="1"/>
        <v>1</v>
      </c>
      <c r="P51" t="s">
        <v>184</v>
      </c>
      <c r="Q51" s="461" t="s">
        <v>184</v>
      </c>
      <c r="R51" s="489" t="s">
        <v>461</v>
      </c>
      <c r="S51" s="486">
        <v>5</v>
      </c>
      <c r="T51" s="462" t="s">
        <v>419</v>
      </c>
    </row>
    <row r="52" spans="1:20" x14ac:dyDescent="0.25">
      <c r="A52" t="s">
        <v>185</v>
      </c>
      <c r="B52" s="54" t="s">
        <v>166</v>
      </c>
      <c r="C52" s="54">
        <f>Poeng!K54</f>
        <v>1</v>
      </c>
      <c r="D52" s="53"/>
      <c r="E52" s="56">
        <f>Poeng!R54</f>
        <v>1</v>
      </c>
      <c r="G52" s="460">
        <f>SUMIF($P$7:$P$91,A52,$S$7:$S$91)</f>
        <v>1</v>
      </c>
      <c r="H52" s="479" t="str">
        <f t="shared" si="2"/>
        <v>OK</v>
      </c>
      <c r="M52" s="451" t="s">
        <v>185</v>
      </c>
      <c r="N52" s="445" t="b">
        <f t="shared" si="1"/>
        <v>1</v>
      </c>
      <c r="P52" t="s">
        <v>185</v>
      </c>
      <c r="Q52" s="461" t="s">
        <v>185</v>
      </c>
      <c r="R52" s="489" t="s">
        <v>462</v>
      </c>
      <c r="S52" s="486">
        <v>1</v>
      </c>
      <c r="T52" s="462" t="s">
        <v>419</v>
      </c>
    </row>
    <row r="53" spans="1:20" x14ac:dyDescent="0.25">
      <c r="A53" t="s">
        <v>186</v>
      </c>
      <c r="B53" s="54" t="s">
        <v>167</v>
      </c>
      <c r="C53" s="54">
        <f>Poeng!K55</f>
        <v>2</v>
      </c>
      <c r="D53" s="53"/>
      <c r="E53" s="56">
        <f>Poeng!R55</f>
        <v>2</v>
      </c>
      <c r="G53" s="460">
        <f>SUMIF($P$7:$P$91,A53,$S$7:$S$91)</f>
        <v>2</v>
      </c>
      <c r="H53" s="479" t="str">
        <f t="shared" si="2"/>
        <v>OK</v>
      </c>
      <c r="M53" s="451" t="s">
        <v>186</v>
      </c>
      <c r="N53" s="445" t="b">
        <f t="shared" si="1"/>
        <v>1</v>
      </c>
      <c r="P53" t="s">
        <v>186</v>
      </c>
      <c r="Q53" s="461" t="s">
        <v>186</v>
      </c>
      <c r="R53" s="489" t="s">
        <v>463</v>
      </c>
      <c r="S53" s="486">
        <v>2</v>
      </c>
      <c r="T53" s="462" t="s">
        <v>419</v>
      </c>
    </row>
    <row r="54" spans="1:20" ht="15.75" thickBot="1" x14ac:dyDescent="0.3">
      <c r="A54" t="s">
        <v>187</v>
      </c>
      <c r="B54" s="72" t="s">
        <v>168</v>
      </c>
      <c r="C54" s="72">
        <f>Poeng!K56</f>
        <v>1</v>
      </c>
      <c r="D54" s="53"/>
      <c r="E54" s="56">
        <f>Poeng!R56</f>
        <v>0</v>
      </c>
      <c r="G54" s="460">
        <f>SUMIF($P$7:$P$91,A54,$S$7:$S$91)</f>
        <v>0</v>
      </c>
      <c r="H54" s="479" t="str">
        <f t="shared" si="2"/>
        <v>OK</v>
      </c>
      <c r="M54" s="451" t="s">
        <v>187</v>
      </c>
      <c r="N54" s="445" t="b">
        <f t="shared" si="1"/>
        <v>1</v>
      </c>
      <c r="P54" t="s">
        <v>187</v>
      </c>
      <c r="Q54" s="461" t="s">
        <v>187</v>
      </c>
      <c r="R54" s="489" t="s">
        <v>464</v>
      </c>
      <c r="S54" s="486" t="s">
        <v>253</v>
      </c>
      <c r="T54" s="462" t="s">
        <v>431</v>
      </c>
    </row>
    <row r="55" spans="1:20" ht="15.75" thickBot="1" x14ac:dyDescent="0.3">
      <c r="B55" s="60" t="s">
        <v>230</v>
      </c>
      <c r="C55" s="60">
        <f>Poeng!K57</f>
        <v>9</v>
      </c>
      <c r="D55" s="60"/>
      <c r="E55" s="60">
        <f>SUM(E51:E54)</f>
        <v>8</v>
      </c>
      <c r="G55" s="60">
        <f>SUM(G51:G54)</f>
        <v>8</v>
      </c>
      <c r="H55" s="479" t="str">
        <f t="shared" si="2"/>
        <v>OK</v>
      </c>
      <c r="M55" s="447"/>
      <c r="N55" s="445" t="b">
        <f t="shared" si="1"/>
        <v>1</v>
      </c>
      <c r="Q55" s="464"/>
      <c r="R55" s="485"/>
      <c r="S55" s="485"/>
      <c r="T55" s="465"/>
    </row>
    <row r="56" spans="1:20" ht="15.75" thickBot="1" x14ac:dyDescent="0.3">
      <c r="B56" s="31"/>
      <c r="C56" s="31"/>
      <c r="D56" s="31"/>
      <c r="G56" s="445"/>
      <c r="H56" s="479" t="str">
        <f t="shared" si="2"/>
        <v>OK</v>
      </c>
      <c r="M56" s="448" t="s">
        <v>465</v>
      </c>
      <c r="N56" s="445" t="b">
        <f t="shared" si="1"/>
        <v>1</v>
      </c>
      <c r="Q56" s="466" t="s">
        <v>465</v>
      </c>
      <c r="R56" s="485"/>
      <c r="S56" s="485"/>
      <c r="T56" s="465"/>
    </row>
    <row r="57" spans="1:20" ht="15.75" thickBot="1" x14ac:dyDescent="0.3">
      <c r="B57" s="57" t="s">
        <v>72</v>
      </c>
      <c r="C57" s="57"/>
      <c r="D57" s="57"/>
      <c r="E57" s="57"/>
      <c r="G57" s="460">
        <f>SUMIF($P$7:$P$91,A57,$S$7:$S$91)</f>
        <v>0</v>
      </c>
      <c r="H57" s="479" t="str">
        <f t="shared" si="2"/>
        <v>OK</v>
      </c>
      <c r="M57" s="451" t="s">
        <v>188</v>
      </c>
      <c r="N57" s="445" t="b">
        <f t="shared" si="1"/>
        <v>1</v>
      </c>
      <c r="P57" t="s">
        <v>188</v>
      </c>
      <c r="Q57" s="461" t="s">
        <v>188</v>
      </c>
      <c r="R57" s="489" t="s">
        <v>466</v>
      </c>
      <c r="S57" s="486">
        <v>7</v>
      </c>
      <c r="T57" s="462" t="s">
        <v>419</v>
      </c>
    </row>
    <row r="58" spans="1:20" x14ac:dyDescent="0.25">
      <c r="A58" t="s">
        <v>188</v>
      </c>
      <c r="B58" s="56" t="s">
        <v>169</v>
      </c>
      <c r="C58" s="56">
        <f>Poeng!K60</f>
        <v>7</v>
      </c>
      <c r="D58" s="55"/>
      <c r="E58" s="56">
        <f>Poeng!R60</f>
        <v>7</v>
      </c>
      <c r="G58" s="460">
        <f>SUMIF($P$7:$P$91,A58,$S$7:$S$91)</f>
        <v>7</v>
      </c>
      <c r="H58" s="479" t="str">
        <f t="shared" si="2"/>
        <v>OK</v>
      </c>
      <c r="M58" s="451" t="s">
        <v>189</v>
      </c>
      <c r="N58" s="445" t="b">
        <f t="shared" si="1"/>
        <v>1</v>
      </c>
      <c r="P58" t="s">
        <v>189</v>
      </c>
      <c r="Q58" s="461" t="s">
        <v>189</v>
      </c>
      <c r="R58" s="489" t="s">
        <v>467</v>
      </c>
      <c r="S58" s="486">
        <v>3</v>
      </c>
      <c r="T58" s="462" t="s">
        <v>419</v>
      </c>
    </row>
    <row r="59" spans="1:20" x14ac:dyDescent="0.25">
      <c r="A59" t="s">
        <v>189</v>
      </c>
      <c r="B59" s="54" t="s">
        <v>170</v>
      </c>
      <c r="C59" s="54">
        <f>Poeng!K61</f>
        <v>3</v>
      </c>
      <c r="D59" s="53"/>
      <c r="E59" s="56">
        <f>Poeng!R61</f>
        <v>3</v>
      </c>
      <c r="G59" s="460">
        <f>SUMIF($P$7:$P$91,A59,$S$7:$S$91)</f>
        <v>3</v>
      </c>
      <c r="H59" s="479" t="str">
        <f t="shared" si="2"/>
        <v>OK</v>
      </c>
      <c r="M59" s="451" t="s">
        <v>190</v>
      </c>
      <c r="N59" s="445" t="b">
        <f t="shared" si="1"/>
        <v>1</v>
      </c>
      <c r="P59" t="s">
        <v>190</v>
      </c>
      <c r="Q59" s="461" t="s">
        <v>190</v>
      </c>
      <c r="R59" s="489" t="s">
        <v>468</v>
      </c>
      <c r="S59" s="486">
        <v>1</v>
      </c>
      <c r="T59" s="462" t="s">
        <v>419</v>
      </c>
    </row>
    <row r="60" spans="1:20" x14ac:dyDescent="0.25">
      <c r="A60" t="s">
        <v>190</v>
      </c>
      <c r="B60" s="54" t="s">
        <v>171</v>
      </c>
      <c r="C60" s="54">
        <f>Poeng!K62</f>
        <v>1</v>
      </c>
      <c r="D60" s="53"/>
      <c r="E60" s="56">
        <f>Poeng!R62</f>
        <v>1</v>
      </c>
      <c r="G60" s="460">
        <f>SUMIF($P$7:$P$91,A60,$S$7:$S$91)</f>
        <v>1</v>
      </c>
      <c r="H60" s="479" t="str">
        <f t="shared" si="2"/>
        <v>OK</v>
      </c>
      <c r="M60" s="447"/>
      <c r="N60" s="445" t="b">
        <f t="shared" si="1"/>
        <v>1</v>
      </c>
      <c r="Q60" s="464"/>
      <c r="R60" s="485"/>
      <c r="S60" s="485"/>
      <c r="T60" s="465"/>
    </row>
    <row r="61" spans="1:20" ht="15.75" thickBot="1" x14ac:dyDescent="0.3">
      <c r="B61" s="54"/>
      <c r="C61" s="54">
        <f>Poeng!K63</f>
        <v>0</v>
      </c>
      <c r="D61" s="53"/>
      <c r="E61" s="56">
        <f>Poeng!R63</f>
        <v>0</v>
      </c>
      <c r="G61" s="460">
        <f>SUMIF($P$7:$P$91,A61,$S$7:$S$91)</f>
        <v>0</v>
      </c>
      <c r="H61" s="479" t="str">
        <f t="shared" si="2"/>
        <v>OK</v>
      </c>
      <c r="M61" s="448" t="s">
        <v>469</v>
      </c>
      <c r="N61" s="445" t="b">
        <f t="shared" si="1"/>
        <v>1</v>
      </c>
      <c r="Q61" s="466" t="s">
        <v>469</v>
      </c>
      <c r="R61" s="485"/>
      <c r="S61" s="485"/>
      <c r="T61" s="465"/>
    </row>
    <row r="62" spans="1:20" ht="15.75" thickBot="1" x14ac:dyDescent="0.3">
      <c r="B62" s="60" t="s">
        <v>230</v>
      </c>
      <c r="C62" s="60">
        <f>Poeng!K64</f>
        <v>11</v>
      </c>
      <c r="D62" s="60"/>
      <c r="E62" s="60">
        <f>SUM(E58:E61)</f>
        <v>11</v>
      </c>
      <c r="G62" s="60">
        <f>SUM(G58:G61)</f>
        <v>11</v>
      </c>
      <c r="H62" s="479" t="str">
        <f t="shared" si="2"/>
        <v>OK</v>
      </c>
      <c r="M62" s="451" t="s">
        <v>192</v>
      </c>
      <c r="N62" s="445" t="b">
        <f t="shared" si="1"/>
        <v>1</v>
      </c>
      <c r="P62" t="s">
        <v>192</v>
      </c>
      <c r="Q62" s="461" t="s">
        <v>192</v>
      </c>
      <c r="R62" s="489" t="s">
        <v>470</v>
      </c>
      <c r="S62" s="486">
        <v>3</v>
      </c>
      <c r="T62" s="462" t="s">
        <v>419</v>
      </c>
    </row>
    <row r="63" spans="1:20" ht="15.75" thickBot="1" x14ac:dyDescent="0.3">
      <c r="B63" s="31"/>
      <c r="C63" s="31"/>
      <c r="D63" s="31"/>
      <c r="G63" s="445"/>
      <c r="H63" s="479" t="str">
        <f t="shared" si="2"/>
        <v>OK</v>
      </c>
      <c r="M63" s="451" t="s">
        <v>193</v>
      </c>
      <c r="N63" s="445" t="b">
        <f t="shared" si="1"/>
        <v>1</v>
      </c>
      <c r="P63" t="s">
        <v>193</v>
      </c>
      <c r="Q63" s="461" t="s">
        <v>193</v>
      </c>
      <c r="R63" s="489" t="s">
        <v>471</v>
      </c>
      <c r="S63" s="486">
        <v>1</v>
      </c>
      <c r="T63" s="462" t="s">
        <v>419</v>
      </c>
    </row>
    <row r="64" spans="1:20" ht="15.75" thickBot="1" x14ac:dyDescent="0.3">
      <c r="B64" s="57" t="s">
        <v>73</v>
      </c>
      <c r="C64" s="57"/>
      <c r="D64" s="57"/>
      <c r="E64" s="57"/>
      <c r="G64" s="460">
        <f>SUMIF($P$7:$P$91,A64,$S$7:$S$91)</f>
        <v>0</v>
      </c>
      <c r="H64" s="479" t="str">
        <f t="shared" si="2"/>
        <v>OK</v>
      </c>
      <c r="M64" s="451" t="s">
        <v>472</v>
      </c>
      <c r="N64" s="445" t="b">
        <f t="shared" si="1"/>
        <v>1</v>
      </c>
      <c r="P64" t="s">
        <v>194</v>
      </c>
      <c r="Q64" s="461" t="s">
        <v>472</v>
      </c>
      <c r="R64" s="489" t="s">
        <v>473</v>
      </c>
      <c r="S64" s="486" t="s">
        <v>253</v>
      </c>
      <c r="T64" s="462" t="s">
        <v>431</v>
      </c>
    </row>
    <row r="65" spans="1:20" x14ac:dyDescent="0.25">
      <c r="A65" t="s">
        <v>192</v>
      </c>
      <c r="B65" s="56" t="s">
        <v>172</v>
      </c>
      <c r="C65" s="56">
        <f>Poeng!K67</f>
        <v>3</v>
      </c>
      <c r="D65" s="55"/>
      <c r="E65" s="56">
        <f>Poeng!R67</f>
        <v>3</v>
      </c>
      <c r="G65" s="460">
        <f>SUMIF($P$7:$P$91,A65,$S$7:$S$91)</f>
        <v>3</v>
      </c>
      <c r="H65" s="479" t="str">
        <f t="shared" si="2"/>
        <v>OK</v>
      </c>
      <c r="M65" s="451" t="s">
        <v>474</v>
      </c>
      <c r="N65" s="445" t="b">
        <f t="shared" si="1"/>
        <v>1</v>
      </c>
      <c r="P65" t="s">
        <v>194</v>
      </c>
      <c r="Q65" s="461" t="s">
        <v>474</v>
      </c>
      <c r="R65" s="489" t="s">
        <v>473</v>
      </c>
      <c r="S65" s="486">
        <v>2</v>
      </c>
      <c r="T65" s="462" t="s">
        <v>419</v>
      </c>
    </row>
    <row r="66" spans="1:20" x14ac:dyDescent="0.25">
      <c r="A66" t="s">
        <v>193</v>
      </c>
      <c r="B66" s="54" t="s">
        <v>340</v>
      </c>
      <c r="C66" s="54">
        <f>Poeng!K68</f>
        <v>1</v>
      </c>
      <c r="D66" s="53"/>
      <c r="E66" s="56">
        <f>Poeng!R68</f>
        <v>1</v>
      </c>
      <c r="G66" s="460">
        <f>SUMIF($P$7:$P$91,A66,$S$7:$S$91)</f>
        <v>1</v>
      </c>
      <c r="H66" s="479" t="str">
        <f t="shared" si="2"/>
        <v>OK</v>
      </c>
      <c r="M66" s="451" t="s">
        <v>195</v>
      </c>
      <c r="N66" s="445" t="b">
        <f t="shared" si="1"/>
        <v>1</v>
      </c>
      <c r="P66" s="445" t="s">
        <v>195</v>
      </c>
      <c r="Q66" s="461" t="s">
        <v>195</v>
      </c>
      <c r="R66" s="489" t="s">
        <v>475</v>
      </c>
      <c r="S66" s="486" t="s">
        <v>253</v>
      </c>
      <c r="T66" s="462" t="s">
        <v>431</v>
      </c>
    </row>
    <row r="67" spans="1:20" x14ac:dyDescent="0.25">
      <c r="A67" t="s">
        <v>194</v>
      </c>
      <c r="B67" s="54" t="s">
        <v>181</v>
      </c>
      <c r="C67" s="54">
        <f>Poeng!K69</f>
        <v>1</v>
      </c>
      <c r="D67" s="53"/>
      <c r="E67" s="56">
        <f>Poeng!R69</f>
        <v>1</v>
      </c>
      <c r="G67" s="460">
        <f>SUMIF($P$7:$P$91,A67,$S$7:$S$91)</f>
        <v>2</v>
      </c>
      <c r="H67" s="479" t="str">
        <f t="shared" si="2"/>
        <v>FEIL</v>
      </c>
      <c r="M67" s="447"/>
      <c r="N67" s="445" t="b">
        <f t="shared" si="1"/>
        <v>1</v>
      </c>
      <c r="Q67" s="464"/>
      <c r="R67" s="485"/>
      <c r="S67" s="485"/>
      <c r="T67" s="465"/>
    </row>
    <row r="68" spans="1:20" ht="15.75" thickBot="1" x14ac:dyDescent="0.3">
      <c r="A68" t="s">
        <v>195</v>
      </c>
      <c r="B68" s="54" t="s">
        <v>231</v>
      </c>
      <c r="C68" s="54">
        <f>Poeng!K70</f>
        <v>1</v>
      </c>
      <c r="D68" s="53"/>
      <c r="E68" s="56">
        <f>Poeng!R70</f>
        <v>1</v>
      </c>
      <c r="G68" s="460">
        <f>SUMIF($P$7:$P$91,A68,$S$7:$S$91)</f>
        <v>0</v>
      </c>
      <c r="H68" s="479" t="str">
        <f t="shared" si="2"/>
        <v>FEIL</v>
      </c>
      <c r="M68" s="448" t="s">
        <v>476</v>
      </c>
      <c r="N68" s="445" t="b">
        <f t="shared" si="1"/>
        <v>1</v>
      </c>
      <c r="Q68" s="466" t="s">
        <v>476</v>
      </c>
      <c r="R68" s="485"/>
      <c r="S68" s="485"/>
      <c r="T68" s="465"/>
    </row>
    <row r="69" spans="1:20" ht="15.75" thickBot="1" x14ac:dyDescent="0.3">
      <c r="B69" s="60" t="s">
        <v>230</v>
      </c>
      <c r="C69" s="60">
        <f>Poeng!K71</f>
        <v>6</v>
      </c>
      <c r="D69" s="60"/>
      <c r="E69" s="60">
        <f>SUM(E65:E68)</f>
        <v>6</v>
      </c>
      <c r="G69" s="60">
        <f>SUM(G65:G68)</f>
        <v>6</v>
      </c>
      <c r="H69" s="479" t="str">
        <f t="shared" si="2"/>
        <v>OK</v>
      </c>
      <c r="M69" s="451" t="s">
        <v>196</v>
      </c>
      <c r="N69" s="445" t="b">
        <f t="shared" si="1"/>
        <v>1</v>
      </c>
      <c r="P69" t="s">
        <v>196</v>
      </c>
      <c r="Q69" s="461" t="s">
        <v>196</v>
      </c>
      <c r="R69" s="489" t="s">
        <v>477</v>
      </c>
      <c r="S69" s="486">
        <v>3</v>
      </c>
      <c r="T69" s="462" t="s">
        <v>419</v>
      </c>
    </row>
    <row r="70" spans="1:20" ht="15.75" thickBot="1" x14ac:dyDescent="0.3">
      <c r="B70" s="31"/>
      <c r="C70" s="31"/>
      <c r="D70" s="31"/>
      <c r="G70" s="445"/>
      <c r="H70" s="479" t="str">
        <f t="shared" si="2"/>
        <v>OK</v>
      </c>
      <c r="M70" s="451" t="s">
        <v>197</v>
      </c>
      <c r="N70" s="445" t="b">
        <f t="shared" si="1"/>
        <v>1</v>
      </c>
      <c r="P70" t="s">
        <v>197</v>
      </c>
      <c r="Q70" s="461" t="s">
        <v>197</v>
      </c>
      <c r="R70" s="489" t="s">
        <v>478</v>
      </c>
      <c r="S70" s="486">
        <v>2</v>
      </c>
      <c r="T70" s="462" t="s">
        <v>419</v>
      </c>
    </row>
    <row r="71" spans="1:20" ht="15.75" thickBot="1" x14ac:dyDescent="0.3">
      <c r="B71" s="57" t="s">
        <v>243</v>
      </c>
      <c r="C71" s="57"/>
      <c r="D71" s="57"/>
      <c r="E71" s="57"/>
      <c r="G71" s="460">
        <f t="shared" ref="G71:G76" si="6">SUMIF($P$7:$P$91,A71,$S$7:$S$91)</f>
        <v>0</v>
      </c>
      <c r="H71" s="479" t="str">
        <f t="shared" si="2"/>
        <v>OK</v>
      </c>
      <c r="M71" s="451" t="s">
        <v>198</v>
      </c>
      <c r="N71" s="445" t="b">
        <f t="shared" ref="N71:N92" si="7">M71=Q71</f>
        <v>1</v>
      </c>
      <c r="P71" t="s">
        <v>198</v>
      </c>
      <c r="Q71" s="461" t="s">
        <v>198</v>
      </c>
      <c r="R71" s="489" t="s">
        <v>479</v>
      </c>
      <c r="S71" s="486">
        <v>3</v>
      </c>
      <c r="T71" s="462" t="s">
        <v>419</v>
      </c>
    </row>
    <row r="72" spans="1:20" x14ac:dyDescent="0.25">
      <c r="A72" t="s">
        <v>196</v>
      </c>
      <c r="B72" s="56" t="s">
        <v>173</v>
      </c>
      <c r="C72" s="56">
        <f>Poeng!K74</f>
        <v>3</v>
      </c>
      <c r="D72" s="55"/>
      <c r="E72" s="56">
        <f>Poeng!R74</f>
        <v>3</v>
      </c>
      <c r="G72" s="460">
        <f t="shared" si="6"/>
        <v>3</v>
      </c>
      <c r="H72" s="479" t="str">
        <f t="shared" ref="H72:H97" si="8">IF(E72=G72,"OK","FEIL")</f>
        <v>OK</v>
      </c>
      <c r="M72" s="451" t="s">
        <v>199</v>
      </c>
      <c r="N72" s="445" t="b">
        <f t="shared" si="7"/>
        <v>1</v>
      </c>
      <c r="P72" t="s">
        <v>199</v>
      </c>
      <c r="Q72" s="461" t="s">
        <v>199</v>
      </c>
      <c r="R72" s="489" t="s">
        <v>480</v>
      </c>
      <c r="S72" s="486">
        <v>2</v>
      </c>
      <c r="T72" s="462" t="s">
        <v>419</v>
      </c>
    </row>
    <row r="73" spans="1:20" x14ac:dyDescent="0.25">
      <c r="A73" t="s">
        <v>197</v>
      </c>
      <c r="B73" s="54" t="s">
        <v>174</v>
      </c>
      <c r="C73" s="54">
        <f>Poeng!K75</f>
        <v>2</v>
      </c>
      <c r="D73" s="53"/>
      <c r="E73" s="56">
        <f>Poeng!R75</f>
        <v>2</v>
      </c>
      <c r="G73" s="460">
        <f t="shared" si="6"/>
        <v>2</v>
      </c>
      <c r="H73" s="479" t="str">
        <f t="shared" si="8"/>
        <v>OK</v>
      </c>
      <c r="M73" s="451" t="s">
        <v>200</v>
      </c>
      <c r="N73" s="445" t="b">
        <f t="shared" si="7"/>
        <v>1</v>
      </c>
      <c r="P73" t="s">
        <v>200</v>
      </c>
      <c r="Q73" s="461" t="s">
        <v>200</v>
      </c>
      <c r="R73" s="489" t="s">
        <v>481</v>
      </c>
      <c r="S73" s="486" t="s">
        <v>253</v>
      </c>
      <c r="T73" s="462" t="s">
        <v>431</v>
      </c>
    </row>
    <row r="74" spans="1:20" x14ac:dyDescent="0.25">
      <c r="A74" t="s">
        <v>198</v>
      </c>
      <c r="B74" s="54" t="s">
        <v>175</v>
      </c>
      <c r="C74" s="54">
        <f>Poeng!K76</f>
        <v>3</v>
      </c>
      <c r="D74" s="53"/>
      <c r="E74" s="56">
        <f>Poeng!R76</f>
        <v>3</v>
      </c>
      <c r="G74" s="460">
        <f t="shared" si="6"/>
        <v>3</v>
      </c>
      <c r="H74" s="479" t="str">
        <f t="shared" si="8"/>
        <v>OK</v>
      </c>
      <c r="M74" s="447"/>
      <c r="N74" s="445" t="b">
        <f t="shared" si="7"/>
        <v>1</v>
      </c>
      <c r="Q74" s="464"/>
      <c r="R74" s="485"/>
      <c r="S74" s="485"/>
      <c r="T74" s="465"/>
    </row>
    <row r="75" spans="1:20" x14ac:dyDescent="0.25">
      <c r="A75" t="s">
        <v>199</v>
      </c>
      <c r="B75" s="54" t="s">
        <v>176</v>
      </c>
      <c r="C75" s="54">
        <f>Poeng!K77</f>
        <v>2</v>
      </c>
      <c r="D75" s="53"/>
      <c r="E75" s="56">
        <f>Poeng!R77</f>
        <v>2</v>
      </c>
      <c r="G75" s="460">
        <f t="shared" si="6"/>
        <v>2</v>
      </c>
      <c r="H75" s="479" t="str">
        <f t="shared" si="8"/>
        <v>OK</v>
      </c>
      <c r="M75" s="448" t="s">
        <v>482</v>
      </c>
      <c r="N75" s="445" t="b">
        <f t="shared" si="7"/>
        <v>1</v>
      </c>
      <c r="Q75" s="466" t="s">
        <v>482</v>
      </c>
      <c r="R75" s="485"/>
      <c r="S75" s="485"/>
      <c r="T75" s="465"/>
    </row>
    <row r="76" spans="1:20" ht="15.75" thickBot="1" x14ac:dyDescent="0.3">
      <c r="A76" t="s">
        <v>200</v>
      </c>
      <c r="B76" s="54" t="s">
        <v>182</v>
      </c>
      <c r="C76" s="54">
        <f>Poeng!K78</f>
        <v>0</v>
      </c>
      <c r="D76" s="53"/>
      <c r="E76" s="56">
        <f>Poeng!R78</f>
        <v>0</v>
      </c>
      <c r="G76" s="460">
        <f t="shared" si="6"/>
        <v>0</v>
      </c>
      <c r="H76" s="479" t="str">
        <f t="shared" si="8"/>
        <v>OK</v>
      </c>
      <c r="M76" s="451" t="s">
        <v>483</v>
      </c>
      <c r="N76" s="445" t="b">
        <f t="shared" si="7"/>
        <v>1</v>
      </c>
      <c r="P76" t="s">
        <v>483</v>
      </c>
      <c r="Q76" s="461" t="s">
        <v>483</v>
      </c>
      <c r="R76" s="489" t="s">
        <v>484</v>
      </c>
      <c r="S76" s="486">
        <v>3</v>
      </c>
      <c r="T76" s="462" t="s">
        <v>419</v>
      </c>
    </row>
    <row r="77" spans="1:20" ht="15.75" thickBot="1" x14ac:dyDescent="0.3">
      <c r="B77" s="60" t="s">
        <v>230</v>
      </c>
      <c r="C77" s="60">
        <f>Poeng!K79</f>
        <v>10</v>
      </c>
      <c r="D77" s="60"/>
      <c r="E77" s="60">
        <f>SUM(E72:E76)</f>
        <v>10</v>
      </c>
      <c r="G77" s="60">
        <f>SUM(G72:G76)</f>
        <v>10</v>
      </c>
      <c r="H77" s="479" t="str">
        <f t="shared" si="8"/>
        <v>OK</v>
      </c>
      <c r="M77" s="451" t="s">
        <v>485</v>
      </c>
      <c r="N77" s="445" t="b">
        <f t="shared" si="7"/>
        <v>1</v>
      </c>
      <c r="P77" t="s">
        <v>485</v>
      </c>
      <c r="Q77" s="461" t="s">
        <v>485</v>
      </c>
      <c r="R77" s="489" t="s">
        <v>486</v>
      </c>
      <c r="S77" s="486">
        <v>3</v>
      </c>
      <c r="T77" s="462" t="s">
        <v>419</v>
      </c>
    </row>
    <row r="78" spans="1:20" ht="15.75" thickBot="1" x14ac:dyDescent="0.3">
      <c r="B78" s="31"/>
      <c r="C78" s="31"/>
      <c r="D78" s="31"/>
      <c r="G78" s="445"/>
      <c r="H78" s="479" t="str">
        <f t="shared" si="8"/>
        <v>OK</v>
      </c>
      <c r="M78" s="451" t="s">
        <v>487</v>
      </c>
      <c r="N78" s="445" t="b">
        <f t="shared" si="7"/>
        <v>1</v>
      </c>
      <c r="P78" t="s">
        <v>487</v>
      </c>
      <c r="Q78" s="461" t="s">
        <v>487</v>
      </c>
      <c r="R78" s="489" t="s">
        <v>488</v>
      </c>
      <c r="S78" s="486">
        <v>5</v>
      </c>
      <c r="T78" s="462" t="s">
        <v>419</v>
      </c>
    </row>
    <row r="79" spans="1:20" ht="15.75" thickBot="1" x14ac:dyDescent="0.3">
      <c r="B79" s="57" t="s">
        <v>75</v>
      </c>
      <c r="C79" s="57"/>
      <c r="D79" s="57"/>
      <c r="E79" s="57"/>
      <c r="G79" s="460">
        <f t="shared" ref="G79:G84" si="9">SUMIF($P$7:$P$91,A79,$S$7:$S$91)</f>
        <v>0</v>
      </c>
      <c r="H79" s="479" t="str">
        <f t="shared" si="8"/>
        <v>OK</v>
      </c>
      <c r="M79" s="451" t="s">
        <v>489</v>
      </c>
      <c r="N79" s="445" t="b">
        <f t="shared" si="7"/>
        <v>1</v>
      </c>
      <c r="P79" t="s">
        <v>489</v>
      </c>
      <c r="Q79" s="461" t="s">
        <v>489</v>
      </c>
      <c r="R79" s="489" t="s">
        <v>490</v>
      </c>
      <c r="S79" s="486">
        <v>1</v>
      </c>
      <c r="T79" s="462" t="s">
        <v>419</v>
      </c>
    </row>
    <row r="80" spans="1:20" x14ac:dyDescent="0.25">
      <c r="A80" t="s">
        <v>483</v>
      </c>
      <c r="B80" s="71" t="s">
        <v>177</v>
      </c>
      <c r="C80" s="71">
        <f>Poeng!K82</f>
        <v>3</v>
      </c>
      <c r="D80" s="55"/>
      <c r="E80" s="480">
        <f>Poeng!R82</f>
        <v>3</v>
      </c>
      <c r="G80" s="460">
        <f t="shared" si="9"/>
        <v>3</v>
      </c>
      <c r="H80" s="479" t="str">
        <f t="shared" si="8"/>
        <v>OK</v>
      </c>
      <c r="M80" s="451" t="s">
        <v>491</v>
      </c>
      <c r="N80" s="445" t="b">
        <f t="shared" si="7"/>
        <v>1</v>
      </c>
      <c r="P80" t="s">
        <v>491</v>
      </c>
      <c r="Q80" s="461" t="s">
        <v>491</v>
      </c>
      <c r="R80" s="489" t="s">
        <v>492</v>
      </c>
      <c r="S80" s="486">
        <v>1</v>
      </c>
      <c r="T80" s="462" t="s">
        <v>419</v>
      </c>
    </row>
    <row r="81" spans="1:20" x14ac:dyDescent="0.25">
      <c r="A81" t="s">
        <v>485</v>
      </c>
      <c r="B81" s="72" t="s">
        <v>178</v>
      </c>
      <c r="C81" s="72">
        <f>Poeng!K83</f>
        <v>3</v>
      </c>
      <c r="D81" s="53"/>
      <c r="E81" s="480">
        <f>Poeng!R83</f>
        <v>3</v>
      </c>
      <c r="G81" s="460">
        <f t="shared" si="9"/>
        <v>3</v>
      </c>
      <c r="H81" s="479" t="str">
        <f t="shared" si="8"/>
        <v>OK</v>
      </c>
      <c r="M81" s="447"/>
      <c r="N81" s="445" t="b">
        <f t="shared" si="7"/>
        <v>1</v>
      </c>
      <c r="Q81" s="464"/>
      <c r="R81" s="485"/>
      <c r="S81" s="485"/>
      <c r="T81" s="465"/>
    </row>
    <row r="82" spans="1:20" x14ac:dyDescent="0.25">
      <c r="A82" t="s">
        <v>487</v>
      </c>
      <c r="B82" s="54" t="s">
        <v>179</v>
      </c>
      <c r="C82" s="54">
        <f>Poeng!K84</f>
        <v>5</v>
      </c>
      <c r="D82" s="53"/>
      <c r="E82" s="56">
        <f>Poeng!R84</f>
        <v>5</v>
      </c>
      <c r="G82" s="460">
        <f t="shared" si="9"/>
        <v>5</v>
      </c>
      <c r="H82" s="479" t="str">
        <f t="shared" si="8"/>
        <v>OK</v>
      </c>
      <c r="M82" s="447"/>
      <c r="N82" s="445" t="b">
        <f t="shared" si="7"/>
        <v>1</v>
      </c>
      <c r="Q82" s="464"/>
      <c r="R82" s="485"/>
      <c r="S82" s="485"/>
      <c r="T82" s="465"/>
    </row>
    <row r="83" spans="1:20" x14ac:dyDescent="0.25">
      <c r="A83" t="s">
        <v>489</v>
      </c>
      <c r="B83" s="54" t="s">
        <v>180</v>
      </c>
      <c r="C83" s="54">
        <f>Poeng!K85</f>
        <v>1</v>
      </c>
      <c r="D83" s="53"/>
      <c r="E83" s="56">
        <f>Poeng!R85</f>
        <v>1</v>
      </c>
      <c r="G83" s="460">
        <f t="shared" si="9"/>
        <v>1</v>
      </c>
      <c r="H83" s="479" t="str">
        <f t="shared" si="8"/>
        <v>OK</v>
      </c>
      <c r="M83" s="449" t="s">
        <v>493</v>
      </c>
      <c r="N83" s="445" t="b">
        <f t="shared" si="7"/>
        <v>1</v>
      </c>
      <c r="Q83" s="470" t="s">
        <v>493</v>
      </c>
      <c r="R83" s="485"/>
      <c r="S83" s="485"/>
      <c r="T83" s="465"/>
    </row>
    <row r="84" spans="1:20" ht="15.75" thickBot="1" x14ac:dyDescent="0.3">
      <c r="A84" t="s">
        <v>491</v>
      </c>
      <c r="B84" s="54" t="s">
        <v>183</v>
      </c>
      <c r="C84" s="54">
        <f>Poeng!K86</f>
        <v>1</v>
      </c>
      <c r="D84" s="53"/>
      <c r="E84" s="56">
        <f>Poeng!R86</f>
        <v>1</v>
      </c>
      <c r="G84" s="460">
        <f t="shared" si="9"/>
        <v>1</v>
      </c>
      <c r="H84" s="479" t="str">
        <f t="shared" si="8"/>
        <v>OK</v>
      </c>
      <c r="M84" s="451" t="s">
        <v>100</v>
      </c>
      <c r="N84" s="445" t="b">
        <f t="shared" si="7"/>
        <v>1</v>
      </c>
      <c r="P84" s="445" t="s">
        <v>206</v>
      </c>
      <c r="Q84" s="461" t="s">
        <v>100</v>
      </c>
      <c r="R84" s="489" t="s">
        <v>423</v>
      </c>
      <c r="S84" s="486">
        <v>1</v>
      </c>
      <c r="T84" s="462" t="s">
        <v>419</v>
      </c>
    </row>
    <row r="85" spans="1:20" ht="15.75" thickBot="1" x14ac:dyDescent="0.3">
      <c r="B85" s="60" t="s">
        <v>230</v>
      </c>
      <c r="C85" s="60">
        <f>Poeng!K87</f>
        <v>13</v>
      </c>
      <c r="D85" s="60"/>
      <c r="E85" s="60">
        <f>SUM(E80:E84)</f>
        <v>13</v>
      </c>
      <c r="G85" s="60">
        <f>SUM(G80:G84)</f>
        <v>13</v>
      </c>
      <c r="H85" s="479" t="str">
        <f t="shared" si="8"/>
        <v>OK</v>
      </c>
      <c r="M85" s="451" t="s">
        <v>125</v>
      </c>
      <c r="N85" s="445" t="b">
        <f t="shared" si="7"/>
        <v>1</v>
      </c>
      <c r="P85" s="445" t="s">
        <v>207</v>
      </c>
      <c r="Q85" s="461" t="s">
        <v>125</v>
      </c>
      <c r="R85" s="489" t="s">
        <v>494</v>
      </c>
      <c r="S85" s="486">
        <v>1</v>
      </c>
      <c r="T85" s="462" t="s">
        <v>419</v>
      </c>
    </row>
    <row r="86" spans="1:20" ht="15.75" thickBot="1" x14ac:dyDescent="0.3">
      <c r="B86" s="31"/>
      <c r="C86" s="31"/>
      <c r="D86" s="31"/>
      <c r="G86" s="445"/>
      <c r="H86" s="479" t="str">
        <f t="shared" si="8"/>
        <v>OK</v>
      </c>
      <c r="M86" s="451" t="s">
        <v>454</v>
      </c>
      <c r="N86" s="445" t="b">
        <f t="shared" si="7"/>
        <v>1</v>
      </c>
      <c r="P86" s="445" t="s">
        <v>208</v>
      </c>
      <c r="Q86" s="461" t="s">
        <v>454</v>
      </c>
      <c r="R86" s="489" t="s">
        <v>455</v>
      </c>
      <c r="S86" s="486">
        <v>1</v>
      </c>
      <c r="T86" s="462" t="s">
        <v>419</v>
      </c>
    </row>
    <row r="87" spans="1:20" ht="15.75" thickBot="1" x14ac:dyDescent="0.3">
      <c r="B87" s="57" t="s">
        <v>244</v>
      </c>
      <c r="C87" s="57"/>
      <c r="D87" s="57"/>
      <c r="E87" s="57"/>
      <c r="G87" s="460">
        <f t="shared" ref="G87:G94" si="10">SUMIF($P$7:$P$91,A87,$S$7:$S$91)</f>
        <v>0</v>
      </c>
      <c r="H87" s="479" t="str">
        <f t="shared" si="8"/>
        <v>OK</v>
      </c>
      <c r="M87" s="451" t="s">
        <v>456</v>
      </c>
      <c r="N87" s="445" t="b">
        <f t="shared" si="7"/>
        <v>1</v>
      </c>
      <c r="P87" s="445" t="s">
        <v>208</v>
      </c>
      <c r="Q87" s="461" t="s">
        <v>456</v>
      </c>
      <c r="R87" s="489" t="s">
        <v>455</v>
      </c>
      <c r="S87" s="486" t="s">
        <v>253</v>
      </c>
      <c r="T87" s="462" t="s">
        <v>431</v>
      </c>
    </row>
    <row r="88" spans="1:20" x14ac:dyDescent="0.25">
      <c r="A88" t="s">
        <v>206</v>
      </c>
      <c r="B88" s="56" t="s">
        <v>406</v>
      </c>
      <c r="C88" s="56">
        <f>Poeng!K90</f>
        <v>1</v>
      </c>
      <c r="D88" s="55"/>
      <c r="E88" s="56">
        <f>Poeng!R90</f>
        <v>1</v>
      </c>
      <c r="G88" s="460">
        <f t="shared" si="10"/>
        <v>1</v>
      </c>
      <c r="H88" s="479" t="str">
        <f t="shared" si="8"/>
        <v>OK</v>
      </c>
      <c r="M88" s="489" t="s">
        <v>184</v>
      </c>
      <c r="N88" s="484" t="b">
        <f t="shared" si="7"/>
        <v>1</v>
      </c>
      <c r="P88" s="445" t="s">
        <v>209</v>
      </c>
      <c r="Q88" s="461" t="s">
        <v>184</v>
      </c>
      <c r="R88" s="489" t="s">
        <v>461</v>
      </c>
      <c r="S88" s="486">
        <v>1</v>
      </c>
      <c r="T88" s="462" t="s">
        <v>419</v>
      </c>
    </row>
    <row r="89" spans="1:20" x14ac:dyDescent="0.25">
      <c r="A89" t="s">
        <v>207</v>
      </c>
      <c r="B89" s="54" t="s">
        <v>407</v>
      </c>
      <c r="C89" s="54">
        <f>Poeng!K91</f>
        <v>1</v>
      </c>
      <c r="D89" s="53"/>
      <c r="E89" s="56">
        <f>Poeng!R91</f>
        <v>1</v>
      </c>
      <c r="G89" s="460">
        <f t="shared" si="10"/>
        <v>1</v>
      </c>
      <c r="H89" s="479" t="str">
        <f t="shared" si="8"/>
        <v>OK</v>
      </c>
      <c r="M89" s="451" t="s">
        <v>188</v>
      </c>
      <c r="N89" s="484" t="b">
        <f t="shared" si="7"/>
        <v>1</v>
      </c>
      <c r="P89" s="445" t="s">
        <v>210</v>
      </c>
      <c r="Q89" s="461" t="s">
        <v>188</v>
      </c>
      <c r="R89" s="489" t="s">
        <v>466</v>
      </c>
      <c r="S89" s="486">
        <v>1</v>
      </c>
      <c r="T89" s="462" t="s">
        <v>419</v>
      </c>
    </row>
    <row r="90" spans="1:20" x14ac:dyDescent="0.25">
      <c r="A90" t="s">
        <v>208</v>
      </c>
      <c r="B90" s="54" t="s">
        <v>408</v>
      </c>
      <c r="C90" s="54">
        <f>Poeng!K92</f>
        <v>1</v>
      </c>
      <c r="D90" s="53"/>
      <c r="E90" s="56">
        <f>Poeng!R92</f>
        <v>1</v>
      </c>
      <c r="G90" s="460">
        <f t="shared" si="10"/>
        <v>1</v>
      </c>
      <c r="H90" s="479" t="str">
        <f t="shared" si="8"/>
        <v>OK</v>
      </c>
      <c r="M90" s="451" t="s">
        <v>189</v>
      </c>
      <c r="N90" s="484" t="b">
        <f t="shared" si="7"/>
        <v>1</v>
      </c>
      <c r="P90" s="445" t="s">
        <v>211</v>
      </c>
      <c r="Q90" s="461" t="s">
        <v>189</v>
      </c>
      <c r="R90" s="489" t="s">
        <v>495</v>
      </c>
      <c r="S90" s="486">
        <v>1</v>
      </c>
      <c r="T90" s="462" t="s">
        <v>419</v>
      </c>
    </row>
    <row r="91" spans="1:20" x14ac:dyDescent="0.25">
      <c r="A91" s="445" t="s">
        <v>209</v>
      </c>
      <c r="B91" s="54" t="s">
        <v>409</v>
      </c>
      <c r="C91" s="54">
        <f>Poeng!K93</f>
        <v>1</v>
      </c>
      <c r="D91" s="53"/>
      <c r="E91" s="56">
        <f>Poeng!R93</f>
        <v>1</v>
      </c>
      <c r="G91" s="460">
        <f t="shared" si="10"/>
        <v>1</v>
      </c>
      <c r="H91" s="479" t="str">
        <f t="shared" si="8"/>
        <v>OK</v>
      </c>
      <c r="M91" s="451" t="s">
        <v>192</v>
      </c>
      <c r="N91" s="484" t="b">
        <f t="shared" si="7"/>
        <v>1</v>
      </c>
      <c r="P91" s="445" t="s">
        <v>212</v>
      </c>
      <c r="Q91" s="461" t="s">
        <v>192</v>
      </c>
      <c r="R91" s="489" t="s">
        <v>496</v>
      </c>
      <c r="S91" s="486">
        <v>1</v>
      </c>
      <c r="T91" s="462" t="s">
        <v>419</v>
      </c>
    </row>
    <row r="92" spans="1:20" ht="15.75" thickBot="1" x14ac:dyDescent="0.3">
      <c r="A92" t="s">
        <v>210</v>
      </c>
      <c r="B92" s="54" t="s">
        <v>267</v>
      </c>
      <c r="C92" s="54">
        <f>Poeng!K94</f>
        <v>2</v>
      </c>
      <c r="D92" s="53"/>
      <c r="E92" s="56">
        <f>Poeng!R94</f>
        <v>2</v>
      </c>
      <c r="G92" s="460">
        <f t="shared" si="10"/>
        <v>1</v>
      </c>
      <c r="H92" s="479" t="str">
        <f t="shared" si="8"/>
        <v>FEIL</v>
      </c>
      <c r="M92" t="s">
        <v>193</v>
      </c>
      <c r="N92" s="484" t="b">
        <f t="shared" si="7"/>
        <v>1</v>
      </c>
      <c r="P92" t="s">
        <v>242</v>
      </c>
      <c r="Q92" s="471" t="s">
        <v>193</v>
      </c>
      <c r="R92" s="472" t="s">
        <v>471</v>
      </c>
      <c r="S92" s="473">
        <v>1</v>
      </c>
      <c r="T92" s="474" t="s">
        <v>419</v>
      </c>
    </row>
    <row r="93" spans="1:20" x14ac:dyDescent="0.25">
      <c r="A93" t="s">
        <v>211</v>
      </c>
      <c r="B93" s="54" t="s">
        <v>268</v>
      </c>
      <c r="C93" s="54">
        <f>Poeng!K95</f>
        <v>1</v>
      </c>
      <c r="D93" s="53"/>
      <c r="E93" s="56">
        <f>Poeng!R95</f>
        <v>1</v>
      </c>
      <c r="G93" s="460">
        <f t="shared" si="10"/>
        <v>1</v>
      </c>
      <c r="H93" s="479" t="str">
        <f t="shared" si="8"/>
        <v>OK</v>
      </c>
      <c r="N93" s="445"/>
    </row>
    <row r="94" spans="1:20" x14ac:dyDescent="0.25">
      <c r="A94" t="s">
        <v>212</v>
      </c>
      <c r="B94" s="54" t="s">
        <v>410</v>
      </c>
      <c r="C94" s="54">
        <f>Poeng!K96</f>
        <v>1</v>
      </c>
      <c r="D94" s="53"/>
      <c r="E94" s="56">
        <f>Poeng!R96</f>
        <v>1</v>
      </c>
      <c r="G94" s="460">
        <f t="shared" si="10"/>
        <v>1</v>
      </c>
      <c r="H94" s="479" t="str">
        <f t="shared" si="8"/>
        <v>OK</v>
      </c>
      <c r="N94" s="445"/>
    </row>
    <row r="95" spans="1:20" ht="15.75" thickBot="1" x14ac:dyDescent="0.3">
      <c r="A95" t="s">
        <v>242</v>
      </c>
      <c r="B95" s="54" t="s">
        <v>411</v>
      </c>
      <c r="C95" s="54">
        <f>Poeng!K97</f>
        <v>1</v>
      </c>
      <c r="D95" s="53"/>
      <c r="E95" s="56">
        <f>Poeng!R97</f>
        <v>1</v>
      </c>
      <c r="G95" s="460">
        <f>SUMIF($P$7:$P$92,A95,$S$7:$S$92)</f>
        <v>1</v>
      </c>
      <c r="H95" s="479" t="str">
        <f t="shared" si="8"/>
        <v>OK</v>
      </c>
      <c r="N95" s="445"/>
    </row>
    <row r="96" spans="1:20" s="31" customFormat="1" ht="15.75" thickBot="1" x14ac:dyDescent="0.3">
      <c r="A96" s="31" t="s">
        <v>272</v>
      </c>
      <c r="B96" s="75" t="s">
        <v>412</v>
      </c>
      <c r="C96" s="54">
        <f>Poeng!K98</f>
        <v>10</v>
      </c>
      <c r="D96" s="74"/>
      <c r="E96" s="56">
        <f>C96-D96</f>
        <v>10</v>
      </c>
      <c r="G96" s="476">
        <v>10</v>
      </c>
      <c r="H96" s="479" t="str">
        <f t="shared" si="8"/>
        <v>OK</v>
      </c>
    </row>
    <row r="97" spans="1:19" ht="15.75" thickBot="1" x14ac:dyDescent="0.3">
      <c r="B97" s="60"/>
      <c r="C97" s="60">
        <f>Poeng!K99</f>
        <v>10</v>
      </c>
      <c r="D97" s="60"/>
      <c r="E97" s="60">
        <f>IF(SUM(E88:E96)&gt;10,10,SUM(E88:E96))</f>
        <v>10</v>
      </c>
      <c r="G97" s="60">
        <f>IF(SUM(G88:G96)&gt;10,10,SUM(G88:G96))</f>
        <v>10</v>
      </c>
      <c r="H97" s="479" t="str">
        <f t="shared" si="8"/>
        <v>OK</v>
      </c>
    </row>
    <row r="98" spans="1:19" x14ac:dyDescent="0.25">
      <c r="G98">
        <f>SUM(G6:G95)</f>
        <v>256</v>
      </c>
      <c r="S98" s="445">
        <f>SUM(S6:S97)</f>
        <v>132</v>
      </c>
    </row>
    <row r="102" spans="1:19" x14ac:dyDescent="0.25">
      <c r="A102" t="s">
        <v>206</v>
      </c>
      <c r="B102" t="s">
        <v>406</v>
      </c>
    </row>
    <row r="103" spans="1:19" x14ac:dyDescent="0.25">
      <c r="A103" t="s">
        <v>207</v>
      </c>
      <c r="B103" t="s">
        <v>407</v>
      </c>
    </row>
    <row r="104" spans="1:19" x14ac:dyDescent="0.25">
      <c r="A104" t="s">
        <v>208</v>
      </c>
      <c r="B104" t="s">
        <v>408</v>
      </c>
    </row>
    <row r="105" spans="1:19" x14ac:dyDescent="0.25">
      <c r="A105" t="s">
        <v>209</v>
      </c>
      <c r="B105" t="s">
        <v>409</v>
      </c>
    </row>
    <row r="106" spans="1:19" x14ac:dyDescent="0.25">
      <c r="A106" t="s">
        <v>210</v>
      </c>
      <c r="B106" t="s">
        <v>267</v>
      </c>
    </row>
    <row r="107" spans="1:19" x14ac:dyDescent="0.25">
      <c r="A107" t="s">
        <v>211</v>
      </c>
      <c r="B107" t="s">
        <v>268</v>
      </c>
    </row>
    <row r="108" spans="1:19" x14ac:dyDescent="0.25">
      <c r="A108" t="s">
        <v>212</v>
      </c>
      <c r="B108" t="s">
        <v>410</v>
      </c>
    </row>
    <row r="109" spans="1:19" x14ac:dyDescent="0.25">
      <c r="A109" t="s">
        <v>242</v>
      </c>
      <c r="B109" t="s">
        <v>411</v>
      </c>
    </row>
    <row r="110" spans="1:19" x14ac:dyDescent="0.25">
      <c r="A110" t="s">
        <v>272</v>
      </c>
      <c r="B110" t="s">
        <v>412</v>
      </c>
    </row>
  </sheetData>
  <sheetProtection algorithmName="SHA-512" hashValue="W5T7odtIZWR2oBQB4TuFLYQQLwULm9xild3WSh2pXqRjsFUT43zkFyaTXswK7DZCB9wZbioHQynXZlwkxpAiVQ==" saltValue="BioWN+cNjXkqDBuv1vxN6w==" spinCount="100000" sheet="1" objects="1" scenarios="1"/>
  <protectedRanges>
    <protectedRange sqref="H2" name="Sortering"/>
  </protectedRanges>
  <mergeCells count="3">
    <mergeCell ref="M5:N5"/>
    <mergeCell ref="Q17:Q19"/>
    <mergeCell ref="Q14:Q16"/>
  </mergeCells>
  <conditionalFormatting sqref="H2">
    <cfRule type="expression" dxfId="402" priority="3">
      <formula>$X2=2</formula>
    </cfRule>
  </conditionalFormatting>
  <conditionalFormatting sqref="H2">
    <cfRule type="expression" dxfId="401" priority="163">
      <formula>H2&gt;#REF!</formula>
    </cfRule>
  </conditionalFormatting>
  <conditionalFormatting sqref="H7:H97">
    <cfRule type="expression" dxfId="400" priority="1">
      <formula>H7="FEIL"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Details'!$L$51:$L$52</xm:f>
          </x14:formula1>
          <xm:sqref>H2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9"/>
  <sheetViews>
    <sheetView zoomScaleNormal="100" workbookViewId="0">
      <selection activeCell="H9" sqref="H9:I9"/>
    </sheetView>
  </sheetViews>
  <sheetFormatPr defaultColWidth="9.140625" defaultRowHeight="15" x14ac:dyDescent="0.25"/>
  <cols>
    <col min="1" max="1" width="3" style="554" customWidth="1"/>
    <col min="2" max="2" width="23.28515625" style="554" customWidth="1"/>
    <col min="3" max="3" width="11" style="554" customWidth="1"/>
    <col min="4" max="4" width="9.7109375" style="554" customWidth="1"/>
    <col min="5" max="5" width="11.28515625" style="554" customWidth="1"/>
    <col min="6" max="6" width="10.28515625" style="554" customWidth="1"/>
    <col min="7" max="7" width="10.5703125" style="554" customWidth="1"/>
    <col min="8" max="8" width="11" style="554" customWidth="1"/>
    <col min="9" max="9" width="11.140625" style="554" customWidth="1"/>
    <col min="10" max="10" width="11.5703125" style="554" customWidth="1"/>
    <col min="11" max="11" width="16.5703125" style="554" customWidth="1"/>
    <col min="12" max="12" width="13.28515625" style="554" customWidth="1"/>
    <col min="13" max="13" width="13" style="554" customWidth="1"/>
    <col min="14" max="14" width="19.7109375" style="554" customWidth="1"/>
    <col min="15" max="15" width="13.140625" style="554" customWidth="1"/>
    <col min="16" max="16" width="14" style="554" customWidth="1"/>
    <col min="17" max="17" width="16.5703125" style="554" customWidth="1"/>
    <col min="18" max="26" width="9.140625" style="554" customWidth="1"/>
    <col min="27" max="32" width="9.140625" style="554" hidden="1" customWidth="1"/>
    <col min="33" max="42" width="9.140625" style="554" customWidth="1"/>
    <col min="43" max="16384" width="9.140625" style="554"/>
  </cols>
  <sheetData>
    <row r="1" spans="1:40" x14ac:dyDescent="0.25">
      <c r="A1" s="553"/>
      <c r="B1" s="553"/>
      <c r="C1" s="553"/>
      <c r="D1" s="553"/>
      <c r="E1" s="553"/>
      <c r="F1" s="553"/>
      <c r="G1" s="553"/>
      <c r="H1" s="553"/>
      <c r="I1" s="553"/>
      <c r="J1" s="553"/>
      <c r="K1" s="553"/>
      <c r="L1" s="553"/>
      <c r="M1" s="553"/>
      <c r="N1" s="553"/>
      <c r="O1" s="553"/>
      <c r="P1" s="553"/>
      <c r="Q1" s="553"/>
      <c r="R1" s="553"/>
      <c r="S1" s="553"/>
    </row>
    <row r="2" spans="1:40" ht="42" customHeight="1" x14ac:dyDescent="0.25">
      <c r="A2" s="553"/>
      <c r="B2" s="555" t="s">
        <v>324</v>
      </c>
      <c r="C2" s="555"/>
      <c r="D2" s="555"/>
      <c r="E2" s="555"/>
      <c r="F2" s="555"/>
      <c r="G2" s="555"/>
      <c r="H2" s="556"/>
      <c r="I2" s="556"/>
      <c r="J2" s="556"/>
      <c r="K2" s="556"/>
      <c r="L2" s="557"/>
      <c r="M2" s="556"/>
      <c r="N2" s="811" t="str">
        <f>IF('Manuell filtrering og justering'!H2='Manuell filtrering og justering'!I2,"Bespoke","")</f>
        <v/>
      </c>
      <c r="O2" s="553"/>
      <c r="P2" s="553"/>
      <c r="Q2" s="553"/>
      <c r="R2" s="553"/>
      <c r="S2" s="553"/>
    </row>
    <row r="3" spans="1:40" ht="15" customHeight="1" x14ac:dyDescent="0.25">
      <c r="A3" s="553"/>
      <c r="B3" s="558"/>
      <c r="C3" s="553"/>
      <c r="D3" s="553"/>
      <c r="E3" s="553"/>
      <c r="F3" s="553"/>
      <c r="G3" s="553"/>
      <c r="H3" s="553"/>
      <c r="I3" s="553"/>
      <c r="J3" s="553"/>
      <c r="K3" s="553"/>
      <c r="L3" s="553"/>
      <c r="M3" s="553"/>
      <c r="N3" s="559"/>
      <c r="O3" s="553"/>
      <c r="P3" s="553"/>
      <c r="Q3" s="553"/>
      <c r="R3" s="553"/>
      <c r="S3" s="553"/>
    </row>
    <row r="4" spans="1:40" ht="18.75" x14ac:dyDescent="0.3">
      <c r="A4" s="553"/>
      <c r="B4" s="560" t="s">
        <v>64</v>
      </c>
      <c r="C4" s="561"/>
      <c r="D4" s="562"/>
      <c r="E4" s="562"/>
      <c r="F4" s="562"/>
      <c r="G4" s="562"/>
      <c r="H4" s="562"/>
      <c r="I4" s="562"/>
      <c r="J4" s="562"/>
      <c r="K4" s="562"/>
      <c r="L4" s="562"/>
      <c r="M4" s="562"/>
      <c r="N4" s="562"/>
      <c r="O4" s="553"/>
      <c r="P4" s="553"/>
      <c r="Q4" s="553"/>
      <c r="R4" s="553"/>
      <c r="S4" s="553"/>
    </row>
    <row r="5" spans="1:40" x14ac:dyDescent="0.25">
      <c r="A5" s="553"/>
      <c r="B5" s="553"/>
      <c r="C5" s="553"/>
      <c r="D5" s="553"/>
      <c r="E5" s="553"/>
      <c r="F5" s="553"/>
      <c r="G5" s="553"/>
      <c r="H5" s="553"/>
      <c r="I5" s="553"/>
      <c r="J5" s="553"/>
      <c r="K5" s="553"/>
      <c r="L5" s="553"/>
      <c r="M5" s="553"/>
      <c r="N5" s="553"/>
      <c r="O5" s="553"/>
      <c r="P5" s="553"/>
      <c r="Q5" s="553"/>
      <c r="R5" s="553"/>
      <c r="S5" s="553"/>
    </row>
    <row r="6" spans="1:40" ht="15.75" x14ac:dyDescent="0.25">
      <c r="A6" s="553"/>
      <c r="B6" s="563"/>
      <c r="C6" s="564" t="s">
        <v>22</v>
      </c>
      <c r="D6" s="565" t="str">
        <f>IF(ADBN="","",ADBN)</f>
        <v/>
      </c>
      <c r="E6" s="566"/>
      <c r="F6" s="566"/>
      <c r="G6" s="566"/>
      <c r="H6" s="566"/>
      <c r="I6" s="567"/>
      <c r="J6" s="568"/>
      <c r="K6" s="569"/>
      <c r="L6" s="570"/>
      <c r="M6" s="569" t="str">
        <f>"Pre-Assessment Estimator Version: "&amp;TVC_current_version&amp;". Date: "</f>
        <v xml:space="preserve">Pre-Assessment Estimator Version: 1.08. Date: </v>
      </c>
      <c r="N6" s="571">
        <f>TVC_current_date</f>
        <v>43782</v>
      </c>
      <c r="O6" s="553"/>
      <c r="P6" s="553"/>
      <c r="Q6" s="553"/>
      <c r="R6" s="553"/>
      <c r="S6" s="553"/>
    </row>
    <row r="7" spans="1:40" x14ac:dyDescent="0.25">
      <c r="A7" s="553"/>
      <c r="B7" s="568"/>
      <c r="C7" s="568"/>
      <c r="D7" s="568"/>
      <c r="E7" s="568"/>
      <c r="F7" s="568"/>
      <c r="G7" s="568"/>
      <c r="H7" s="568"/>
      <c r="I7" s="568"/>
      <c r="J7" s="568"/>
      <c r="K7" s="568"/>
      <c r="L7" s="553"/>
      <c r="M7" s="553"/>
      <c r="N7" s="553"/>
      <c r="O7" s="553"/>
      <c r="P7" s="553"/>
      <c r="Q7" s="553"/>
      <c r="R7" s="553"/>
      <c r="S7" s="553"/>
    </row>
    <row r="8" spans="1:40" ht="15.75" x14ac:dyDescent="0.25">
      <c r="A8" s="553"/>
      <c r="B8" s="572"/>
      <c r="C8" s="573"/>
      <c r="D8" s="935" t="s">
        <v>233</v>
      </c>
      <c r="E8" s="936"/>
      <c r="F8" s="927" t="s">
        <v>305</v>
      </c>
      <c r="G8" s="928"/>
      <c r="H8" s="927" t="s">
        <v>306</v>
      </c>
      <c r="I8" s="928"/>
      <c r="J8" s="568"/>
      <c r="K8" s="568"/>
      <c r="L8" s="553"/>
      <c r="M8" s="553"/>
      <c r="N8" s="553"/>
      <c r="O8" s="553"/>
      <c r="P8" s="553"/>
      <c r="Q8" s="553"/>
      <c r="R8" s="553"/>
      <c r="S8" s="553"/>
    </row>
    <row r="9" spans="1:40" ht="15.75" x14ac:dyDescent="0.25">
      <c r="A9" s="574"/>
      <c r="B9" s="575"/>
      <c r="C9" s="576" t="s">
        <v>335</v>
      </c>
      <c r="D9" s="946" t="s">
        <v>13</v>
      </c>
      <c r="E9" s="946"/>
      <c r="F9" s="946" t="s">
        <v>14</v>
      </c>
      <c r="G9" s="946"/>
      <c r="H9" s="946" t="s">
        <v>14</v>
      </c>
      <c r="I9" s="946"/>
      <c r="J9" s="574"/>
      <c r="K9" s="574"/>
      <c r="L9" s="568"/>
      <c r="M9" s="568"/>
      <c r="N9" s="568"/>
      <c r="O9" s="568"/>
      <c r="Z9" s="577"/>
      <c r="AA9" s="577"/>
      <c r="AB9" s="577"/>
      <c r="AC9" s="577"/>
      <c r="AD9" s="577"/>
      <c r="AE9" s="577"/>
      <c r="AF9" s="577"/>
      <c r="AG9" s="577"/>
      <c r="AH9" s="577"/>
      <c r="AI9" s="577"/>
      <c r="AJ9" s="577"/>
      <c r="AK9" s="577"/>
      <c r="AL9" s="577"/>
      <c r="AM9" s="577"/>
      <c r="AN9" s="577"/>
    </row>
    <row r="10" spans="1:40" ht="15.75" x14ac:dyDescent="0.25">
      <c r="A10" s="553"/>
      <c r="B10" s="578"/>
      <c r="C10" s="579" t="s">
        <v>356</v>
      </c>
      <c r="D10" s="937" t="str">
        <f>BP_BREEAMRating</f>
        <v>Unclassified</v>
      </c>
      <c r="E10" s="938"/>
      <c r="F10" s="929" t="str">
        <f>Poeng!AV112</f>
        <v>Unclassified</v>
      </c>
      <c r="G10" s="930"/>
      <c r="H10" s="929" t="str">
        <f>Poeng!AY112</f>
        <v>Unclassified</v>
      </c>
      <c r="I10" s="930"/>
      <c r="J10" s="568"/>
      <c r="K10" s="568" t="str">
        <f>IF(OR(Poeng!AT112=1,Poeng!AW112=1,Poeng!AZ112=1),Poeng!AL117,"")</f>
        <v/>
      </c>
      <c r="L10" s="568"/>
      <c r="M10" s="568"/>
      <c r="N10" s="568"/>
      <c r="O10" s="568"/>
      <c r="Z10" s="945"/>
      <c r="AA10" s="945"/>
      <c r="AB10" s="945"/>
      <c r="AC10" s="945"/>
      <c r="AD10" s="945"/>
      <c r="AE10" s="945"/>
      <c r="AF10" s="945"/>
      <c r="AG10" s="945"/>
      <c r="AH10" s="945"/>
      <c r="AI10" s="945"/>
      <c r="AJ10" s="945"/>
      <c r="AK10" s="945"/>
      <c r="AL10" s="945"/>
      <c r="AM10" s="945"/>
      <c r="AN10" s="945"/>
    </row>
    <row r="11" spans="1:40" ht="18" customHeight="1" x14ac:dyDescent="0.25">
      <c r="A11" s="553"/>
      <c r="B11" s="580"/>
      <c r="C11" s="581" t="s">
        <v>89</v>
      </c>
      <c r="D11" s="939">
        <f>Score_Initial</f>
        <v>0</v>
      </c>
      <c r="E11" s="940"/>
      <c r="F11" s="931">
        <f>Poeng!AU110</f>
        <v>0</v>
      </c>
      <c r="G11" s="932"/>
      <c r="H11" s="931">
        <f>Poeng!AX110</f>
        <v>0</v>
      </c>
      <c r="I11" s="932"/>
      <c r="J11" s="568"/>
      <c r="K11" s="568"/>
      <c r="L11" s="568"/>
      <c r="M11" s="568"/>
      <c r="N11" s="568"/>
      <c r="O11" s="568"/>
      <c r="Z11" s="945"/>
      <c r="AA11" s="945"/>
      <c r="AB11" s="945"/>
      <c r="AC11" s="945"/>
      <c r="AD11" s="945"/>
      <c r="AE11" s="945"/>
      <c r="AF11" s="945"/>
      <c r="AG11" s="945"/>
      <c r="AH11" s="945"/>
      <c r="AI11" s="945"/>
      <c r="AJ11" s="945"/>
      <c r="AK11" s="945"/>
      <c r="AL11" s="945"/>
      <c r="AM11" s="945"/>
      <c r="AN11" s="945"/>
    </row>
    <row r="12" spans="1:40" ht="15.75" x14ac:dyDescent="0.25">
      <c r="A12" s="553"/>
      <c r="B12" s="582"/>
      <c r="C12" s="583" t="s">
        <v>84</v>
      </c>
      <c r="D12" s="941" t="str">
        <f>BP_MinStandards</f>
        <v>Unclassified</v>
      </c>
      <c r="E12" s="942"/>
      <c r="F12" s="933" t="str">
        <f>Poeng!AV107</f>
        <v>Unclassified</v>
      </c>
      <c r="G12" s="934"/>
      <c r="H12" s="933" t="str">
        <f>Poeng!AY107</f>
        <v>Unclassified</v>
      </c>
      <c r="I12" s="934"/>
      <c r="J12" s="574"/>
      <c r="K12" s="568"/>
      <c r="L12" s="568"/>
      <c r="M12" s="568"/>
      <c r="N12" s="568"/>
      <c r="O12" s="568"/>
      <c r="Z12" s="945"/>
      <c r="AA12" s="945"/>
      <c r="AB12" s="945"/>
      <c r="AC12" s="945"/>
      <c r="AD12" s="945"/>
      <c r="AE12" s="945"/>
      <c r="AF12" s="945"/>
      <c r="AG12" s="945"/>
      <c r="AH12" s="945"/>
      <c r="AI12" s="945"/>
      <c r="AJ12" s="945"/>
      <c r="AK12" s="945"/>
      <c r="AL12" s="945"/>
      <c r="AM12" s="945"/>
      <c r="AN12" s="945"/>
    </row>
    <row r="13" spans="1:40" ht="42" customHeight="1" x14ac:dyDescent="0.3">
      <c r="A13" s="553"/>
      <c r="B13" s="560" t="s">
        <v>65</v>
      </c>
      <c r="C13" s="561"/>
      <c r="D13" s="562"/>
      <c r="E13" s="562"/>
      <c r="F13" s="562"/>
      <c r="G13" s="562"/>
      <c r="H13" s="562"/>
      <c r="I13" s="560" t="s">
        <v>84</v>
      </c>
      <c r="J13" s="562"/>
      <c r="K13" s="562"/>
      <c r="L13" s="562"/>
      <c r="M13" s="562"/>
      <c r="N13" s="562"/>
      <c r="O13" s="553"/>
      <c r="P13" s="553"/>
      <c r="Q13" s="553"/>
      <c r="R13" s="553"/>
      <c r="S13" s="553"/>
    </row>
    <row r="14" spans="1:40" ht="15" customHeight="1" x14ac:dyDescent="0.25">
      <c r="A14" s="553"/>
      <c r="B14" s="584"/>
      <c r="C14" s="584"/>
      <c r="D14" s="584"/>
      <c r="E14" s="584"/>
      <c r="F14" s="584"/>
      <c r="G14" s="584"/>
      <c r="H14" s="584"/>
      <c r="I14" s="584"/>
      <c r="J14" s="584"/>
      <c r="K14" s="568"/>
      <c r="L14" s="553"/>
      <c r="M14" s="553"/>
      <c r="N14" s="553"/>
      <c r="O14" s="553"/>
      <c r="P14" s="553"/>
      <c r="Q14" s="553"/>
      <c r="R14" s="553"/>
      <c r="S14" s="553"/>
    </row>
    <row r="15" spans="1:40" ht="15" customHeight="1" x14ac:dyDescent="0.25">
      <c r="A15" s="553"/>
      <c r="B15" s="585"/>
      <c r="C15" s="585"/>
      <c r="D15" s="585"/>
      <c r="E15" s="585"/>
      <c r="F15" s="585"/>
      <c r="G15" s="585"/>
      <c r="H15" s="585"/>
      <c r="I15" s="585"/>
      <c r="J15" s="585"/>
      <c r="K15" s="568"/>
      <c r="L15" s="553"/>
      <c r="M15" s="553"/>
      <c r="N15" s="553"/>
      <c r="O15" s="553"/>
      <c r="P15" s="553"/>
      <c r="Q15" s="553"/>
      <c r="R15" s="553"/>
      <c r="S15" s="553"/>
    </row>
    <row r="16" spans="1:40" ht="15" customHeight="1" x14ac:dyDescent="0.25">
      <c r="A16" s="553"/>
      <c r="B16" s="585"/>
      <c r="C16" s="585"/>
      <c r="D16" s="585"/>
      <c r="E16" s="585"/>
      <c r="F16" s="585"/>
      <c r="G16" s="585"/>
      <c r="H16" s="585"/>
      <c r="I16" s="585"/>
      <c r="J16" s="585"/>
      <c r="K16" s="568"/>
      <c r="L16" s="553"/>
      <c r="M16" s="553"/>
      <c r="N16" s="553"/>
      <c r="O16" s="553"/>
      <c r="P16" s="553"/>
      <c r="Q16" s="553"/>
      <c r="R16" s="553"/>
      <c r="S16" s="553"/>
    </row>
    <row r="17" spans="1:32" ht="15" customHeight="1" x14ac:dyDescent="0.25">
      <c r="A17" s="553"/>
      <c r="B17" s="585"/>
      <c r="C17" s="585"/>
      <c r="D17" s="585"/>
      <c r="E17" s="585"/>
      <c r="F17" s="585"/>
      <c r="G17" s="585"/>
      <c r="H17" s="585"/>
      <c r="I17" s="585"/>
      <c r="J17" s="585"/>
      <c r="K17" s="568"/>
      <c r="L17" s="553"/>
      <c r="M17" s="553"/>
      <c r="N17" s="553"/>
      <c r="O17" s="553"/>
      <c r="Q17" s="553"/>
      <c r="R17" s="553"/>
      <c r="S17" s="553"/>
    </row>
    <row r="18" spans="1:32" ht="15" customHeight="1" x14ac:dyDescent="0.25">
      <c r="A18" s="553"/>
      <c r="B18" s="585"/>
      <c r="C18" s="585"/>
      <c r="D18" s="585"/>
      <c r="E18" s="585"/>
      <c r="F18" s="585"/>
      <c r="G18" s="585"/>
      <c r="H18" s="585"/>
      <c r="I18" s="585"/>
      <c r="J18" s="585"/>
      <c r="K18" s="568"/>
      <c r="L18" s="553"/>
      <c r="M18" s="553"/>
      <c r="N18" s="553"/>
      <c r="O18" s="553"/>
      <c r="Q18" s="553"/>
      <c r="R18" s="553"/>
      <c r="S18" s="553"/>
    </row>
    <row r="19" spans="1:32" ht="15" customHeight="1" x14ac:dyDescent="0.25">
      <c r="A19" s="553"/>
      <c r="B19" s="585"/>
      <c r="C19" s="585"/>
      <c r="D19" s="585"/>
      <c r="E19" s="585"/>
      <c r="F19" s="585"/>
      <c r="G19" s="585"/>
      <c r="H19" s="585"/>
      <c r="I19" s="585"/>
      <c r="J19" s="585"/>
      <c r="K19" s="568"/>
      <c r="L19" s="553"/>
      <c r="M19" s="553"/>
      <c r="N19" s="553"/>
      <c r="O19" s="553"/>
      <c r="Q19" s="553"/>
      <c r="R19" s="553"/>
      <c r="S19" s="553"/>
    </row>
    <row r="20" spans="1:32" ht="15" customHeight="1" thickBot="1" x14ac:dyDescent="0.3">
      <c r="A20" s="553"/>
      <c r="B20" s="585"/>
      <c r="C20" s="585"/>
      <c r="D20" s="585"/>
      <c r="E20" s="585"/>
      <c r="F20" s="585"/>
      <c r="G20" s="585"/>
      <c r="H20" s="585"/>
      <c r="I20" s="585"/>
      <c r="J20" s="585"/>
      <c r="K20" s="568"/>
      <c r="L20" s="553"/>
      <c r="M20" s="553"/>
      <c r="N20" s="553"/>
      <c r="O20" s="553"/>
      <c r="Q20" s="553"/>
      <c r="R20" s="553"/>
      <c r="S20" s="553"/>
    </row>
    <row r="21" spans="1:32" ht="15" customHeight="1" x14ac:dyDescent="0.25">
      <c r="A21" s="553"/>
      <c r="B21" s="585"/>
      <c r="C21" s="585"/>
      <c r="D21" s="585"/>
      <c r="E21" s="585"/>
      <c r="F21" s="585"/>
      <c r="G21" s="585"/>
      <c r="H21" s="585"/>
      <c r="I21" s="585"/>
      <c r="J21" s="585"/>
      <c r="K21" s="568"/>
      <c r="L21" s="553"/>
      <c r="M21" s="553"/>
      <c r="N21" s="553"/>
      <c r="O21" s="553"/>
      <c r="Q21" s="553"/>
      <c r="R21" s="553"/>
      <c r="S21" s="553"/>
      <c r="AB21" s="586"/>
      <c r="AC21" s="587" t="s">
        <v>229</v>
      </c>
      <c r="AD21" s="587" t="str">
        <f>D33</f>
        <v>Initial target setting</v>
      </c>
      <c r="AE21" s="587" t="str">
        <f>F33</f>
        <v>Design phase</v>
      </c>
      <c r="AF21" s="588" t="str">
        <f>H33</f>
        <v>Construction phase</v>
      </c>
    </row>
    <row r="22" spans="1:32" ht="15" customHeight="1" x14ac:dyDescent="0.25">
      <c r="A22" s="553"/>
      <c r="B22" s="585"/>
      <c r="C22" s="585"/>
      <c r="D22" s="585"/>
      <c r="E22" s="585"/>
      <c r="F22" s="585"/>
      <c r="G22" s="585"/>
      <c r="H22" s="585"/>
      <c r="I22" s="585"/>
      <c r="J22" s="585"/>
      <c r="K22" s="568"/>
      <c r="L22" s="553"/>
      <c r="M22" s="553"/>
      <c r="N22" s="553"/>
      <c r="O22" s="553"/>
      <c r="Q22" s="553"/>
      <c r="R22" s="553"/>
      <c r="S22" s="553"/>
      <c r="AB22" s="589" t="s">
        <v>220</v>
      </c>
      <c r="AC22" s="590">
        <f>BP_32</f>
        <v>0.12</v>
      </c>
      <c r="AD22" s="590">
        <f t="shared" ref="AD22:AD31" si="0">IF(D$9=$AA$35,K35,"")</f>
        <v>0</v>
      </c>
      <c r="AE22" s="590" t="str">
        <f t="shared" ref="AE22:AE31" si="1">IF(F$9=$AA$35,L35,"")</f>
        <v/>
      </c>
      <c r="AF22" s="591" t="str">
        <f t="shared" ref="AF22:AF31" si="2">IF(H$9=$AA$35,M35,"")</f>
        <v/>
      </c>
    </row>
    <row r="23" spans="1:32" ht="15" customHeight="1" x14ac:dyDescent="0.25">
      <c r="A23" s="553"/>
      <c r="B23" s="585"/>
      <c r="C23" s="585"/>
      <c r="D23" s="585"/>
      <c r="E23" s="585"/>
      <c r="F23" s="585"/>
      <c r="G23" s="585"/>
      <c r="H23" s="585"/>
      <c r="I23" s="585"/>
      <c r="J23" s="585"/>
      <c r="K23" s="568"/>
      <c r="L23" s="553"/>
      <c r="M23" s="553"/>
      <c r="N23" s="553"/>
      <c r="O23" s="553"/>
      <c r="P23" s="553"/>
      <c r="Q23" s="553"/>
      <c r="R23" s="553"/>
      <c r="S23" s="553"/>
      <c r="AB23" s="589" t="s">
        <v>133</v>
      </c>
      <c r="AC23" s="590">
        <f>J36</f>
        <v>0.15</v>
      </c>
      <c r="AD23" s="590">
        <f t="shared" si="0"/>
        <v>0</v>
      </c>
      <c r="AE23" s="590" t="str">
        <f t="shared" si="1"/>
        <v/>
      </c>
      <c r="AF23" s="591" t="str">
        <f t="shared" si="2"/>
        <v/>
      </c>
    </row>
    <row r="24" spans="1:32" ht="15" customHeight="1" x14ac:dyDescent="0.25">
      <c r="A24" s="553"/>
      <c r="B24" s="585"/>
      <c r="C24" s="585"/>
      <c r="D24" s="585"/>
      <c r="E24" s="585"/>
      <c r="F24" s="585"/>
      <c r="G24" s="585"/>
      <c r="H24" s="585"/>
      <c r="I24" s="585"/>
      <c r="J24" s="585"/>
      <c r="K24" s="568"/>
      <c r="L24" s="553"/>
      <c r="M24" s="553"/>
      <c r="N24" s="553"/>
      <c r="O24" s="553"/>
      <c r="P24" s="553"/>
      <c r="Q24" s="553"/>
      <c r="R24" s="553"/>
      <c r="S24" s="553"/>
      <c r="AB24" s="589" t="s">
        <v>221</v>
      </c>
      <c r="AC24" s="590">
        <f>BP_34</f>
        <v>0.19</v>
      </c>
      <c r="AD24" s="590">
        <f t="shared" si="0"/>
        <v>0</v>
      </c>
      <c r="AE24" s="590" t="str">
        <f t="shared" si="1"/>
        <v/>
      </c>
      <c r="AF24" s="591" t="str">
        <f t="shared" si="2"/>
        <v/>
      </c>
    </row>
    <row r="25" spans="1:32" ht="15" customHeight="1" x14ac:dyDescent="0.25">
      <c r="A25" s="553"/>
      <c r="B25" s="585"/>
      <c r="C25" s="585"/>
      <c r="D25" s="585"/>
      <c r="E25" s="585"/>
      <c r="F25" s="585"/>
      <c r="G25" s="585"/>
      <c r="H25" s="585"/>
      <c r="I25" s="585"/>
      <c r="J25" s="585"/>
      <c r="K25" s="568"/>
      <c r="L25" s="553"/>
      <c r="M25" s="553"/>
      <c r="N25" s="553"/>
      <c r="O25" s="553"/>
      <c r="P25" s="553"/>
      <c r="Q25" s="553"/>
      <c r="R25" s="553"/>
      <c r="S25" s="553"/>
      <c r="AB25" s="589" t="s">
        <v>222</v>
      </c>
      <c r="AC25" s="590">
        <f>BP_35</f>
        <v>0.1</v>
      </c>
      <c r="AD25" s="590">
        <f t="shared" si="0"/>
        <v>0</v>
      </c>
      <c r="AE25" s="590" t="str">
        <f t="shared" si="1"/>
        <v/>
      </c>
      <c r="AF25" s="591" t="str">
        <f t="shared" si="2"/>
        <v/>
      </c>
    </row>
    <row r="26" spans="1:32" ht="15" customHeight="1" x14ac:dyDescent="0.25">
      <c r="A26" s="553"/>
      <c r="B26" s="585"/>
      <c r="C26" s="585"/>
      <c r="D26" s="585"/>
      <c r="E26" s="585"/>
      <c r="F26" s="585"/>
      <c r="G26" s="585"/>
      <c r="H26" s="585"/>
      <c r="I26" s="585"/>
      <c r="J26" s="585"/>
      <c r="K26" s="568"/>
      <c r="L26" s="553"/>
      <c r="M26" s="553"/>
      <c r="N26" s="553"/>
      <c r="O26" s="553"/>
      <c r="P26" s="553"/>
      <c r="Q26" s="553"/>
      <c r="R26" s="553"/>
      <c r="S26" s="553"/>
      <c r="AB26" s="589" t="s">
        <v>223</v>
      </c>
      <c r="AC26" s="590">
        <f>BP_36</f>
        <v>0.05</v>
      </c>
      <c r="AD26" s="590">
        <f t="shared" si="0"/>
        <v>0</v>
      </c>
      <c r="AE26" s="590" t="str">
        <f t="shared" si="1"/>
        <v/>
      </c>
      <c r="AF26" s="591" t="str">
        <f t="shared" si="2"/>
        <v/>
      </c>
    </row>
    <row r="27" spans="1:32" ht="15" customHeight="1" x14ac:dyDescent="0.25">
      <c r="A27" s="553"/>
      <c r="B27" s="585"/>
      <c r="C27" s="585"/>
      <c r="D27" s="585"/>
      <c r="E27" s="585"/>
      <c r="F27" s="585"/>
      <c r="G27" s="585"/>
      <c r="H27" s="585"/>
      <c r="I27" s="585"/>
      <c r="J27" s="585"/>
      <c r="K27" s="568"/>
      <c r="L27" s="553"/>
      <c r="M27" s="553"/>
      <c r="N27" s="553"/>
      <c r="O27" s="553"/>
      <c r="P27" s="553"/>
      <c r="Q27" s="553"/>
      <c r="R27" s="553"/>
      <c r="S27" s="553"/>
      <c r="AB27" s="589" t="s">
        <v>224</v>
      </c>
      <c r="AC27" s="590">
        <f>BP_38</f>
        <v>0.13500000000000001</v>
      </c>
      <c r="AD27" s="590">
        <f t="shared" si="0"/>
        <v>0</v>
      </c>
      <c r="AE27" s="590" t="str">
        <f t="shared" si="1"/>
        <v/>
      </c>
      <c r="AF27" s="591" t="str">
        <f t="shared" si="2"/>
        <v/>
      </c>
    </row>
    <row r="28" spans="1:32" ht="15" customHeight="1" x14ac:dyDescent="0.25">
      <c r="A28" s="553"/>
      <c r="B28" s="585"/>
      <c r="C28" s="585"/>
      <c r="D28" s="585"/>
      <c r="E28" s="585"/>
      <c r="F28" s="585"/>
      <c r="G28" s="585"/>
      <c r="H28" s="585"/>
      <c r="I28" s="585"/>
      <c r="J28" s="585"/>
      <c r="K28" s="568"/>
      <c r="L28" s="553"/>
      <c r="M28" s="553"/>
      <c r="N28" s="553"/>
      <c r="O28" s="553"/>
      <c r="P28" s="553"/>
      <c r="Q28" s="553"/>
      <c r="R28" s="553"/>
      <c r="S28" s="553"/>
      <c r="AB28" s="589" t="s">
        <v>225</v>
      </c>
      <c r="AC28" s="590">
        <f>BP_39</f>
        <v>7.4999999999999997E-2</v>
      </c>
      <c r="AD28" s="590">
        <f t="shared" si="0"/>
        <v>0</v>
      </c>
      <c r="AE28" s="590" t="str">
        <f t="shared" si="1"/>
        <v/>
      </c>
      <c r="AF28" s="591" t="str">
        <f t="shared" si="2"/>
        <v/>
      </c>
    </row>
    <row r="29" spans="1:32" ht="15" customHeight="1" x14ac:dyDescent="0.25">
      <c r="A29" s="553"/>
      <c r="B29" s="585"/>
      <c r="C29" s="585"/>
      <c r="D29" s="585"/>
      <c r="E29" s="585"/>
      <c r="F29" s="585"/>
      <c r="G29" s="585"/>
      <c r="H29" s="585"/>
      <c r="I29" s="585"/>
      <c r="J29" s="585"/>
      <c r="K29" s="568"/>
      <c r="L29" s="553"/>
      <c r="M29" s="553"/>
      <c r="N29" s="553"/>
      <c r="O29" s="553"/>
      <c r="P29" s="553"/>
      <c r="Q29" s="553"/>
      <c r="R29" s="553"/>
      <c r="S29" s="553"/>
      <c r="AB29" s="589" t="s">
        <v>226</v>
      </c>
      <c r="AC29" s="590">
        <f>BP_40</f>
        <v>0.1</v>
      </c>
      <c r="AD29" s="590">
        <f t="shared" si="0"/>
        <v>0</v>
      </c>
      <c r="AE29" s="590" t="str">
        <f t="shared" si="1"/>
        <v/>
      </c>
      <c r="AF29" s="591" t="str">
        <f t="shared" si="2"/>
        <v/>
      </c>
    </row>
    <row r="30" spans="1:32" ht="15" customHeight="1" x14ac:dyDescent="0.25">
      <c r="A30" s="553"/>
      <c r="B30" s="585"/>
      <c r="C30" s="585"/>
      <c r="D30" s="585"/>
      <c r="E30" s="585"/>
      <c r="F30" s="585"/>
      <c r="G30" s="585"/>
      <c r="H30" s="585"/>
      <c r="I30" s="585"/>
      <c r="J30" s="585"/>
      <c r="K30" s="568"/>
      <c r="L30" s="553"/>
      <c r="M30" s="553"/>
      <c r="N30" s="553"/>
      <c r="O30" s="553"/>
      <c r="P30" s="553"/>
      <c r="Q30" s="553"/>
      <c r="R30" s="553"/>
      <c r="S30" s="553"/>
      <c r="AB30" s="589" t="s">
        <v>227</v>
      </c>
      <c r="AC30" s="590">
        <f>J43</f>
        <v>0.08</v>
      </c>
      <c r="AD30" s="590">
        <f t="shared" si="0"/>
        <v>0</v>
      </c>
      <c r="AE30" s="590" t="str">
        <f t="shared" si="1"/>
        <v/>
      </c>
      <c r="AF30" s="591" t="str">
        <f t="shared" si="2"/>
        <v/>
      </c>
    </row>
    <row r="31" spans="1:32" ht="15" customHeight="1" thickBot="1" x14ac:dyDescent="0.3">
      <c r="A31" s="553"/>
      <c r="B31" s="585"/>
      <c r="C31" s="585"/>
      <c r="D31" s="585"/>
      <c r="E31" s="585"/>
      <c r="F31" s="585"/>
      <c r="G31" s="585"/>
      <c r="H31" s="585"/>
      <c r="I31" s="585"/>
      <c r="J31" s="585"/>
      <c r="K31" s="568"/>
      <c r="L31" s="553"/>
      <c r="M31" s="553"/>
      <c r="N31" s="553"/>
      <c r="O31" s="553"/>
      <c r="P31" s="553"/>
      <c r="Q31" s="553"/>
      <c r="R31" s="553"/>
      <c r="S31" s="553"/>
      <c r="AB31" s="592" t="s">
        <v>228</v>
      </c>
      <c r="AC31" s="593">
        <f>J44</f>
        <v>0.1</v>
      </c>
      <c r="AD31" s="593">
        <f t="shared" si="0"/>
        <v>0</v>
      </c>
      <c r="AE31" s="593" t="str">
        <f t="shared" si="1"/>
        <v/>
      </c>
      <c r="AF31" s="594" t="str">
        <f t="shared" si="2"/>
        <v/>
      </c>
    </row>
    <row r="32" spans="1:32" ht="15" customHeight="1" x14ac:dyDescent="0.25">
      <c r="A32" s="553"/>
      <c r="B32" s="585"/>
      <c r="C32" s="585"/>
      <c r="D32" s="585"/>
      <c r="E32" s="585"/>
      <c r="F32" s="585"/>
      <c r="G32" s="585"/>
      <c r="H32" s="585"/>
      <c r="I32" s="585"/>
      <c r="J32" s="585"/>
      <c r="K32" s="568"/>
      <c r="L32" s="553"/>
      <c r="M32" s="553"/>
      <c r="N32" s="553"/>
      <c r="O32" s="553"/>
      <c r="P32" s="553"/>
      <c r="Q32" s="553"/>
      <c r="R32" s="553"/>
      <c r="S32" s="553"/>
    </row>
    <row r="33" spans="1:31" ht="15.75" x14ac:dyDescent="0.25">
      <c r="A33" s="553"/>
      <c r="B33" s="595"/>
      <c r="C33" s="568"/>
      <c r="D33" s="943" t="s">
        <v>233</v>
      </c>
      <c r="E33" s="944"/>
      <c r="F33" s="943" t="s">
        <v>305</v>
      </c>
      <c r="G33" s="944"/>
      <c r="H33" s="943" t="s">
        <v>306</v>
      </c>
      <c r="I33" s="944"/>
      <c r="J33" s="596" t="s">
        <v>219</v>
      </c>
      <c r="K33" s="943" t="s">
        <v>307</v>
      </c>
      <c r="L33" s="947"/>
      <c r="M33" s="944"/>
      <c r="N33" s="568"/>
      <c r="O33" s="568"/>
    </row>
    <row r="34" spans="1:31" ht="32.25" thickBot="1" x14ac:dyDescent="0.3">
      <c r="A34" s="553"/>
      <c r="B34" s="597" t="s">
        <v>78</v>
      </c>
      <c r="C34" s="598" t="s">
        <v>68</v>
      </c>
      <c r="D34" s="599" t="s">
        <v>218</v>
      </c>
      <c r="E34" s="600" t="s">
        <v>67</v>
      </c>
      <c r="F34" s="598" t="s">
        <v>218</v>
      </c>
      <c r="G34" s="598" t="s">
        <v>67</v>
      </c>
      <c r="H34" s="599" t="s">
        <v>218</v>
      </c>
      <c r="I34" s="600" t="s">
        <v>67</v>
      </c>
      <c r="J34" s="601"/>
      <c r="K34" s="599" t="s">
        <v>233</v>
      </c>
      <c r="L34" s="602" t="s">
        <v>305</v>
      </c>
      <c r="M34" s="600" t="s">
        <v>306</v>
      </c>
      <c r="N34" s="568"/>
      <c r="O34" s="568"/>
    </row>
    <row r="35" spans="1:31" ht="15.75" customHeight="1" x14ac:dyDescent="0.25">
      <c r="A35" s="553"/>
      <c r="B35" s="603" t="s">
        <v>66</v>
      </c>
      <c r="C35" s="604">
        <f>Man_Credits</f>
        <v>20</v>
      </c>
      <c r="D35" s="605">
        <f>Man_tot_user</f>
        <v>0</v>
      </c>
      <c r="E35" s="606">
        <f>BP_11/BP_01</f>
        <v>0</v>
      </c>
      <c r="F35" s="605">
        <f>Man_d_user</f>
        <v>0</v>
      </c>
      <c r="G35" s="607">
        <f>F35/C35</f>
        <v>0</v>
      </c>
      <c r="H35" s="605">
        <f>Man_c_user</f>
        <v>0</v>
      </c>
      <c r="I35" s="606">
        <f>H35/C35</f>
        <v>0</v>
      </c>
      <c r="J35" s="608">
        <v>0.12</v>
      </c>
      <c r="K35" s="609">
        <f>BP_22*J35</f>
        <v>0</v>
      </c>
      <c r="L35" s="609">
        <f>G35*J35</f>
        <v>0</v>
      </c>
      <c r="M35" s="610">
        <f>I35*J35</f>
        <v>0</v>
      </c>
      <c r="N35" s="568"/>
      <c r="O35" s="568"/>
      <c r="AA35" s="611" t="s">
        <v>13</v>
      </c>
      <c r="AB35" s="587" t="str">
        <f>Poeng!BE18</f>
        <v>Navn</v>
      </c>
      <c r="AC35" s="587" t="str">
        <f>AD21</f>
        <v>Initial target setting</v>
      </c>
      <c r="AD35" s="587" t="str">
        <f>AE21</f>
        <v>Design phase</v>
      </c>
      <c r="AE35" s="612" t="str">
        <f>AF21</f>
        <v>Construction phase</v>
      </c>
    </row>
    <row r="36" spans="1:31" ht="16.5" thickBot="1" x14ac:dyDescent="0.3">
      <c r="A36" s="553"/>
      <c r="B36" s="613" t="s">
        <v>69</v>
      </c>
      <c r="C36" s="614">
        <f>Hea_Credits</f>
        <v>20</v>
      </c>
      <c r="D36" s="615">
        <f>HW_tot_user</f>
        <v>0</v>
      </c>
      <c r="E36" s="616">
        <f>BP_12/BP_02</f>
        <v>0</v>
      </c>
      <c r="F36" s="615">
        <f>HW_d_user</f>
        <v>0</v>
      </c>
      <c r="G36" s="607">
        <f t="shared" ref="G36:G44" si="3">F36/C36</f>
        <v>0</v>
      </c>
      <c r="H36" s="615">
        <f>HW_c_user</f>
        <v>0</v>
      </c>
      <c r="I36" s="606">
        <f t="shared" ref="I36:I44" si="4">H36/C36</f>
        <v>0</v>
      </c>
      <c r="J36" s="617">
        <v>0.15</v>
      </c>
      <c r="K36" s="618">
        <f>BP_23*J36</f>
        <v>0</v>
      </c>
      <c r="L36" s="609">
        <f t="shared" ref="L36:L44" si="5">G36*J36</f>
        <v>0</v>
      </c>
      <c r="M36" s="606">
        <f t="shared" ref="M36:M44" si="6">I36*J36</f>
        <v>0</v>
      </c>
      <c r="N36" s="568"/>
      <c r="O36" s="568"/>
      <c r="AA36" s="619" t="s">
        <v>14</v>
      </c>
      <c r="AB36" s="620" t="str">
        <f>Poeng!BE19</f>
        <v>Man 03</v>
      </c>
      <c r="AC36" s="621">
        <f>IF(D$9=$AA$35,Poeng!BF19,"")</f>
        <v>3</v>
      </c>
      <c r="AD36" s="621" t="str">
        <f>IF(F$9=$AA$35,Poeng!BG19,"")</f>
        <v/>
      </c>
      <c r="AE36" s="622" t="str">
        <f>IF(H$9=$AA$35,Poeng!BH19,"")</f>
        <v/>
      </c>
    </row>
    <row r="37" spans="1:31" s="624" customFormat="1" ht="15.75" x14ac:dyDescent="0.25">
      <c r="A37" s="553"/>
      <c r="B37" s="613" t="s">
        <v>70</v>
      </c>
      <c r="C37" s="614">
        <f>Ene_Credits</f>
        <v>22</v>
      </c>
      <c r="D37" s="615">
        <f>Ene_tot_user</f>
        <v>0</v>
      </c>
      <c r="E37" s="616">
        <f>BP_13/BP_03</f>
        <v>0</v>
      </c>
      <c r="F37" s="615">
        <f>Ene_d_user</f>
        <v>0</v>
      </c>
      <c r="G37" s="607">
        <f t="shared" si="3"/>
        <v>0</v>
      </c>
      <c r="H37" s="615">
        <f>Ene_c_user</f>
        <v>0</v>
      </c>
      <c r="I37" s="606">
        <f t="shared" si="4"/>
        <v>0</v>
      </c>
      <c r="J37" s="617">
        <v>0.19</v>
      </c>
      <c r="K37" s="618">
        <f>BP_24*J37</f>
        <v>0</v>
      </c>
      <c r="L37" s="609">
        <f t="shared" si="5"/>
        <v>0</v>
      </c>
      <c r="M37" s="606">
        <f t="shared" si="6"/>
        <v>0</v>
      </c>
      <c r="N37" s="623"/>
      <c r="O37" s="623"/>
      <c r="AA37" s="554"/>
      <c r="AB37" s="620" t="str">
        <f>Poeng!BE20</f>
        <v>Man 04</v>
      </c>
      <c r="AC37" s="621">
        <f>IF(D$9=$AA$35,Poeng!BF20,"")</f>
        <v>0</v>
      </c>
      <c r="AD37" s="621" t="str">
        <f>IF(F$9=$AA$35,Poeng!BG20,"")</f>
        <v/>
      </c>
      <c r="AE37" s="622" t="str">
        <f>IF(H$9=$AA$35,Poeng!BH20,"")</f>
        <v/>
      </c>
    </row>
    <row r="38" spans="1:31" s="624" customFormat="1" ht="15.75" x14ac:dyDescent="0.25">
      <c r="A38" s="553"/>
      <c r="B38" s="613" t="s">
        <v>71</v>
      </c>
      <c r="C38" s="614">
        <f>Tra_Credits</f>
        <v>9</v>
      </c>
      <c r="D38" s="615">
        <f>Tra_tot_user</f>
        <v>0</v>
      </c>
      <c r="E38" s="616">
        <f>BP_14/BP_04</f>
        <v>0</v>
      </c>
      <c r="F38" s="615">
        <f>Tra_d_user</f>
        <v>0</v>
      </c>
      <c r="G38" s="607">
        <f t="shared" si="3"/>
        <v>0</v>
      </c>
      <c r="H38" s="615">
        <f>Tra_c_user</f>
        <v>0</v>
      </c>
      <c r="I38" s="606">
        <f t="shared" si="4"/>
        <v>0</v>
      </c>
      <c r="J38" s="617">
        <v>0.1</v>
      </c>
      <c r="K38" s="618">
        <f>BP_25*J38</f>
        <v>0</v>
      </c>
      <c r="L38" s="609">
        <f t="shared" si="5"/>
        <v>0</v>
      </c>
      <c r="M38" s="606">
        <f t="shared" si="6"/>
        <v>0</v>
      </c>
      <c r="N38" s="623"/>
      <c r="O38" s="623"/>
      <c r="AA38" s="554"/>
      <c r="AB38" s="620" t="str">
        <f>Poeng!BE21</f>
        <v>Man 05</v>
      </c>
      <c r="AC38" s="621">
        <f>IF(D$9=$AA$35,Poeng!BF21,"")</f>
        <v>3</v>
      </c>
      <c r="AD38" s="621" t="str">
        <f>IF(F$9=$AA$35,Poeng!BG21,"")</f>
        <v/>
      </c>
      <c r="AE38" s="622" t="str">
        <f>IF(H$9=$AA$35,Poeng!BH21,"")</f>
        <v/>
      </c>
    </row>
    <row r="39" spans="1:31" s="624" customFormat="1" ht="15.75" x14ac:dyDescent="0.25">
      <c r="A39" s="553"/>
      <c r="B39" s="613" t="s">
        <v>63</v>
      </c>
      <c r="C39" s="614">
        <f>Wat_Credits</f>
        <v>8</v>
      </c>
      <c r="D39" s="615">
        <f>Wat_tot_user</f>
        <v>0</v>
      </c>
      <c r="E39" s="616">
        <f>BP_15/BP_05</f>
        <v>0</v>
      </c>
      <c r="F39" s="615">
        <f>Wat_d_user</f>
        <v>0</v>
      </c>
      <c r="G39" s="607">
        <f t="shared" si="3"/>
        <v>0</v>
      </c>
      <c r="H39" s="615">
        <f>Wat_c_user</f>
        <v>0</v>
      </c>
      <c r="I39" s="606">
        <f t="shared" si="4"/>
        <v>0</v>
      </c>
      <c r="J39" s="617">
        <v>0.05</v>
      </c>
      <c r="K39" s="618">
        <f>BP_26*J39</f>
        <v>0</v>
      </c>
      <c r="L39" s="609">
        <f t="shared" si="5"/>
        <v>0</v>
      </c>
      <c r="M39" s="606">
        <f t="shared" si="6"/>
        <v>0</v>
      </c>
      <c r="N39" s="623"/>
      <c r="O39" s="623"/>
      <c r="AA39" s="554"/>
      <c r="AB39" s="620" t="str">
        <f>Poeng!BE22</f>
        <v>Hea 01</v>
      </c>
      <c r="AC39" s="621">
        <f>IF(D$9=$AA$35,Poeng!BF22,"")</f>
        <v>0</v>
      </c>
      <c r="AD39" s="621" t="str">
        <f>IF(F$9=$AA$35,Poeng!BG22,"")</f>
        <v/>
      </c>
      <c r="AE39" s="622" t="str">
        <f>IF(H$9=$AA$35,Poeng!BH22,"")</f>
        <v/>
      </c>
    </row>
    <row r="40" spans="1:31" s="624" customFormat="1" ht="15.75" x14ac:dyDescent="0.25">
      <c r="A40" s="553"/>
      <c r="B40" s="613" t="s">
        <v>72</v>
      </c>
      <c r="C40" s="614">
        <f>Mat_Credits</f>
        <v>11</v>
      </c>
      <c r="D40" s="615">
        <f>Mat_tot_user</f>
        <v>0</v>
      </c>
      <c r="E40" s="616">
        <f>BP_16/BP_06</f>
        <v>0</v>
      </c>
      <c r="F40" s="615">
        <f>Mat_d_user</f>
        <v>0</v>
      </c>
      <c r="G40" s="607">
        <f t="shared" si="3"/>
        <v>0</v>
      </c>
      <c r="H40" s="615">
        <f>Mat_c_user</f>
        <v>0</v>
      </c>
      <c r="I40" s="606">
        <f t="shared" si="4"/>
        <v>0</v>
      </c>
      <c r="J40" s="625">
        <v>0.13500000000000001</v>
      </c>
      <c r="K40" s="618">
        <f>BP_27*J40</f>
        <v>0</v>
      </c>
      <c r="L40" s="609">
        <f t="shared" si="5"/>
        <v>0</v>
      </c>
      <c r="M40" s="606">
        <f t="shared" si="6"/>
        <v>0</v>
      </c>
      <c r="N40" s="623"/>
      <c r="O40" s="623"/>
      <c r="AA40" s="554"/>
      <c r="AB40" s="620" t="str">
        <f>Poeng!BE23</f>
        <v>Hea 02</v>
      </c>
      <c r="AC40" s="621">
        <f>IF(D$9=$AA$35,Poeng!BF23,"")</f>
        <v>2</v>
      </c>
      <c r="AD40" s="621" t="str">
        <f>IF(F$9=$AA$35,Poeng!BG23,"")</f>
        <v/>
      </c>
      <c r="AE40" s="622" t="str">
        <f>IF(H$9=$AA$35,Poeng!BH23,"")</f>
        <v/>
      </c>
    </row>
    <row r="41" spans="1:31" ht="15.75" x14ac:dyDescent="0.25">
      <c r="A41" s="553"/>
      <c r="B41" s="613" t="s">
        <v>73</v>
      </c>
      <c r="C41" s="614">
        <f>Wst_Credits</f>
        <v>6</v>
      </c>
      <c r="D41" s="615">
        <f>Wst_tot_user</f>
        <v>0</v>
      </c>
      <c r="E41" s="616">
        <f>BP_18/BP_07</f>
        <v>0</v>
      </c>
      <c r="F41" s="615">
        <f>Wst_d_user</f>
        <v>0</v>
      </c>
      <c r="G41" s="607">
        <f t="shared" si="3"/>
        <v>0</v>
      </c>
      <c r="H41" s="615">
        <f>Wst_c_user</f>
        <v>0</v>
      </c>
      <c r="I41" s="606">
        <f t="shared" si="4"/>
        <v>0</v>
      </c>
      <c r="J41" s="625">
        <v>7.4999999999999997E-2</v>
      </c>
      <c r="K41" s="618">
        <f>BP_28*J41</f>
        <v>0</v>
      </c>
      <c r="L41" s="609">
        <f t="shared" si="5"/>
        <v>0</v>
      </c>
      <c r="M41" s="606">
        <f t="shared" si="6"/>
        <v>0</v>
      </c>
      <c r="N41" s="568"/>
      <c r="O41" s="568"/>
      <c r="AB41" s="620" t="str">
        <f>Poeng!BE24</f>
        <v/>
      </c>
      <c r="AC41" s="621" t="str">
        <f>IF(D$9=$AA$35,Poeng!BF24,"")</f>
        <v/>
      </c>
      <c r="AD41" s="621" t="str">
        <f>IF(F$9=$AA$35,Poeng!BG24,"")</f>
        <v/>
      </c>
      <c r="AE41" s="622" t="str">
        <f>IF(H$9=$AA$35,Poeng!BH24,"")</f>
        <v/>
      </c>
    </row>
    <row r="42" spans="1:31" ht="15.75" x14ac:dyDescent="0.25">
      <c r="A42" s="553"/>
      <c r="B42" s="613" t="s">
        <v>74</v>
      </c>
      <c r="C42" s="614">
        <f>LE_Credits</f>
        <v>10</v>
      </c>
      <c r="D42" s="615">
        <f>Lue_tot_user</f>
        <v>0</v>
      </c>
      <c r="E42" s="616">
        <f>BP_19/BP_08</f>
        <v>0</v>
      </c>
      <c r="F42" s="615">
        <f>Lue_d_user</f>
        <v>0</v>
      </c>
      <c r="G42" s="607">
        <f t="shared" si="3"/>
        <v>0</v>
      </c>
      <c r="H42" s="615">
        <f>Lue_c_user</f>
        <v>0</v>
      </c>
      <c r="I42" s="606">
        <f t="shared" si="4"/>
        <v>0</v>
      </c>
      <c r="J42" s="617">
        <v>0.1</v>
      </c>
      <c r="K42" s="618">
        <f>BP_29*J42</f>
        <v>0</v>
      </c>
      <c r="L42" s="609">
        <f t="shared" si="5"/>
        <v>0</v>
      </c>
      <c r="M42" s="606">
        <f t="shared" si="6"/>
        <v>0</v>
      </c>
      <c r="N42" s="568"/>
      <c r="O42" s="568"/>
      <c r="AB42" s="620" t="str">
        <f>Poeng!BE25</f>
        <v>Hea 09</v>
      </c>
      <c r="AC42" s="621">
        <f>IF(D$9=$AA$35,Poeng!BF25,"")</f>
        <v>2</v>
      </c>
      <c r="AD42" s="621" t="str">
        <f>IF(F$9=$AA$35,Poeng!BG25,"")</f>
        <v/>
      </c>
      <c r="AE42" s="622" t="str">
        <f>IF(H$9=$AA$35,Poeng!BH25,"")</f>
        <v/>
      </c>
    </row>
    <row r="43" spans="1:31" ht="15.75" customHeight="1" x14ac:dyDescent="0.25">
      <c r="A43" s="553"/>
      <c r="B43" s="613" t="s">
        <v>75</v>
      </c>
      <c r="C43" s="614">
        <f>Pol_Credits</f>
        <v>13</v>
      </c>
      <c r="D43" s="615">
        <f>Pol_tot_user</f>
        <v>0</v>
      </c>
      <c r="E43" s="616">
        <f>BP_20/BP_09</f>
        <v>0</v>
      </c>
      <c r="F43" s="615">
        <f>Pol_d_user</f>
        <v>0</v>
      </c>
      <c r="G43" s="607">
        <f t="shared" si="3"/>
        <v>0</v>
      </c>
      <c r="H43" s="615">
        <f>Pol_c_user</f>
        <v>0</v>
      </c>
      <c r="I43" s="606">
        <f t="shared" si="4"/>
        <v>0</v>
      </c>
      <c r="J43" s="617">
        <v>0.08</v>
      </c>
      <c r="K43" s="618">
        <f>BP_30*J43</f>
        <v>0</v>
      </c>
      <c r="L43" s="609">
        <f t="shared" si="5"/>
        <v>0</v>
      </c>
      <c r="M43" s="606">
        <f t="shared" si="6"/>
        <v>0</v>
      </c>
      <c r="N43" s="568"/>
      <c r="O43" s="568"/>
      <c r="AB43" s="620" t="str">
        <f>Poeng!BE26</f>
        <v>Ene 01</v>
      </c>
      <c r="AC43" s="621">
        <f>IF(D$9=$AA$35,Poeng!BF26,"")</f>
        <v>3</v>
      </c>
      <c r="AD43" s="621" t="str">
        <f>IF(F$9=$AA$35,Poeng!BG26,"")</f>
        <v/>
      </c>
      <c r="AE43" s="622" t="str">
        <f>IF(H$9=$AA$35,Poeng!BH26,"")</f>
        <v/>
      </c>
    </row>
    <row r="44" spans="1:31" ht="15.75" x14ac:dyDescent="0.25">
      <c r="A44" s="553"/>
      <c r="B44" s="613" t="s">
        <v>76</v>
      </c>
      <c r="C44" s="614">
        <f>Inn_Credits</f>
        <v>10</v>
      </c>
      <c r="D44" s="615">
        <f>Inn_tot_user</f>
        <v>0</v>
      </c>
      <c r="E44" s="616">
        <f>BP_21/BP_10</f>
        <v>0</v>
      </c>
      <c r="F44" s="615">
        <f>Inn_d_user</f>
        <v>0</v>
      </c>
      <c r="G44" s="607">
        <f t="shared" si="3"/>
        <v>0</v>
      </c>
      <c r="H44" s="615">
        <f>Inn_c_user</f>
        <v>0</v>
      </c>
      <c r="I44" s="606">
        <f t="shared" si="4"/>
        <v>0</v>
      </c>
      <c r="J44" s="617">
        <v>0.1</v>
      </c>
      <c r="K44" s="618">
        <f>BP_31*J44</f>
        <v>0</v>
      </c>
      <c r="L44" s="609">
        <f t="shared" si="5"/>
        <v>0</v>
      </c>
      <c r="M44" s="606">
        <f t="shared" si="6"/>
        <v>0</v>
      </c>
      <c r="N44" s="568"/>
      <c r="O44" s="568"/>
      <c r="AB44" s="620" t="str">
        <f>Poeng!BE27</f>
        <v>Ene 02</v>
      </c>
      <c r="AC44" s="621">
        <f>IF(D$9=$AA$35,Poeng!BF27,"")</f>
        <v>2</v>
      </c>
      <c r="AD44" s="621" t="str">
        <f>IF(F$9=$AA$35,Poeng!BG27,"")</f>
        <v/>
      </c>
      <c r="AE44" s="622" t="str">
        <f>IF(H$9=$AA$35,Poeng!BH27,"")</f>
        <v/>
      </c>
    </row>
    <row r="45" spans="1:31" ht="15.75" x14ac:dyDescent="0.25">
      <c r="A45" s="553"/>
      <c r="B45" s="626" t="s">
        <v>230</v>
      </c>
      <c r="C45" s="627">
        <f>SUM(C35:C44)</f>
        <v>129</v>
      </c>
      <c r="D45" s="628">
        <f>SUM(D35:D44)</f>
        <v>0</v>
      </c>
      <c r="E45" s="629"/>
      <c r="F45" s="630">
        <f>SUM(F35:F44)</f>
        <v>0</v>
      </c>
      <c r="G45" s="631"/>
      <c r="H45" s="628">
        <f>SUM(H35:H44)</f>
        <v>0</v>
      </c>
      <c r="I45" s="629"/>
      <c r="J45" s="625"/>
      <c r="K45" s="632">
        <f>IF(SUM(K35:K44)&gt;1,1,SUM(K35:K44))</f>
        <v>0</v>
      </c>
      <c r="L45" s="632">
        <f t="shared" ref="L45:M45" si="7">IF(SUM(L35:L44)&gt;1,1,SUM(L35:L44))</f>
        <v>0</v>
      </c>
      <c r="M45" s="633">
        <f t="shared" si="7"/>
        <v>0</v>
      </c>
      <c r="N45" s="568"/>
      <c r="O45" s="568"/>
      <c r="AB45" s="620" t="str">
        <f>Poeng!BE28</f>
        <v>Ene 04</v>
      </c>
      <c r="AC45" s="621">
        <f>IF(D$9=$AA$35,Poeng!BF28,"")</f>
        <v>3</v>
      </c>
      <c r="AD45" s="621" t="str">
        <f>IF(F$9=$AA$35,Poeng!BG28,"")</f>
        <v/>
      </c>
      <c r="AE45" s="622" t="str">
        <f>IF(H$9=$AA$35,Poeng!BH28,"")</f>
        <v/>
      </c>
    </row>
    <row r="46" spans="1:31" ht="15.75" x14ac:dyDescent="0.25">
      <c r="A46" s="553"/>
      <c r="B46" s="634" t="s">
        <v>356</v>
      </c>
      <c r="C46" s="635"/>
      <c r="D46" s="635"/>
      <c r="E46" s="635"/>
      <c r="F46" s="635"/>
      <c r="G46" s="635"/>
      <c r="H46" s="635"/>
      <c r="I46" s="635"/>
      <c r="J46" s="636"/>
      <c r="K46" s="637" t="str">
        <f>D10</f>
        <v>Unclassified</v>
      </c>
      <c r="L46" s="637" t="str">
        <f>F10</f>
        <v>Unclassified</v>
      </c>
      <c r="M46" s="629" t="str">
        <f>H10</f>
        <v>Unclassified</v>
      </c>
      <c r="N46" s="568"/>
      <c r="O46" s="568"/>
      <c r="AB46" s="620" t="str">
        <f>Poeng!BE29</f>
        <v>Ene 23</v>
      </c>
      <c r="AC46" s="621">
        <f>IF(D$9=$AA$35,Poeng!BF29,"")</f>
        <v>4</v>
      </c>
      <c r="AD46" s="621" t="str">
        <f>IF(F$9=$AA$35,Poeng!BG29,"")</f>
        <v/>
      </c>
      <c r="AE46" s="622" t="str">
        <f>IF(H$9=$AA$35,Poeng!BH29,"")</f>
        <v/>
      </c>
    </row>
    <row r="47" spans="1:31" ht="15.75" x14ac:dyDescent="0.25">
      <c r="A47" s="638"/>
      <c r="B47" s="634" t="s">
        <v>84</v>
      </c>
      <c r="C47" s="635"/>
      <c r="D47" s="635"/>
      <c r="E47" s="635"/>
      <c r="F47" s="635"/>
      <c r="G47" s="635"/>
      <c r="H47" s="635"/>
      <c r="I47" s="635"/>
      <c r="J47" s="636"/>
      <c r="K47" s="637" t="str">
        <f>D12</f>
        <v>Unclassified</v>
      </c>
      <c r="L47" s="637" t="str">
        <f>F12</f>
        <v>Unclassified</v>
      </c>
      <c r="M47" s="629" t="str">
        <f>H12</f>
        <v>Unclassified</v>
      </c>
      <c r="N47" s="639"/>
      <c r="O47" s="640"/>
      <c r="P47" s="641"/>
      <c r="Q47" s="641"/>
      <c r="R47" s="641"/>
      <c r="S47" s="641"/>
      <c r="AB47" s="620" t="str">
        <f>Poeng!BE30</f>
        <v>Wat 01</v>
      </c>
      <c r="AC47" s="621">
        <f>IF(D$9=$AA$35,Poeng!BF30,"")</f>
        <v>3</v>
      </c>
      <c r="AD47" s="621" t="str">
        <f>IF(F$9=$AA$35,Poeng!BG30,"")</f>
        <v/>
      </c>
      <c r="AE47" s="622" t="str">
        <f>IF(H$9=$AA$35,Poeng!BH30,"")</f>
        <v/>
      </c>
    </row>
    <row r="48" spans="1:31" s="642" customFormat="1" x14ac:dyDescent="0.25">
      <c r="B48" s="553"/>
      <c r="C48" s="553"/>
      <c r="D48" s="553"/>
      <c r="E48" s="553"/>
      <c r="F48" s="553"/>
      <c r="G48" s="553"/>
      <c r="H48" s="553"/>
      <c r="I48" s="553" t="str">
        <f>IF(OR(Poeng!AT112=1,Poeng!AW112=1,Poeng!AZ112=1),Poeng!AL117,"")</f>
        <v/>
      </c>
      <c r="K48" s="553"/>
      <c r="L48" s="553"/>
      <c r="M48" s="553"/>
      <c r="O48" s="643"/>
      <c r="P48" s="643"/>
      <c r="Q48" s="643"/>
      <c r="R48" s="643"/>
      <c r="S48" s="643"/>
      <c r="T48" s="643"/>
      <c r="U48" s="643"/>
      <c r="AA48" s="554"/>
      <c r="AB48" s="620" t="str">
        <f>Poeng!BE31</f>
        <v>Mat 01</v>
      </c>
      <c r="AC48" s="621">
        <f>IF(D$9=$AA$35,Poeng!BF31,"")</f>
        <v>0</v>
      </c>
      <c r="AD48" s="621" t="str">
        <f>IF(F$9=$AA$35,Poeng!BG31,"")</f>
        <v/>
      </c>
      <c r="AE48" s="622" t="str">
        <f>IF(H$9=$AA$35,Poeng!BH31,"")</f>
        <v/>
      </c>
    </row>
    <row r="49" spans="1:31" s="642" customFormat="1" x14ac:dyDescent="0.25">
      <c r="B49" s="553"/>
      <c r="C49" s="553"/>
      <c r="D49" s="553"/>
      <c r="E49" s="553"/>
      <c r="F49" s="553"/>
      <c r="G49" s="553"/>
      <c r="H49" s="553"/>
      <c r="I49" s="553"/>
      <c r="J49" s="553"/>
      <c r="K49" s="553"/>
      <c r="L49" s="553"/>
      <c r="M49" s="553"/>
      <c r="AA49" s="554"/>
      <c r="AB49" s="620" t="str">
        <f>Poeng!BE32</f>
        <v>Mat 03</v>
      </c>
      <c r="AC49" s="621">
        <f>IF(D$9=$AA$35,Poeng!BF32,"")</f>
        <v>0</v>
      </c>
      <c r="AD49" s="621" t="str">
        <f>IF(F$9=$AA$35,Poeng!BG32,"")</f>
        <v/>
      </c>
      <c r="AE49" s="622" t="str">
        <f>IF(H$9=$AA$35,Poeng!BH32,"")</f>
        <v/>
      </c>
    </row>
    <row r="50" spans="1:31" s="553" customFormat="1" ht="15.75" thickBot="1" x14ac:dyDescent="0.3">
      <c r="B50" s="644"/>
      <c r="C50" s="644"/>
      <c r="D50" s="644"/>
      <c r="E50" s="644"/>
      <c r="F50" s="644"/>
      <c r="G50" s="644"/>
      <c r="H50" s="644"/>
      <c r="I50" s="644"/>
      <c r="J50" s="644"/>
      <c r="K50" s="644"/>
      <c r="L50" s="644"/>
      <c r="M50" s="644"/>
      <c r="N50" s="644"/>
      <c r="AA50" s="554"/>
      <c r="AB50" s="645" t="str">
        <f>Poeng!BE33</f>
        <v>Wst 01</v>
      </c>
      <c r="AC50" s="646">
        <f>IF(D$9=$AA$35,Poeng!BF33,"")</f>
        <v>4</v>
      </c>
      <c r="AD50" s="646" t="str">
        <f>IF(F$9=$AA$35,Poeng!BG33,"")</f>
        <v/>
      </c>
      <c r="AE50" s="647" t="str">
        <f>IF(H$9=$AA$35,Poeng!BH33,"")</f>
        <v/>
      </c>
    </row>
    <row r="51" spans="1:31" s="553" customFormat="1" ht="15.75" thickBot="1" x14ac:dyDescent="0.3">
      <c r="AA51" s="648"/>
      <c r="AB51" s="645" t="str">
        <f>Poeng!BE34</f>
        <v>Wst 03</v>
      </c>
      <c r="AC51" s="646">
        <f>IF(D$9=$AA$35,Poeng!BF34,"")</f>
        <v>3</v>
      </c>
      <c r="AD51" s="646" t="str">
        <f>IF(F$9=$AA$35,Poeng!BG34,"")</f>
        <v/>
      </c>
      <c r="AE51" s="647" t="str">
        <f>IF(H$9=$AA$35,Poeng!BH34,"")</f>
        <v/>
      </c>
    </row>
    <row r="52" spans="1:31" s="553" customFormat="1" x14ac:dyDescent="0.25">
      <c r="F52" s="649"/>
      <c r="G52" s="649"/>
      <c r="H52" s="649"/>
      <c r="I52" s="649"/>
      <c r="J52" s="649"/>
      <c r="K52" s="649"/>
      <c r="L52" s="650"/>
    </row>
    <row r="53" spans="1:31" s="553" customFormat="1" x14ac:dyDescent="0.25"/>
    <row r="54" spans="1:31" x14ac:dyDescent="0.25">
      <c r="A54" s="568"/>
      <c r="B54" s="568"/>
      <c r="C54" s="568"/>
      <c r="D54" s="568"/>
      <c r="E54" s="568"/>
      <c r="F54" s="568"/>
      <c r="G54" s="568"/>
      <c r="H54" s="568"/>
      <c r="I54" s="568"/>
      <c r="J54" s="568"/>
      <c r="K54" s="568"/>
      <c r="L54" s="568"/>
      <c r="M54" s="568"/>
      <c r="N54" s="568"/>
      <c r="O54" s="568"/>
    </row>
    <row r="55" spans="1:31" x14ac:dyDescent="0.25">
      <c r="A55" s="568"/>
      <c r="B55" s="568"/>
      <c r="C55" s="568"/>
      <c r="D55" s="568"/>
      <c r="E55" s="568"/>
      <c r="F55" s="568"/>
      <c r="G55" s="568"/>
      <c r="H55" s="568"/>
      <c r="I55" s="568"/>
      <c r="J55" s="568"/>
      <c r="K55" s="568"/>
      <c r="L55" s="568"/>
      <c r="M55" s="568"/>
      <c r="N55" s="568"/>
      <c r="O55" s="568"/>
    </row>
    <row r="56" spans="1:31" x14ac:dyDescent="0.25">
      <c r="A56" s="568"/>
      <c r="B56" s="568"/>
      <c r="C56" s="568"/>
      <c r="D56" s="568"/>
      <c r="E56" s="568"/>
      <c r="F56" s="568"/>
      <c r="G56" s="568"/>
      <c r="H56" s="568"/>
      <c r="I56" s="568"/>
      <c r="J56" s="568"/>
      <c r="K56" s="568"/>
      <c r="L56" s="568"/>
      <c r="M56" s="568"/>
      <c r="N56" s="568"/>
      <c r="O56" s="568"/>
    </row>
    <row r="57" spans="1:31" x14ac:dyDescent="0.25">
      <c r="A57" s="568"/>
      <c r="B57" s="568"/>
      <c r="C57" s="568"/>
      <c r="D57" s="568"/>
      <c r="E57" s="568"/>
      <c r="F57" s="568"/>
      <c r="G57" s="568"/>
      <c r="H57" s="568"/>
      <c r="I57" s="568"/>
      <c r="J57" s="568"/>
      <c r="K57" s="568"/>
      <c r="L57" s="568"/>
      <c r="M57" s="568"/>
      <c r="N57" s="568"/>
      <c r="O57" s="568"/>
      <c r="P57" s="651"/>
    </row>
    <row r="58" spans="1:31" x14ac:dyDescent="0.25">
      <c r="A58" s="568"/>
      <c r="B58" s="568"/>
      <c r="C58" s="568"/>
      <c r="D58" s="568"/>
      <c r="E58" s="568"/>
      <c r="F58" s="568"/>
      <c r="G58" s="568"/>
      <c r="H58" s="568"/>
      <c r="I58" s="568"/>
      <c r="J58" s="568"/>
      <c r="K58" s="568"/>
      <c r="L58" s="568"/>
      <c r="M58" s="568"/>
      <c r="N58" s="568"/>
      <c r="O58" s="568"/>
    </row>
    <row r="59" spans="1:31" x14ac:dyDescent="0.25">
      <c r="A59" s="568"/>
      <c r="B59" s="568"/>
      <c r="C59" s="568"/>
      <c r="D59" s="568"/>
      <c r="E59" s="568"/>
      <c r="F59" s="568"/>
      <c r="G59" s="568"/>
      <c r="H59" s="568"/>
      <c r="I59" s="568"/>
      <c r="J59" s="568"/>
      <c r="K59" s="568"/>
      <c r="L59" s="568"/>
      <c r="M59" s="568"/>
      <c r="N59" s="568"/>
      <c r="O59" s="568"/>
    </row>
    <row r="60" spans="1:31" x14ac:dyDescent="0.25">
      <c r="A60" s="568"/>
      <c r="B60" s="568"/>
      <c r="C60" s="568"/>
      <c r="D60" s="568"/>
      <c r="E60" s="568"/>
      <c r="F60" s="568"/>
      <c r="G60" s="568"/>
      <c r="H60" s="568"/>
      <c r="I60" s="568"/>
      <c r="J60" s="568"/>
      <c r="K60" s="568"/>
      <c r="L60" s="568"/>
      <c r="M60" s="568"/>
      <c r="N60" s="568"/>
      <c r="O60" s="568"/>
      <c r="P60" s="651"/>
    </row>
    <row r="61" spans="1:31" x14ac:dyDescent="0.25">
      <c r="A61" s="568"/>
      <c r="B61" s="568"/>
      <c r="C61" s="568"/>
      <c r="D61" s="568"/>
      <c r="E61" s="568"/>
      <c r="F61" s="568"/>
      <c r="G61" s="568"/>
      <c r="H61" s="568"/>
      <c r="I61" s="568"/>
      <c r="J61" s="568"/>
      <c r="K61" s="568"/>
      <c r="L61" s="568"/>
      <c r="M61" s="568"/>
      <c r="N61" s="568"/>
      <c r="O61" s="568"/>
    </row>
    <row r="62" spans="1:31" x14ac:dyDescent="0.25">
      <c r="A62" s="568"/>
      <c r="B62" s="568"/>
      <c r="C62" s="568"/>
      <c r="D62" s="568"/>
      <c r="E62" s="568"/>
      <c r="F62" s="568"/>
      <c r="G62" s="568"/>
      <c r="H62" s="568"/>
      <c r="I62" s="568"/>
      <c r="J62" s="568"/>
      <c r="K62" s="568"/>
      <c r="L62" s="568"/>
      <c r="M62" s="568"/>
      <c r="N62" s="568"/>
      <c r="O62" s="568"/>
    </row>
    <row r="63" spans="1:31" x14ac:dyDescent="0.25">
      <c r="A63" s="568"/>
      <c r="B63" s="568"/>
      <c r="C63" s="568"/>
      <c r="D63" s="568"/>
      <c r="E63" s="568"/>
      <c r="F63" s="568"/>
      <c r="G63" s="568"/>
      <c r="H63" s="568"/>
      <c r="I63" s="568"/>
      <c r="J63" s="568"/>
      <c r="K63" s="568"/>
      <c r="L63" s="568"/>
      <c r="M63" s="568"/>
      <c r="N63" s="568"/>
      <c r="O63" s="568"/>
      <c r="P63" s="651"/>
    </row>
    <row r="64" spans="1:31" x14ac:dyDescent="0.25">
      <c r="A64" s="568"/>
      <c r="B64" s="568"/>
      <c r="C64" s="568"/>
      <c r="D64" s="568"/>
      <c r="E64" s="568"/>
      <c r="F64" s="568"/>
      <c r="G64" s="568"/>
      <c r="H64" s="568"/>
      <c r="I64" s="568"/>
      <c r="J64" s="568"/>
      <c r="K64" s="568"/>
      <c r="L64" s="568"/>
      <c r="M64" s="568"/>
      <c r="N64" s="568"/>
      <c r="O64" s="568"/>
    </row>
    <row r="65" spans="1:15" x14ac:dyDescent="0.25">
      <c r="A65" s="568"/>
      <c r="B65" s="568"/>
      <c r="C65" s="568"/>
      <c r="D65" s="568"/>
      <c r="E65" s="568"/>
      <c r="F65" s="568"/>
      <c r="G65" s="568"/>
      <c r="H65" s="568"/>
      <c r="I65" s="568"/>
      <c r="J65" s="568"/>
      <c r="K65" s="568"/>
      <c r="L65" s="568"/>
      <c r="M65" s="568"/>
      <c r="N65" s="568"/>
      <c r="O65" s="568"/>
    </row>
    <row r="66" spans="1:15" x14ac:dyDescent="0.25">
      <c r="A66" s="568"/>
      <c r="B66" s="568"/>
      <c r="C66" s="568"/>
      <c r="D66" s="568"/>
      <c r="E66" s="568"/>
      <c r="F66" s="568"/>
      <c r="G66" s="568"/>
      <c r="H66" s="568"/>
      <c r="I66" s="568"/>
      <c r="J66" s="568"/>
      <c r="K66" s="568"/>
      <c r="L66" s="568"/>
      <c r="M66" s="568"/>
      <c r="N66" s="568"/>
      <c r="O66" s="568"/>
    </row>
    <row r="67" spans="1:15" x14ac:dyDescent="0.25">
      <c r="A67" s="568"/>
      <c r="B67" s="568"/>
      <c r="C67" s="568"/>
      <c r="D67" s="568"/>
      <c r="E67" s="568"/>
      <c r="F67" s="568"/>
      <c r="G67" s="568"/>
      <c r="H67" s="568"/>
      <c r="I67" s="568"/>
      <c r="J67" s="568"/>
      <c r="K67" s="568"/>
      <c r="L67" s="568"/>
      <c r="M67" s="568"/>
      <c r="N67" s="568"/>
      <c r="O67" s="568"/>
    </row>
    <row r="68" spans="1:15" x14ac:dyDescent="0.25">
      <c r="A68" s="568"/>
      <c r="B68" s="568"/>
      <c r="C68" s="568"/>
      <c r="D68" s="568"/>
      <c r="E68" s="568"/>
      <c r="F68" s="568"/>
      <c r="G68" s="568"/>
      <c r="H68" s="568"/>
      <c r="I68" s="568"/>
      <c r="J68" s="568"/>
      <c r="K68" s="568"/>
      <c r="L68" s="568"/>
      <c r="M68" s="568"/>
      <c r="N68" s="568"/>
      <c r="O68" s="568"/>
    </row>
    <row r="69" spans="1:15" x14ac:dyDescent="0.25">
      <c r="A69" s="568"/>
      <c r="B69" s="568"/>
      <c r="C69" s="568"/>
      <c r="D69" s="568"/>
      <c r="E69" s="568"/>
      <c r="F69" s="568"/>
      <c r="G69" s="568"/>
      <c r="H69" s="568"/>
      <c r="I69" s="568"/>
      <c r="J69" s="568"/>
      <c r="K69" s="568"/>
      <c r="L69" s="568"/>
      <c r="M69" s="568"/>
      <c r="N69" s="568"/>
      <c r="O69" s="568"/>
    </row>
    <row r="70" spans="1:15" x14ac:dyDescent="0.25">
      <c r="A70" s="568"/>
      <c r="B70" s="568"/>
      <c r="C70" s="568"/>
      <c r="D70" s="568"/>
      <c r="E70" s="568"/>
      <c r="F70" s="568"/>
      <c r="G70" s="568"/>
      <c r="H70" s="568"/>
      <c r="I70" s="568"/>
      <c r="J70" s="568"/>
      <c r="K70" s="568"/>
      <c r="L70" s="568"/>
      <c r="M70" s="568"/>
      <c r="N70" s="568"/>
      <c r="O70" s="568"/>
    </row>
    <row r="71" spans="1:15" x14ac:dyDescent="0.25">
      <c r="A71" s="568"/>
      <c r="B71" s="568"/>
      <c r="C71" s="568"/>
      <c r="D71" s="568"/>
      <c r="E71" s="568"/>
      <c r="F71" s="568"/>
      <c r="G71" s="568"/>
      <c r="H71" s="568"/>
      <c r="I71" s="568"/>
      <c r="J71" s="568"/>
      <c r="K71" s="568"/>
      <c r="L71" s="568"/>
      <c r="M71" s="568"/>
      <c r="N71" s="568"/>
      <c r="O71" s="568"/>
    </row>
    <row r="72" spans="1:15" x14ac:dyDescent="0.25">
      <c r="A72" s="568"/>
      <c r="B72" s="568"/>
      <c r="C72" s="568"/>
      <c r="D72" s="568"/>
      <c r="E72" s="568"/>
      <c r="F72" s="568"/>
      <c r="G72" s="568"/>
      <c r="H72" s="568"/>
      <c r="I72" s="568"/>
      <c r="J72" s="568"/>
      <c r="K72" s="568"/>
      <c r="L72" s="568"/>
      <c r="M72" s="568"/>
      <c r="N72" s="568"/>
      <c r="O72" s="568"/>
    </row>
    <row r="73" spans="1:15" x14ac:dyDescent="0.25">
      <c r="A73" s="568"/>
      <c r="B73" s="568"/>
      <c r="C73" s="568"/>
      <c r="D73" s="568"/>
      <c r="E73" s="568"/>
      <c r="F73" s="568"/>
      <c r="G73" s="568"/>
      <c r="H73" s="568"/>
      <c r="I73" s="568"/>
      <c r="J73" s="568"/>
      <c r="K73" s="568"/>
      <c r="L73" s="568"/>
      <c r="M73" s="568"/>
      <c r="N73" s="568"/>
      <c r="O73" s="568"/>
    </row>
    <row r="74" spans="1:15" x14ac:dyDescent="0.25">
      <c r="A74" s="568"/>
      <c r="B74" s="568"/>
      <c r="C74" s="568"/>
      <c r="D74" s="568"/>
      <c r="E74" s="568"/>
      <c r="F74" s="568"/>
      <c r="G74" s="568"/>
      <c r="H74" s="568"/>
      <c r="I74" s="568"/>
      <c r="J74" s="568"/>
      <c r="K74" s="568"/>
      <c r="L74" s="568"/>
      <c r="M74" s="568"/>
      <c r="N74" s="568"/>
      <c r="O74" s="568"/>
    </row>
    <row r="75" spans="1:15" x14ac:dyDescent="0.25">
      <c r="A75" s="568"/>
      <c r="B75" s="568"/>
      <c r="C75" s="568"/>
      <c r="D75" s="568"/>
      <c r="E75" s="568"/>
      <c r="F75" s="568"/>
      <c r="G75" s="568"/>
      <c r="H75" s="568"/>
      <c r="I75" s="568"/>
      <c r="J75" s="568"/>
      <c r="K75" s="568"/>
      <c r="L75" s="568"/>
      <c r="M75" s="568"/>
      <c r="N75" s="568"/>
      <c r="O75" s="568"/>
    </row>
    <row r="76" spans="1:15" x14ac:dyDescent="0.25">
      <c r="A76" s="568"/>
      <c r="B76" s="568"/>
      <c r="C76" s="568"/>
      <c r="D76" s="568"/>
      <c r="E76" s="568"/>
      <c r="F76" s="568"/>
      <c r="G76" s="568"/>
      <c r="H76" s="568"/>
      <c r="I76" s="568"/>
      <c r="J76" s="568"/>
      <c r="K76" s="568"/>
      <c r="L76" s="568"/>
      <c r="M76" s="568"/>
      <c r="N76" s="568"/>
      <c r="O76" s="568"/>
    </row>
    <row r="77" spans="1:15" x14ac:dyDescent="0.25">
      <c r="A77" s="568"/>
      <c r="B77" s="568"/>
      <c r="C77" s="568"/>
      <c r="D77" s="568"/>
      <c r="E77" s="568"/>
      <c r="F77" s="568"/>
      <c r="G77" s="568"/>
      <c r="H77" s="568"/>
      <c r="I77" s="568"/>
      <c r="J77" s="568"/>
      <c r="K77" s="568"/>
      <c r="L77" s="568"/>
      <c r="M77" s="568"/>
      <c r="N77" s="568"/>
      <c r="O77" s="568"/>
    </row>
    <row r="78" spans="1:15" x14ac:dyDescent="0.25">
      <c r="A78" s="568"/>
      <c r="B78" s="568"/>
      <c r="C78" s="568"/>
      <c r="D78" s="568"/>
      <c r="E78" s="568"/>
      <c r="F78" s="568"/>
      <c r="G78" s="568"/>
      <c r="H78" s="568"/>
      <c r="I78" s="568"/>
      <c r="J78" s="568"/>
      <c r="K78" s="568"/>
      <c r="L78" s="568"/>
      <c r="M78" s="568"/>
      <c r="N78" s="568"/>
      <c r="O78" s="568"/>
    </row>
    <row r="79" spans="1:15" x14ac:dyDescent="0.25">
      <c r="A79" s="568"/>
      <c r="B79" s="568"/>
      <c r="C79" s="568"/>
      <c r="D79" s="568"/>
      <c r="E79" s="568"/>
      <c r="F79" s="568"/>
      <c r="G79" s="568"/>
      <c r="H79" s="568"/>
      <c r="I79" s="568"/>
      <c r="J79" s="568"/>
      <c r="K79" s="568"/>
      <c r="L79" s="568"/>
      <c r="M79" s="568"/>
      <c r="N79" s="568"/>
      <c r="O79" s="568"/>
    </row>
    <row r="80" spans="1:15" x14ac:dyDescent="0.25">
      <c r="A80" s="568"/>
      <c r="B80" s="568"/>
      <c r="C80" s="568"/>
      <c r="D80" s="568"/>
      <c r="E80" s="568"/>
      <c r="F80" s="568"/>
      <c r="G80" s="568"/>
      <c r="H80" s="568"/>
      <c r="I80" s="568"/>
      <c r="J80" s="568"/>
      <c r="K80" s="568"/>
      <c r="L80" s="568"/>
      <c r="M80" s="568"/>
      <c r="N80" s="568"/>
      <c r="O80" s="568"/>
    </row>
    <row r="81" spans="1:15" x14ac:dyDescent="0.25">
      <c r="A81" s="568"/>
      <c r="B81" s="568"/>
      <c r="C81" s="568"/>
      <c r="D81" s="568"/>
      <c r="E81" s="568"/>
      <c r="F81" s="568"/>
      <c r="G81" s="568"/>
      <c r="H81" s="568"/>
      <c r="I81" s="568"/>
      <c r="J81" s="568"/>
      <c r="K81" s="568"/>
      <c r="L81" s="568"/>
      <c r="M81" s="568"/>
      <c r="N81" s="568"/>
      <c r="O81" s="568"/>
    </row>
    <row r="82" spans="1:15" x14ac:dyDescent="0.25">
      <c r="A82" s="568"/>
      <c r="B82" s="568"/>
      <c r="C82" s="568"/>
      <c r="D82" s="568"/>
      <c r="E82" s="568"/>
      <c r="F82" s="568"/>
      <c r="G82" s="568"/>
      <c r="H82" s="568"/>
      <c r="I82" s="568"/>
      <c r="J82" s="568"/>
      <c r="K82" s="568"/>
      <c r="L82" s="568"/>
      <c r="M82" s="568"/>
      <c r="N82" s="568"/>
      <c r="O82" s="568"/>
    </row>
    <row r="83" spans="1:15" x14ac:dyDescent="0.25">
      <c r="A83" s="568"/>
      <c r="B83" s="568"/>
      <c r="C83" s="568"/>
      <c r="D83" s="568"/>
      <c r="E83" s="568"/>
      <c r="F83" s="568"/>
      <c r="G83" s="568"/>
      <c r="H83" s="568"/>
      <c r="I83" s="568"/>
      <c r="J83" s="568"/>
      <c r="K83" s="568"/>
      <c r="L83" s="568"/>
      <c r="M83" s="568"/>
      <c r="N83" s="568"/>
      <c r="O83" s="568"/>
    </row>
    <row r="84" spans="1:15" x14ac:dyDescent="0.25">
      <c r="A84" s="568"/>
      <c r="B84" s="568"/>
      <c r="C84" s="568"/>
      <c r="D84" s="568"/>
      <c r="E84" s="568"/>
      <c r="F84" s="568"/>
      <c r="G84" s="568"/>
      <c r="H84" s="568"/>
      <c r="I84" s="568"/>
      <c r="J84" s="568"/>
      <c r="K84" s="568"/>
      <c r="L84" s="568"/>
      <c r="M84" s="568"/>
      <c r="N84" s="568"/>
      <c r="O84" s="568"/>
    </row>
    <row r="85" spans="1:15" x14ac:dyDescent="0.25">
      <c r="A85" s="568"/>
      <c r="B85" s="568"/>
      <c r="C85" s="568"/>
      <c r="D85" s="568"/>
      <c r="E85" s="568"/>
      <c r="F85" s="568"/>
      <c r="G85" s="568"/>
      <c r="H85" s="568"/>
      <c r="I85" s="568"/>
      <c r="J85" s="568"/>
      <c r="K85" s="568"/>
      <c r="L85" s="568"/>
      <c r="M85" s="568"/>
      <c r="N85" s="568"/>
      <c r="O85" s="568"/>
    </row>
    <row r="86" spans="1:15" x14ac:dyDescent="0.25">
      <c r="A86" s="568"/>
      <c r="B86" s="568"/>
      <c r="C86" s="568"/>
      <c r="D86" s="568"/>
      <c r="E86" s="568"/>
      <c r="F86" s="568"/>
      <c r="G86" s="568"/>
      <c r="H86" s="568"/>
      <c r="I86" s="568"/>
      <c r="J86" s="568"/>
      <c r="K86" s="553"/>
      <c r="L86" s="568"/>
      <c r="M86" s="568"/>
      <c r="N86" s="568"/>
      <c r="O86" s="568"/>
    </row>
    <row r="87" spans="1:15" x14ac:dyDescent="0.25">
      <c r="A87" s="568"/>
      <c r="B87" s="568"/>
      <c r="C87" s="568"/>
      <c r="D87" s="568"/>
      <c r="E87" s="568"/>
      <c r="F87" s="568"/>
      <c r="G87" s="568"/>
      <c r="H87" s="568"/>
      <c r="I87" s="568"/>
      <c r="J87" s="568"/>
      <c r="K87" s="553"/>
      <c r="L87" s="568"/>
      <c r="M87" s="568"/>
      <c r="N87" s="568"/>
      <c r="O87" s="568"/>
    </row>
    <row r="88" spans="1:15" x14ac:dyDescent="0.25">
      <c r="A88" s="568"/>
      <c r="B88" s="568"/>
      <c r="C88" s="568"/>
      <c r="D88" s="568"/>
      <c r="E88" s="568"/>
      <c r="F88" s="568"/>
      <c r="G88" s="568"/>
      <c r="H88" s="568"/>
      <c r="I88" s="568"/>
      <c r="J88" s="568"/>
      <c r="K88" s="652"/>
      <c r="L88" s="568"/>
      <c r="M88" s="568"/>
      <c r="N88" s="568"/>
      <c r="O88" s="568"/>
    </row>
    <row r="89" spans="1:15" ht="15.75" x14ac:dyDescent="0.25">
      <c r="A89" s="568"/>
      <c r="B89" s="568"/>
      <c r="C89" s="568"/>
      <c r="D89" s="568"/>
      <c r="E89" s="568"/>
      <c r="F89" s="568"/>
      <c r="G89" s="568"/>
      <c r="H89" s="568"/>
      <c r="I89" s="568"/>
      <c r="J89" s="568"/>
      <c r="K89" s="653"/>
      <c r="L89" s="568"/>
      <c r="M89" s="568"/>
      <c r="N89" s="568"/>
      <c r="O89" s="568"/>
    </row>
    <row r="90" spans="1:15" ht="15.75" x14ac:dyDescent="0.25">
      <c r="A90" s="568"/>
      <c r="B90" s="568"/>
      <c r="C90" s="568"/>
      <c r="D90" s="568"/>
      <c r="E90" s="568"/>
      <c r="F90" s="568"/>
      <c r="G90" s="568"/>
      <c r="H90" s="568"/>
      <c r="I90" s="568"/>
      <c r="J90" s="568"/>
      <c r="K90" s="653"/>
      <c r="L90" s="568"/>
      <c r="M90" s="568"/>
      <c r="N90" s="568"/>
      <c r="O90" s="568"/>
    </row>
    <row r="91" spans="1:15" ht="15.75" x14ac:dyDescent="0.25">
      <c r="A91" s="568"/>
      <c r="B91" s="568"/>
      <c r="C91" s="568"/>
      <c r="D91" s="568"/>
      <c r="E91" s="568"/>
      <c r="F91" s="568"/>
      <c r="G91" s="568"/>
      <c r="H91" s="568"/>
      <c r="I91" s="568"/>
      <c r="J91" s="568"/>
      <c r="K91" s="653"/>
      <c r="L91" s="568"/>
      <c r="M91" s="568"/>
      <c r="N91" s="568"/>
      <c r="O91" s="568"/>
    </row>
    <row r="92" spans="1:15" x14ac:dyDescent="0.25">
      <c r="A92" s="568"/>
      <c r="B92" s="568"/>
      <c r="C92" s="568"/>
      <c r="D92" s="568"/>
      <c r="E92" s="568"/>
      <c r="F92" s="568"/>
      <c r="G92" s="568"/>
      <c r="H92" s="568"/>
      <c r="I92" s="568"/>
      <c r="J92" s="568"/>
      <c r="K92" s="553"/>
      <c r="L92" s="568"/>
      <c r="M92" s="568"/>
      <c r="N92" s="568"/>
      <c r="O92" s="568"/>
    </row>
    <row r="93" spans="1:15" x14ac:dyDescent="0.25">
      <c r="A93" s="568"/>
      <c r="B93" s="568"/>
      <c r="C93" s="568"/>
      <c r="D93" s="568"/>
      <c r="E93" s="568"/>
      <c r="F93" s="568"/>
      <c r="G93" s="568"/>
      <c r="H93" s="568"/>
      <c r="I93" s="568"/>
      <c r="J93" s="568"/>
      <c r="K93" s="553"/>
      <c r="L93" s="568"/>
      <c r="M93" s="568"/>
      <c r="N93" s="568"/>
      <c r="O93" s="568"/>
    </row>
    <row r="94" spans="1:15" x14ac:dyDescent="0.25">
      <c r="A94" s="568"/>
      <c r="B94" s="568"/>
      <c r="C94" s="568"/>
      <c r="D94" s="568"/>
      <c r="E94" s="568"/>
      <c r="F94" s="568"/>
      <c r="G94" s="568"/>
      <c r="H94" s="568"/>
      <c r="I94" s="568"/>
      <c r="J94" s="568"/>
      <c r="K94" s="553"/>
      <c r="L94" s="568"/>
      <c r="M94" s="568"/>
      <c r="N94" s="568"/>
      <c r="O94" s="568"/>
    </row>
    <row r="95" spans="1:15" x14ac:dyDescent="0.25">
      <c r="A95" s="568"/>
      <c r="B95" s="568"/>
      <c r="C95" s="568"/>
      <c r="D95" s="568"/>
      <c r="E95" s="568"/>
      <c r="F95" s="568"/>
      <c r="G95" s="568"/>
      <c r="H95" s="568"/>
      <c r="I95" s="568"/>
      <c r="J95" s="568"/>
      <c r="K95" s="553"/>
      <c r="L95" s="568"/>
      <c r="M95" s="568"/>
      <c r="N95" s="568"/>
      <c r="O95" s="568"/>
    </row>
    <row r="96" spans="1:15" x14ac:dyDescent="0.25">
      <c r="A96" s="568"/>
      <c r="B96" s="568"/>
      <c r="C96" s="568"/>
      <c r="D96" s="568"/>
      <c r="E96" s="568"/>
      <c r="F96" s="568"/>
      <c r="G96" s="568"/>
      <c r="H96" s="568"/>
      <c r="I96" s="568"/>
      <c r="J96" s="568"/>
      <c r="K96" s="574"/>
      <c r="L96" s="568"/>
      <c r="M96" s="568"/>
      <c r="N96" s="568"/>
      <c r="O96" s="568"/>
    </row>
    <row r="97" spans="1:15" x14ac:dyDescent="0.25">
      <c r="A97" s="568"/>
      <c r="B97" s="568"/>
      <c r="C97" s="568"/>
      <c r="D97" s="568"/>
      <c r="E97" s="568"/>
      <c r="F97" s="568"/>
      <c r="G97" s="568"/>
      <c r="H97" s="568"/>
      <c r="I97" s="568"/>
      <c r="J97" s="568"/>
      <c r="K97" s="568"/>
      <c r="L97" s="568"/>
      <c r="M97" s="568"/>
      <c r="N97" s="568"/>
      <c r="O97" s="568"/>
    </row>
    <row r="98" spans="1:15" x14ac:dyDescent="0.25">
      <c r="A98" s="568"/>
      <c r="B98" s="568"/>
      <c r="C98" s="568"/>
      <c r="D98" s="568"/>
      <c r="E98" s="568"/>
      <c r="F98" s="568"/>
      <c r="G98" s="568"/>
      <c r="H98" s="568"/>
      <c r="I98" s="568"/>
      <c r="J98" s="568"/>
      <c r="K98" s="568"/>
      <c r="L98" s="568"/>
      <c r="M98" s="568"/>
      <c r="N98" s="568"/>
      <c r="O98" s="568"/>
    </row>
    <row r="99" spans="1:15" x14ac:dyDescent="0.25">
      <c r="A99" s="568"/>
      <c r="B99" s="568"/>
      <c r="C99" s="568"/>
      <c r="D99" s="568"/>
      <c r="E99" s="568"/>
      <c r="F99" s="568"/>
      <c r="G99" s="568"/>
      <c r="H99" s="568"/>
      <c r="I99" s="568"/>
      <c r="J99" s="568"/>
      <c r="K99" s="568"/>
      <c r="L99" s="568"/>
      <c r="M99" s="568"/>
      <c r="N99" s="568"/>
      <c r="O99" s="568"/>
    </row>
    <row r="100" spans="1:15" x14ac:dyDescent="0.25">
      <c r="A100" s="568"/>
      <c r="B100" s="568"/>
      <c r="C100" s="568"/>
      <c r="D100" s="568"/>
      <c r="E100" s="568"/>
      <c r="F100" s="568"/>
      <c r="G100" s="568"/>
      <c r="H100" s="568"/>
      <c r="I100" s="568"/>
      <c r="J100" s="568"/>
      <c r="K100" s="568"/>
      <c r="L100" s="568"/>
      <c r="M100" s="568"/>
      <c r="N100" s="568"/>
      <c r="O100" s="568"/>
    </row>
    <row r="101" spans="1:15" x14ac:dyDescent="0.25">
      <c r="A101" s="568"/>
      <c r="B101" s="568"/>
      <c r="C101" s="568"/>
      <c r="D101" s="568"/>
      <c r="E101" s="568"/>
      <c r="F101" s="568"/>
      <c r="G101" s="568"/>
      <c r="H101" s="568"/>
      <c r="I101" s="568"/>
      <c r="J101" s="568"/>
      <c r="K101" s="568"/>
      <c r="L101" s="568"/>
      <c r="M101" s="568"/>
      <c r="N101" s="568"/>
      <c r="O101" s="568"/>
    </row>
    <row r="102" spans="1:15" x14ac:dyDescent="0.25">
      <c r="A102" s="568"/>
      <c r="B102" s="568"/>
      <c r="C102" s="568"/>
      <c r="D102" s="568"/>
      <c r="E102" s="568"/>
      <c r="F102" s="568"/>
      <c r="G102" s="568"/>
      <c r="H102" s="568"/>
      <c r="I102" s="568"/>
      <c r="J102" s="568"/>
      <c r="K102" s="568"/>
      <c r="L102" s="568"/>
      <c r="M102" s="568"/>
      <c r="N102" s="568"/>
      <c r="O102" s="568"/>
    </row>
    <row r="103" spans="1:15" x14ac:dyDescent="0.25">
      <c r="A103" s="568"/>
      <c r="B103" s="568"/>
      <c r="C103" s="568"/>
      <c r="D103" s="568"/>
      <c r="E103" s="568"/>
      <c r="F103" s="568"/>
      <c r="G103" s="568"/>
      <c r="H103" s="568"/>
      <c r="I103" s="568"/>
      <c r="J103" s="568"/>
      <c r="K103" s="568"/>
      <c r="L103" s="568"/>
      <c r="M103" s="568"/>
      <c r="N103" s="568"/>
      <c r="O103" s="568"/>
    </row>
    <row r="299" spans="20:22" ht="15.75" thickBot="1" x14ac:dyDescent="0.3"/>
    <row r="300" spans="20:22" x14ac:dyDescent="0.25">
      <c r="T300" s="654" t="str">
        <f t="shared" ref="T300:T309" si="8">B35</f>
        <v>Management</v>
      </c>
      <c r="U300" s="655"/>
      <c r="V300" s="656">
        <f t="shared" ref="V300:V309" si="9">J35</f>
        <v>0.12</v>
      </c>
    </row>
    <row r="301" spans="20:22" x14ac:dyDescent="0.25">
      <c r="T301" s="657" t="str">
        <f t="shared" si="8"/>
        <v>Health &amp; Wellbeing</v>
      </c>
      <c r="U301" s="658"/>
      <c r="V301" s="659">
        <f t="shared" si="9"/>
        <v>0.15</v>
      </c>
    </row>
    <row r="302" spans="20:22" x14ac:dyDescent="0.25">
      <c r="T302" s="657" t="str">
        <f t="shared" si="8"/>
        <v>Energy</v>
      </c>
      <c r="U302" s="658"/>
      <c r="V302" s="659">
        <f t="shared" si="9"/>
        <v>0.19</v>
      </c>
    </row>
    <row r="303" spans="20:22" x14ac:dyDescent="0.25">
      <c r="T303" s="657" t="str">
        <f t="shared" si="8"/>
        <v>Transport</v>
      </c>
      <c r="U303" s="658"/>
      <c r="V303" s="659">
        <f t="shared" si="9"/>
        <v>0.1</v>
      </c>
    </row>
    <row r="304" spans="20:22" x14ac:dyDescent="0.25">
      <c r="T304" s="657" t="str">
        <f t="shared" si="8"/>
        <v>Water</v>
      </c>
      <c r="U304" s="658"/>
      <c r="V304" s="659">
        <f t="shared" si="9"/>
        <v>0.05</v>
      </c>
    </row>
    <row r="305" spans="20:22" x14ac:dyDescent="0.25">
      <c r="T305" s="657" t="str">
        <f t="shared" si="8"/>
        <v>Materials</v>
      </c>
      <c r="U305" s="658"/>
      <c r="V305" s="659">
        <f t="shared" si="9"/>
        <v>0.13500000000000001</v>
      </c>
    </row>
    <row r="306" spans="20:22" x14ac:dyDescent="0.25">
      <c r="T306" s="657" t="str">
        <f t="shared" si="8"/>
        <v>Waste</v>
      </c>
      <c r="U306" s="658"/>
      <c r="V306" s="659">
        <f t="shared" si="9"/>
        <v>7.4999999999999997E-2</v>
      </c>
    </row>
    <row r="307" spans="20:22" x14ac:dyDescent="0.25">
      <c r="T307" s="657" t="str">
        <f t="shared" si="8"/>
        <v>Land Use &amp; Ecology</v>
      </c>
      <c r="U307" s="658"/>
      <c r="V307" s="659">
        <f t="shared" si="9"/>
        <v>0.1</v>
      </c>
    </row>
    <row r="308" spans="20:22" x14ac:dyDescent="0.25">
      <c r="T308" s="657" t="str">
        <f t="shared" si="8"/>
        <v>Pollution</v>
      </c>
      <c r="U308" s="658"/>
      <c r="V308" s="659">
        <f t="shared" si="9"/>
        <v>0.08</v>
      </c>
    </row>
    <row r="309" spans="20:22" ht="15.75" thickBot="1" x14ac:dyDescent="0.3">
      <c r="T309" s="660" t="str">
        <f t="shared" si="8"/>
        <v>Innovation</v>
      </c>
      <c r="U309" s="661"/>
      <c r="V309" s="662">
        <f t="shared" si="9"/>
        <v>0.1</v>
      </c>
    </row>
  </sheetData>
  <sheetProtection algorithmName="SHA-512" hashValue="Q8GOOZ+xNguude5EugXwwLd6NlsSPIHAmTmYIA1ETcT9aaTAcb4oFH+WLtVBhUhWmIWZ3xE3Km29QTA5yaDhkQ==" saltValue="0ckaZKPl4sTRu26Yj2witA==" spinCount="100000" sheet="1" objects="1" scenarios="1"/>
  <mergeCells count="20">
    <mergeCell ref="D33:E33"/>
    <mergeCell ref="F33:G33"/>
    <mergeCell ref="H33:I33"/>
    <mergeCell ref="Z10:AN12"/>
    <mergeCell ref="D9:E9"/>
    <mergeCell ref="F9:G9"/>
    <mergeCell ref="H9:I9"/>
    <mergeCell ref="K33:M33"/>
    <mergeCell ref="H8:I8"/>
    <mergeCell ref="H10:I10"/>
    <mergeCell ref="H11:I11"/>
    <mergeCell ref="H12:I12"/>
    <mergeCell ref="D8:E8"/>
    <mergeCell ref="D10:E10"/>
    <mergeCell ref="D11:E11"/>
    <mergeCell ref="D12:E12"/>
    <mergeCell ref="F8:G8"/>
    <mergeCell ref="F10:G10"/>
    <mergeCell ref="F11:G11"/>
    <mergeCell ref="F12:G12"/>
  </mergeCells>
  <conditionalFormatting sqref="K34">
    <cfRule type="expression" dxfId="399" priority="139">
      <formula>$D$9=$AA$36</formula>
    </cfRule>
  </conditionalFormatting>
  <conditionalFormatting sqref="L34">
    <cfRule type="expression" dxfId="398" priority="140">
      <formula>$F$9=$AA$36</formula>
    </cfRule>
  </conditionalFormatting>
  <conditionalFormatting sqref="M34">
    <cfRule type="expression" dxfId="397" priority="141">
      <formula>$H$9=$AA$36</formula>
    </cfRule>
  </conditionalFormatting>
  <conditionalFormatting sqref="D10:E12">
    <cfRule type="expression" dxfId="396" priority="12">
      <formula>$D$9=$AA$36</formula>
    </cfRule>
  </conditionalFormatting>
  <conditionalFormatting sqref="F10:G12">
    <cfRule type="expression" dxfId="395" priority="11">
      <formula>$F$9=$AA$36</formula>
    </cfRule>
  </conditionalFormatting>
  <conditionalFormatting sqref="H10:I12">
    <cfRule type="expression" dxfId="394" priority="10">
      <formula>$H$9=$AA$36</formula>
    </cfRule>
  </conditionalFormatting>
  <conditionalFormatting sqref="D33:E34">
    <cfRule type="expression" dxfId="393" priority="9">
      <formula>$D$9=AD_no</formula>
    </cfRule>
  </conditionalFormatting>
  <conditionalFormatting sqref="F33:G34">
    <cfRule type="expression" dxfId="392" priority="8">
      <formula>$F$9=AD_no</formula>
    </cfRule>
  </conditionalFormatting>
  <conditionalFormatting sqref="H33:I34">
    <cfRule type="expression" dxfId="391" priority="7">
      <formula>$H$9=AD_no</formula>
    </cfRule>
  </conditionalFormatting>
  <conditionalFormatting sqref="D35:E45">
    <cfRule type="expression" dxfId="390" priority="6">
      <formula>$D$9=AD_no</formula>
    </cfRule>
  </conditionalFormatting>
  <conditionalFormatting sqref="F35:G45">
    <cfRule type="expression" dxfId="389" priority="5">
      <formula>$F$9=AD_no</formula>
    </cfRule>
  </conditionalFormatting>
  <conditionalFormatting sqref="K35:K47">
    <cfRule type="expression" dxfId="388" priority="4">
      <formula>$D$9=AD_no</formula>
    </cfRule>
  </conditionalFormatting>
  <conditionalFormatting sqref="L35:L47">
    <cfRule type="expression" dxfId="387" priority="3">
      <formula>$F$9=AD_no</formula>
    </cfRule>
  </conditionalFormatting>
  <conditionalFormatting sqref="H35:I45">
    <cfRule type="expression" dxfId="386" priority="2">
      <formula>$H$9=AD_no</formula>
    </cfRule>
  </conditionalFormatting>
  <conditionalFormatting sqref="M35:M47">
    <cfRule type="expression" dxfId="385" priority="1">
      <formula>$H$9=AD_no</formula>
    </cfRule>
  </conditionalFormatting>
  <dataValidations count="1">
    <dataValidation type="list" allowBlank="1" showInputMessage="1" showErrorMessage="1" sqref="D9 F9 H9" xr:uid="{00000000-0002-0000-0500-000000000000}">
      <formula1>$AA$35:$AA$36</formula1>
    </dataValidation>
  </dataValidations>
  <pageMargins left="0.51181102362204722" right="0.51181102362204722" top="0.35433070866141736" bottom="0.35433070866141736" header="0.31496062992125984" footer="0.31496062992125984"/>
  <pageSetup paperSize="9" scale="70" orientation="landscape" verticalDpi="598"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259"/>
  <sheetViews>
    <sheetView topLeftCell="C1" zoomScaleNormal="100" zoomScalePageLayoutView="30" workbookViewId="0">
      <pane ySplit="8" topLeftCell="A9" activePane="bottomLeft" state="frozen"/>
      <selection pane="bottomLeft" activeCell="E18" sqref="E18"/>
    </sheetView>
  </sheetViews>
  <sheetFormatPr defaultColWidth="9.140625" defaultRowHeight="15" x14ac:dyDescent="0.25"/>
  <cols>
    <col min="1" max="2" width="2.28515625" style="520" hidden="1" customWidth="1"/>
    <col min="3" max="3" width="41.85546875" style="520" customWidth="1"/>
    <col min="4" max="4" width="9.140625" style="520" customWidth="1"/>
    <col min="5" max="5" width="7.42578125" style="520" customWidth="1"/>
    <col min="6" max="6" width="12" style="520" customWidth="1"/>
    <col min="7" max="7" width="20" style="520" customWidth="1"/>
    <col min="8" max="8" width="8.85546875" style="520" customWidth="1"/>
    <col min="9" max="9" width="5.140625" style="520" customWidth="1"/>
    <col min="10" max="10" width="37.7109375" style="520" customWidth="1"/>
    <col min="11" max="11" width="1.7109375" style="519" customWidth="1"/>
    <col min="12" max="12" width="7.28515625" style="520" customWidth="1"/>
    <col min="13" max="13" width="7.7109375" style="520" customWidth="1"/>
    <col min="14" max="14" width="4.85546875" style="520" customWidth="1"/>
    <col min="15" max="15" width="9.85546875" style="520" customWidth="1"/>
    <col min="16" max="16" width="25.5703125" style="520" customWidth="1"/>
    <col min="17" max="17" width="1.7109375" style="519" customWidth="1"/>
    <col min="18" max="18" width="7" style="520" customWidth="1"/>
    <col min="19" max="19" width="7.7109375" style="520" customWidth="1"/>
    <col min="20" max="20" width="4.85546875" style="520" customWidth="1"/>
    <col min="21" max="21" width="9" style="520" customWidth="1"/>
    <col min="22" max="22" width="28.85546875" style="520" customWidth="1"/>
    <col min="23" max="23" width="1.28515625" style="520" customWidth="1"/>
    <col min="24" max="24" width="21.140625" style="519" bestFit="1" customWidth="1"/>
    <col min="25" max="27" width="1.7109375" style="519" hidden="1" customWidth="1"/>
    <col min="28" max="28" width="6.42578125" style="519" hidden="1" customWidth="1"/>
    <col min="29" max="29" width="15.7109375" style="520" hidden="1" customWidth="1"/>
    <col min="30" max="31" width="9.140625" style="520" hidden="1" customWidth="1"/>
    <col min="32" max="35" width="9.140625" style="520" customWidth="1"/>
    <col min="36" max="36" width="11.85546875" style="520" customWidth="1"/>
    <col min="37" max="37" width="2" style="520" customWidth="1"/>
    <col min="38" max="77" width="9.140625" style="520" customWidth="1"/>
    <col min="78" max="16384" width="9.140625" style="520"/>
  </cols>
  <sheetData>
    <row r="1" spans="1:49" ht="42" customHeight="1" x14ac:dyDescent="0.25">
      <c r="A1" s="517"/>
      <c r="B1" s="517"/>
      <c r="C1" s="663" t="s">
        <v>325</v>
      </c>
      <c r="D1" s="663"/>
      <c r="E1" s="663"/>
      <c r="F1" s="663"/>
      <c r="G1" s="663"/>
      <c r="H1" s="663"/>
      <c r="I1" s="663"/>
      <c r="J1" s="664" t="s">
        <v>402</v>
      </c>
      <c r="K1" s="663"/>
      <c r="L1" s="663"/>
      <c r="M1" s="663"/>
      <c r="N1" s="663"/>
      <c r="O1" s="663"/>
      <c r="P1" s="663"/>
      <c r="Q1" s="663"/>
      <c r="R1" s="663"/>
      <c r="S1" s="663"/>
      <c r="T1" s="663"/>
      <c r="U1" s="663"/>
      <c r="V1" s="812" t="str">
        <f>IF('Manuell filtrering og justering'!H2='Manuell filtrering og justering'!I2,"Bespoke","")</f>
        <v/>
      </c>
      <c r="W1" s="812"/>
      <c r="X1" s="518"/>
      <c r="Y1" s="478"/>
      <c r="Z1" s="478"/>
      <c r="AA1" s="478"/>
    </row>
    <row r="2" spans="1:49" s="521" customFormat="1" ht="12.75" customHeight="1" x14ac:dyDescent="0.25">
      <c r="C2" s="437"/>
      <c r="D2" s="549">
        <v>4</v>
      </c>
      <c r="E2" s="549">
        <v>5</v>
      </c>
      <c r="F2" s="549">
        <v>6</v>
      </c>
      <c r="G2" s="549">
        <v>7</v>
      </c>
      <c r="H2" s="549">
        <v>8</v>
      </c>
      <c r="I2" s="549">
        <v>9</v>
      </c>
      <c r="J2" s="549">
        <v>10</v>
      </c>
      <c r="K2" s="549"/>
      <c r="L2" s="549">
        <v>12</v>
      </c>
      <c r="M2" s="549">
        <v>13</v>
      </c>
      <c r="N2" s="549">
        <v>14</v>
      </c>
      <c r="O2" s="549">
        <v>15</v>
      </c>
      <c r="P2" s="549">
        <v>16</v>
      </c>
      <c r="Q2" s="549"/>
      <c r="R2" s="549">
        <v>18</v>
      </c>
      <c r="S2" s="549">
        <v>19</v>
      </c>
      <c r="T2" s="549">
        <v>20</v>
      </c>
      <c r="U2" s="549">
        <v>21</v>
      </c>
      <c r="V2" s="549">
        <v>22</v>
      </c>
      <c r="W2" s="549"/>
      <c r="X2" s="329">
        <v>24</v>
      </c>
      <c r="Y2" s="329"/>
      <c r="Z2" s="329"/>
      <c r="AA2" s="329"/>
      <c r="AB2" s="522"/>
      <c r="AC2" s="329"/>
      <c r="AD2" s="523"/>
      <c r="AE2" s="523"/>
      <c r="AF2" s="523"/>
    </row>
    <row r="3" spans="1:49" ht="20.25" customHeight="1" x14ac:dyDescent="0.4">
      <c r="A3" s="103"/>
      <c r="B3" s="103"/>
      <c r="C3" s="438"/>
      <c r="D3" s="524"/>
      <c r="E3" s="492" t="s">
        <v>233</v>
      </c>
      <c r="F3" s="525"/>
      <c r="G3" s="525"/>
      <c r="H3" s="525"/>
      <c r="I3" s="526"/>
      <c r="J3" s="527"/>
      <c r="K3" s="528"/>
      <c r="L3" s="492" t="s">
        <v>238</v>
      </c>
      <c r="M3" s="525"/>
      <c r="N3" s="525"/>
      <c r="O3" s="525"/>
      <c r="P3" s="525"/>
      <c r="Q3" s="528"/>
      <c r="R3" s="492" t="s">
        <v>239</v>
      </c>
      <c r="S3" s="525"/>
      <c r="T3" s="525"/>
      <c r="U3" s="525"/>
      <c r="V3" s="529"/>
      <c r="W3" s="529"/>
      <c r="X3" s="871" t="s">
        <v>544</v>
      </c>
      <c r="Y3" s="530"/>
      <c r="Z3" s="530"/>
      <c r="AA3" s="530"/>
      <c r="AC3" s="531"/>
      <c r="AD3" s="531"/>
      <c r="AE3" s="531"/>
    </row>
    <row r="4" spans="1:49" s="534" customFormat="1" x14ac:dyDescent="0.25">
      <c r="A4" s="103"/>
      <c r="B4" s="103"/>
      <c r="C4" s="493" t="s">
        <v>501</v>
      </c>
      <c r="D4" s="532"/>
      <c r="E4" s="499" t="s">
        <v>356</v>
      </c>
      <c r="F4" s="500"/>
      <c r="G4" s="501"/>
      <c r="H4" s="502" t="str">
        <f>'Pre-Assessment Estimator'!H4</f>
        <v>Unclassified</v>
      </c>
      <c r="I4" s="503"/>
      <c r="J4" s="508" t="s">
        <v>331</v>
      </c>
      <c r="K4" s="533"/>
      <c r="L4" s="499" t="s">
        <v>356</v>
      </c>
      <c r="M4" s="500"/>
      <c r="N4" s="500"/>
      <c r="O4" s="501"/>
      <c r="P4" s="503" t="str">
        <f>'Pre-Assessment Estimator'!P4</f>
        <v>Unclassified</v>
      </c>
      <c r="Q4" s="533"/>
      <c r="R4" s="499" t="s">
        <v>356</v>
      </c>
      <c r="S4" s="500"/>
      <c r="T4" s="500"/>
      <c r="U4" s="501"/>
      <c r="V4" s="496" t="str">
        <f>'Pre-Assessment Estimator'!V4</f>
        <v>Unclassified</v>
      </c>
      <c r="W4" s="873"/>
      <c r="X4" s="876" t="str">
        <f>IF('Pre-Assessment Estimator'!AF4=ais_yes,"Option 2: 50% of","")</f>
        <v/>
      </c>
      <c r="AB4" s="519"/>
      <c r="AC4" s="535"/>
      <c r="AD4" s="535"/>
      <c r="AE4" s="535"/>
      <c r="AF4" s="535"/>
      <c r="AO4" s="536"/>
    </row>
    <row r="5" spans="1:49" s="534" customFormat="1" x14ac:dyDescent="0.25">
      <c r="A5" s="103"/>
      <c r="B5" s="103"/>
      <c r="C5" s="495" t="str">
        <f>'Pre-Assessment Estimator'!C5</f>
        <v/>
      </c>
      <c r="D5" s="532"/>
      <c r="E5" s="499" t="s">
        <v>89</v>
      </c>
      <c r="F5" s="500"/>
      <c r="G5" s="501"/>
      <c r="H5" s="504">
        <f>'Pre-Assessment Estimator'!H5</f>
        <v>0</v>
      </c>
      <c r="I5" s="505"/>
      <c r="J5" s="508" t="s">
        <v>332</v>
      </c>
      <c r="K5" s="533"/>
      <c r="L5" s="499" t="s">
        <v>89</v>
      </c>
      <c r="M5" s="500"/>
      <c r="N5" s="500"/>
      <c r="O5" s="501"/>
      <c r="P5" s="509">
        <f>'Pre-Assessment Estimator'!P5</f>
        <v>0</v>
      </c>
      <c r="Q5" s="533"/>
      <c r="R5" s="499" t="s">
        <v>89</v>
      </c>
      <c r="S5" s="500"/>
      <c r="T5" s="500"/>
      <c r="U5" s="501"/>
      <c r="V5" s="497">
        <f>'Pre-Assessment Estimator'!V5</f>
        <v>0</v>
      </c>
      <c r="W5" s="874"/>
      <c r="X5" s="876" t="str">
        <f>IF('Pre-Assessment Estimator'!AF4=ais_yes,"achieved credit is","")</f>
        <v/>
      </c>
      <c r="AB5" s="519"/>
      <c r="AC5" s="537"/>
      <c r="AD5" s="537"/>
      <c r="AE5" s="537"/>
      <c r="AF5" s="537"/>
    </row>
    <row r="6" spans="1:49" s="534" customFormat="1" x14ac:dyDescent="0.25">
      <c r="A6" s="103"/>
      <c r="B6" s="103"/>
      <c r="C6" s="494" t="str">
        <f>'Pre-Assessment Estimator'!C6</f>
        <v>Pre-Assessment Estimator Version: 1.08</v>
      </c>
      <c r="D6" s="532"/>
      <c r="E6" s="499" t="s">
        <v>84</v>
      </c>
      <c r="F6" s="500"/>
      <c r="G6" s="501"/>
      <c r="H6" s="506" t="str">
        <f>BP_MinStandards</f>
        <v>Unclassified</v>
      </c>
      <c r="I6" s="507"/>
      <c r="J6" s="508" t="s">
        <v>333</v>
      </c>
      <c r="K6" s="533"/>
      <c r="L6" s="499" t="s">
        <v>84</v>
      </c>
      <c r="M6" s="500"/>
      <c r="N6" s="500"/>
      <c r="O6" s="501"/>
      <c r="P6" s="507" t="str">
        <f>'Pre-Assessment Estimator'!P6</f>
        <v>Unclassified</v>
      </c>
      <c r="Q6" s="533"/>
      <c r="R6" s="499" t="s">
        <v>84</v>
      </c>
      <c r="S6" s="500"/>
      <c r="T6" s="500"/>
      <c r="U6" s="501"/>
      <c r="V6" s="498" t="str">
        <f>'Pre-Assessment Estimator'!V6</f>
        <v>Unclassified</v>
      </c>
      <c r="W6" s="875"/>
      <c r="X6" s="877" t="str">
        <f>IF('Pre-Assessment Estimator'!AF4=ais_yes,"subtracted from score.","")</f>
        <v/>
      </c>
      <c r="AB6" s="519"/>
      <c r="AC6" s="537"/>
      <c r="AD6" s="537"/>
      <c r="AE6" s="537"/>
      <c r="AF6" s="537"/>
    </row>
    <row r="7" spans="1:49" s="534" customFormat="1" ht="15" customHeight="1" x14ac:dyDescent="0.25">
      <c r="C7" s="538" t="str">
        <f>'Pre-Assessment Estimator'!C7</f>
        <v/>
      </c>
      <c r="D7" s="539"/>
      <c r="E7" s="540"/>
      <c r="F7" s="539"/>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row>
    <row r="8" spans="1:49" ht="30.75" x14ac:dyDescent="0.3">
      <c r="A8" s="542" t="s">
        <v>235</v>
      </c>
      <c r="B8" s="542" t="s">
        <v>236</v>
      </c>
      <c r="C8" s="542" t="s">
        <v>232</v>
      </c>
      <c r="D8" s="725" t="s">
        <v>105</v>
      </c>
      <c r="E8" s="726" t="s">
        <v>46</v>
      </c>
      <c r="F8" s="727" t="s">
        <v>106</v>
      </c>
      <c r="G8" s="724" t="s">
        <v>53</v>
      </c>
      <c r="H8" s="728" t="s">
        <v>334</v>
      </c>
      <c r="I8" s="729" t="s">
        <v>279</v>
      </c>
      <c r="J8" s="730" t="s">
        <v>240</v>
      </c>
      <c r="K8" s="731"/>
      <c r="L8" s="732" t="s">
        <v>46</v>
      </c>
      <c r="M8" s="733" t="s">
        <v>334</v>
      </c>
      <c r="N8" s="733" t="s">
        <v>279</v>
      </c>
      <c r="O8" s="734" t="s">
        <v>278</v>
      </c>
      <c r="P8" s="735" t="s">
        <v>280</v>
      </c>
      <c r="Q8" s="736"/>
      <c r="R8" s="732" t="s">
        <v>46</v>
      </c>
      <c r="S8" s="733" t="s">
        <v>334</v>
      </c>
      <c r="T8" s="733" t="s">
        <v>279</v>
      </c>
      <c r="U8" s="734" t="s">
        <v>278</v>
      </c>
      <c r="V8" s="737" t="s">
        <v>280</v>
      </c>
      <c r="W8" s="878"/>
      <c r="X8" s="872" t="str">
        <f>IF('Pre-Assessment Estimator'!AF4=ais_yes,"Compliance?","")</f>
        <v/>
      </c>
      <c r="AC8" s="79" t="s">
        <v>275</v>
      </c>
      <c r="AD8" s="78" t="s">
        <v>276</v>
      </c>
      <c r="AE8" s="78" t="s">
        <v>277</v>
      </c>
      <c r="AS8" s="543"/>
      <c r="AW8" s="538"/>
    </row>
    <row r="9" spans="1:49" ht="18.75" customHeight="1" x14ac:dyDescent="0.25">
      <c r="A9" s="399">
        <v>1</v>
      </c>
      <c r="B9" s="399" t="s">
        <v>66</v>
      </c>
      <c r="C9" s="738" t="s">
        <v>66</v>
      </c>
      <c r="D9" s="739"/>
      <c r="E9" s="739"/>
      <c r="F9" s="739"/>
      <c r="G9" s="739"/>
      <c r="H9" s="740"/>
      <c r="I9" s="739"/>
      <c r="J9" s="740"/>
      <c r="K9" s="741"/>
      <c r="L9" s="739"/>
      <c r="M9" s="740"/>
      <c r="N9" s="739"/>
      <c r="O9" s="740"/>
      <c r="P9" s="740"/>
      <c r="Q9" s="742"/>
      <c r="R9" s="739"/>
      <c r="S9" s="740"/>
      <c r="T9" s="739"/>
      <c r="U9" s="740"/>
      <c r="V9" s="544"/>
      <c r="W9" s="879"/>
      <c r="X9" s="883"/>
      <c r="AB9" s="519">
        <f>IF(D2="",1,IF(D2=0,2,1))</f>
        <v>1</v>
      </c>
      <c r="AC9" s="331">
        <v>0</v>
      </c>
      <c r="AD9" s="331">
        <v>0</v>
      </c>
      <c r="AE9" s="331">
        <v>0</v>
      </c>
      <c r="AU9" s="545"/>
    </row>
    <row r="10" spans="1:49" x14ac:dyDescent="0.25">
      <c r="A10" s="399">
        <v>2</v>
      </c>
      <c r="B10" s="439" t="s">
        <v>66</v>
      </c>
      <c r="C10" s="743" t="str">
        <f>Man_01</f>
        <v>Man 01 Project brief and design</v>
      </c>
      <c r="D10" s="744">
        <f>VLOOKUP($A10,'Pre-Assessment Estimator'!$A$9:$V$100,D$2,FALSE)</f>
        <v>4</v>
      </c>
      <c r="E10" s="744">
        <f>VLOOKUP($A10,'Pre-Assessment Estimator'!$A$9:$V$100,E$2,FALSE)</f>
        <v>0</v>
      </c>
      <c r="F10" s="745">
        <f>VLOOKUP($A10,'Pre-Assessment Estimator'!$A$9:$V$100,F$2,FALSE)</f>
        <v>0</v>
      </c>
      <c r="G10" s="746" t="str">
        <f>VLOOKUP($A10,'Pre-Assessment Estimator'!$A$9:$V$100,G$2,FALSE)</f>
        <v>N/A</v>
      </c>
      <c r="H10" s="747" t="str">
        <f>IF(VLOOKUP($A10,'Pre-Assessment Estimator'!$A$9:$V$100,H$2,FALSE)=0,"",VLOOKUP($A10,'Pre-Assessment Estimator'!$A$9:$V$100,H$2,FALSE))</f>
        <v/>
      </c>
      <c r="I10" s="747" t="str">
        <f>IF(VLOOKUP($A10,'Pre-Assessment Estimator'!$A$9:$V$100,I$2,FALSE)=0,"",VLOOKUP($A10,'Pre-Assessment Estimator'!$A$9:$V$100,I$2,FALSE))</f>
        <v xml:space="preserve"> </v>
      </c>
      <c r="J10" s="748" t="str">
        <f>IF(VLOOKUP($A10,'Pre-Assessment Estimator'!$A$9:$V$100,J$2,FALSE)=0,"",VLOOKUP($A10,'Pre-Assessment Estimator'!$A$9:$V$100,J$2,FALSE))</f>
        <v/>
      </c>
      <c r="K10" s="749"/>
      <c r="L10" s="750" t="str">
        <f>IF(VLOOKUP($A10,'Pre-Assessment Estimator'!$A$9:$V$100,L$2,FALSE)=0,"",VLOOKUP($A10,'Pre-Assessment Estimator'!$A$9:$V$100,L$2,FALSE))</f>
        <v/>
      </c>
      <c r="M10" s="747" t="str">
        <f>IF(VLOOKUP($A10,'Pre-Assessment Estimator'!$A$9:$V$100,M$2,FALSE)=0,"",VLOOKUP($A10,'Pre-Assessment Estimator'!$A$9:$V$100,M$2,FALSE))</f>
        <v/>
      </c>
      <c r="N10" s="747" t="str">
        <f>IF(VLOOKUP($A10,'Pre-Assessment Estimator'!$A$9:$V$100,N$2,FALSE)=0,"",VLOOKUP($A10,'Pre-Assessment Estimator'!$A$9:$V$100,N$2,FALSE))</f>
        <v/>
      </c>
      <c r="O10" s="747" t="str">
        <f>IF(VLOOKUP($A10,'Pre-Assessment Estimator'!$A$9:$V$100,O$2,FALSE)=0,"",VLOOKUP($A10,'Pre-Assessment Estimator'!$A$9:$V$100,O$2,FALSE))</f>
        <v/>
      </c>
      <c r="P10" s="748" t="str">
        <f>IF(VLOOKUP($A10,'Pre-Assessment Estimator'!$A$9:$V$100,P$2,FALSE)=0,"",VLOOKUP($A10,'Pre-Assessment Estimator'!$A$9:$V$100,P$2,FALSE))</f>
        <v/>
      </c>
      <c r="Q10" s="751"/>
      <c r="R10" s="750" t="str">
        <f>IF(VLOOKUP($A10,'Pre-Assessment Estimator'!$A$9:$V$100,R$2,FALSE)=0,"",VLOOKUP($A10,'Pre-Assessment Estimator'!$A$9:$V$100,R$2,FALSE))</f>
        <v/>
      </c>
      <c r="S10" s="747" t="str">
        <f>IF(VLOOKUP($A10,'Pre-Assessment Estimator'!$A$9:$V$100,S$2,FALSE)=0,"",VLOOKUP($A10,'Pre-Assessment Estimator'!$A$9:$V$100,S$2,FALSE))</f>
        <v/>
      </c>
      <c r="T10" s="747" t="str">
        <f>IF(VLOOKUP($A10,'Pre-Assessment Estimator'!$A$9:$V$100,T$2,FALSE)=0,"",VLOOKUP($A10,'Pre-Assessment Estimator'!$A$9:$V$100,T$2,FALSE))</f>
        <v/>
      </c>
      <c r="U10" s="747" t="str">
        <f>IF(VLOOKUP($A10,'Pre-Assessment Estimator'!$A$9:$V$100,U$2,FALSE)=0,"",VLOOKUP($A10,'Pre-Assessment Estimator'!$A$9:$V$100,U$2,FALSE))</f>
        <v/>
      </c>
      <c r="V10" s="491" t="str">
        <f>IF(VLOOKUP($A10,'Pre-Assessment Estimator'!$A$9:$V$100,V$2,FALSE)=0,"",VLOOKUP($A10,'Pre-Assessment Estimator'!$A$9:$V$100,V$2,FALSE))</f>
        <v/>
      </c>
      <c r="W10" s="880"/>
      <c r="X10" s="747" t="str">
        <f>IF(VLOOKUP($A10,'Pre-Assessment Estimator'!$A$9:$X$100,X$2,FALSE)=0,"",VLOOKUP($A10,'Pre-Assessment Estimator'!$A$9:$X$100,X$2,FALSE))</f>
        <v>No</v>
      </c>
      <c r="AB10" s="519">
        <f t="shared" ref="AB10:AB72" si="0">IF(D10="",1,IF(D10=0,2,1))</f>
        <v>1</v>
      </c>
      <c r="AC10" s="103">
        <f>VLOOKUP(I10,'Assessment Details'!$L$45:$M$48,2,FALSE)</f>
        <v>4</v>
      </c>
      <c r="AD10" s="103" t="e">
        <f>VLOOKUP(N10,'Assessment Details'!$L$45:$M$48,2,FALSE)</f>
        <v>#N/A</v>
      </c>
      <c r="AE10" s="103" t="e">
        <f>VLOOKUP(T10,'Assessment Details'!$L$45:$M$48,2,FALSE)</f>
        <v>#N/A</v>
      </c>
    </row>
    <row r="11" spans="1:49" ht="30" x14ac:dyDescent="0.25">
      <c r="A11" s="399">
        <v>3</v>
      </c>
      <c r="B11" s="439" t="s">
        <v>66</v>
      </c>
      <c r="C11" s="743" t="str">
        <f>Man_02</f>
        <v>Man 02 Life cycle cost and service life planning</v>
      </c>
      <c r="D11" s="744">
        <f>VLOOKUP($A11,'Pre-Assessment Estimator'!$A$9:$V$100,D$2,FALSE)</f>
        <v>4</v>
      </c>
      <c r="E11" s="744">
        <f>VLOOKUP($A11,'Pre-Assessment Estimator'!$A$9:$V$100,E$2,FALSE)</f>
        <v>0</v>
      </c>
      <c r="F11" s="745">
        <f>VLOOKUP($A11,'Pre-Assessment Estimator'!$A$9:$V$100,F$2,FALSE)</f>
        <v>0</v>
      </c>
      <c r="G11" s="752" t="str">
        <f>VLOOKUP($A11,'Pre-Assessment Estimator'!$A$9:$V$100,G$2,FALSE)</f>
        <v>N/A</v>
      </c>
      <c r="H11" s="747" t="str">
        <f>IF(VLOOKUP($A11,'Pre-Assessment Estimator'!$A$9:$V$100,H$2,FALSE)=0,"",VLOOKUP($A11,'Pre-Assessment Estimator'!$A$9:$V$100,H$2,FALSE))</f>
        <v/>
      </c>
      <c r="I11" s="747" t="str">
        <f>IF(VLOOKUP($A11,'Pre-Assessment Estimator'!$A$9:$V$100,I$2,FALSE)=0,"",VLOOKUP($A11,'Pre-Assessment Estimator'!$A$9:$V$100,I$2,FALSE))</f>
        <v/>
      </c>
      <c r="J11" s="748" t="str">
        <f>IF(VLOOKUP($A11,'Pre-Assessment Estimator'!$A$9:$V$100,J$2,FALSE)=0,"",VLOOKUP($A11,'Pre-Assessment Estimator'!$A$9:$V$100,J$2,FALSE))</f>
        <v/>
      </c>
      <c r="K11" s="749"/>
      <c r="L11" s="750" t="str">
        <f>IF(VLOOKUP($A11,'Pre-Assessment Estimator'!$A$9:$V$100,L$2,FALSE)=0,"",VLOOKUP($A11,'Pre-Assessment Estimator'!$A$9:$V$100,L$2,FALSE))</f>
        <v/>
      </c>
      <c r="M11" s="747" t="str">
        <f>IF(VLOOKUP($A11,'Pre-Assessment Estimator'!$A$9:$V$100,M$2,FALSE)=0,"",VLOOKUP($A11,'Pre-Assessment Estimator'!$A$9:$V$100,M$2,FALSE))</f>
        <v/>
      </c>
      <c r="N11" s="747" t="str">
        <f>IF(VLOOKUP($A11,'Pre-Assessment Estimator'!$A$9:$V$100,N$2,FALSE)=0,"",VLOOKUP($A11,'Pre-Assessment Estimator'!$A$9:$V$100,N$2,FALSE))</f>
        <v/>
      </c>
      <c r="O11" s="747" t="str">
        <f>IF(VLOOKUP($A11,'Pre-Assessment Estimator'!$A$9:$V$100,O$2,FALSE)=0,"",VLOOKUP($A11,'Pre-Assessment Estimator'!$A$9:$V$100,O$2,FALSE))</f>
        <v/>
      </c>
      <c r="P11" s="748" t="str">
        <f>IF(VLOOKUP($A11,'Pre-Assessment Estimator'!$A$9:$V$100,P$2,FALSE)=0,"",VLOOKUP($A11,'Pre-Assessment Estimator'!$A$9:$V$100,P$2,FALSE))</f>
        <v/>
      </c>
      <c r="Q11" s="751"/>
      <c r="R11" s="750" t="str">
        <f>IF(VLOOKUP($A11,'Pre-Assessment Estimator'!$A$9:$V$100,R$2,FALSE)=0,"",VLOOKUP($A11,'Pre-Assessment Estimator'!$A$9:$V$100,R$2,FALSE))</f>
        <v/>
      </c>
      <c r="S11" s="747" t="str">
        <f>IF(VLOOKUP($A11,'Pre-Assessment Estimator'!$A$9:$V$100,S$2,FALSE)=0,"",VLOOKUP($A11,'Pre-Assessment Estimator'!$A$9:$V$100,S$2,FALSE))</f>
        <v/>
      </c>
      <c r="T11" s="747" t="str">
        <f>IF(VLOOKUP($A11,'Pre-Assessment Estimator'!$A$9:$V$100,T$2,FALSE)=0,"",VLOOKUP($A11,'Pre-Assessment Estimator'!$A$9:$V$100,T$2,FALSE))</f>
        <v/>
      </c>
      <c r="U11" s="747" t="str">
        <f>IF(VLOOKUP($A11,'Pre-Assessment Estimator'!$A$9:$V$100,U$2,FALSE)=0,"",VLOOKUP($A11,'Pre-Assessment Estimator'!$A$9:$V$100,U$2,FALSE))</f>
        <v/>
      </c>
      <c r="V11" s="491" t="str">
        <f>IF(VLOOKUP($A11,'Pre-Assessment Estimator'!$A$9:$V$100,V$2,FALSE)=0,"",VLOOKUP($A11,'Pre-Assessment Estimator'!$A$9:$V$100,V$2,FALSE))</f>
        <v/>
      </c>
      <c r="W11" s="880"/>
      <c r="X11" s="747" t="str">
        <f>IF(VLOOKUP($A11,'Pre-Assessment Estimator'!$A$9:$X$100,X$2,FALSE)=0,"",VLOOKUP($A11,'Pre-Assessment Estimator'!$A$9:$X$100,X$2,FALSE))</f>
        <v>No</v>
      </c>
      <c r="AB11" s="519">
        <f t="shared" si="0"/>
        <v>1</v>
      </c>
      <c r="AC11" s="103" t="e">
        <f>VLOOKUP(I11,'Assessment Details'!$L$45:$M$48,2,FALSE)</f>
        <v>#N/A</v>
      </c>
      <c r="AD11" s="103" t="e">
        <f>VLOOKUP(N11,'Assessment Details'!$L$45:$M$48,2,FALSE)</f>
        <v>#N/A</v>
      </c>
      <c r="AE11" s="103" t="e">
        <f>VLOOKUP(T11,'Assessment Details'!$L$45:$M$48,2,FALSE)</f>
        <v>#N/A</v>
      </c>
      <c r="AK11" s="546"/>
    </row>
    <row r="12" spans="1:49" x14ac:dyDescent="0.25">
      <c r="A12" s="399">
        <v>4</v>
      </c>
      <c r="B12" s="439" t="s">
        <v>66</v>
      </c>
      <c r="C12" s="743" t="str">
        <f>Man_03</f>
        <v>Man 03 Responsible construction practices</v>
      </c>
      <c r="D12" s="744">
        <f>VLOOKUP($A12,'Pre-Assessment Estimator'!$A$9:$V$100,D$2,FALSE)</f>
        <v>6</v>
      </c>
      <c r="E12" s="744">
        <f>VLOOKUP($A12,'Pre-Assessment Estimator'!$A$9:$V$100,E$2,FALSE)</f>
        <v>0</v>
      </c>
      <c r="F12" s="745">
        <f>VLOOKUP($A12,'Pre-Assessment Estimator'!$A$9:$V$100,F$2,FALSE)</f>
        <v>0</v>
      </c>
      <c r="G12" s="752" t="str">
        <f>VLOOKUP($A12,'Pre-Assessment Estimator'!$A$9:$V$100,G$2,FALSE)</f>
        <v>Very Good</v>
      </c>
      <c r="H12" s="747" t="str">
        <f>IF(VLOOKUP($A12,'Pre-Assessment Estimator'!$A$9:$V$100,H$2,FALSE)=0,"",VLOOKUP($A12,'Pre-Assessment Estimator'!$A$9:$V$100,H$2,FALSE))</f>
        <v/>
      </c>
      <c r="I12" s="747" t="str">
        <f>IF(VLOOKUP($A12,'Pre-Assessment Estimator'!$A$9:$V$100,I$2,FALSE)=0,"",VLOOKUP($A12,'Pre-Assessment Estimator'!$A$9:$V$100,I$2,FALSE))</f>
        <v/>
      </c>
      <c r="J12" s="748" t="str">
        <f>IF(VLOOKUP($A12,'Pre-Assessment Estimator'!$A$9:$V$100,J$2,FALSE)=0,"",VLOOKUP($A12,'Pre-Assessment Estimator'!$A$9:$V$100,J$2,FALSE))</f>
        <v/>
      </c>
      <c r="K12" s="749"/>
      <c r="L12" s="750" t="str">
        <f>IF(VLOOKUP($A12,'Pre-Assessment Estimator'!$A$9:$V$100,L$2,FALSE)=0,"",VLOOKUP($A12,'Pre-Assessment Estimator'!$A$9:$V$100,L$2,FALSE))</f>
        <v/>
      </c>
      <c r="M12" s="747" t="str">
        <f>IF(VLOOKUP($A12,'Pre-Assessment Estimator'!$A$9:$V$100,M$2,FALSE)=0,"",VLOOKUP($A12,'Pre-Assessment Estimator'!$A$9:$V$100,M$2,FALSE))</f>
        <v/>
      </c>
      <c r="N12" s="747" t="str">
        <f>IF(VLOOKUP($A12,'Pre-Assessment Estimator'!$A$9:$V$100,N$2,FALSE)=0,"",VLOOKUP($A12,'Pre-Assessment Estimator'!$A$9:$V$100,N$2,FALSE))</f>
        <v/>
      </c>
      <c r="O12" s="747" t="str">
        <f>IF(VLOOKUP($A12,'Pre-Assessment Estimator'!$A$9:$V$100,O$2,FALSE)=0,"",VLOOKUP($A12,'Pre-Assessment Estimator'!$A$9:$V$100,O$2,FALSE))</f>
        <v/>
      </c>
      <c r="P12" s="748" t="str">
        <f>IF(VLOOKUP($A12,'Pre-Assessment Estimator'!$A$9:$V$100,P$2,FALSE)=0,"",VLOOKUP($A12,'Pre-Assessment Estimator'!$A$9:$V$100,P$2,FALSE))</f>
        <v/>
      </c>
      <c r="Q12" s="751"/>
      <c r="R12" s="750" t="str">
        <f>IF(VLOOKUP($A12,'Pre-Assessment Estimator'!$A$9:$V$100,R$2,FALSE)=0,"",VLOOKUP($A12,'Pre-Assessment Estimator'!$A$9:$V$100,R$2,FALSE))</f>
        <v/>
      </c>
      <c r="S12" s="747" t="str">
        <f>IF(VLOOKUP($A12,'Pre-Assessment Estimator'!$A$9:$V$100,S$2,FALSE)=0,"",VLOOKUP($A12,'Pre-Assessment Estimator'!$A$9:$V$100,S$2,FALSE))</f>
        <v/>
      </c>
      <c r="T12" s="747" t="str">
        <f>IF(VLOOKUP($A12,'Pre-Assessment Estimator'!$A$9:$V$100,T$2,FALSE)=0,"",VLOOKUP($A12,'Pre-Assessment Estimator'!$A$9:$V$100,T$2,FALSE))</f>
        <v/>
      </c>
      <c r="U12" s="747" t="str">
        <f>IF(VLOOKUP($A12,'Pre-Assessment Estimator'!$A$9:$V$100,U$2,FALSE)=0,"",VLOOKUP($A12,'Pre-Assessment Estimator'!$A$9:$V$100,U$2,FALSE))</f>
        <v/>
      </c>
      <c r="V12" s="491" t="str">
        <f>IF(VLOOKUP($A12,'Pre-Assessment Estimator'!$A$9:$V$100,V$2,FALSE)=0,"",VLOOKUP($A12,'Pre-Assessment Estimator'!$A$9:$V$100,V$2,FALSE))</f>
        <v/>
      </c>
      <c r="W12" s="880"/>
      <c r="X12" s="747" t="str">
        <f>IF(VLOOKUP($A12,'Pre-Assessment Estimator'!$A$9:$X$100,X$2,FALSE)=0,"",VLOOKUP($A12,'Pre-Assessment Estimator'!$A$9:$X$100,X$2,FALSE))</f>
        <v>N/A</v>
      </c>
      <c r="AB12" s="519">
        <f t="shared" si="0"/>
        <v>1</v>
      </c>
      <c r="AC12" s="520" t="e">
        <f>VLOOKUP(I12,'Assessment Details'!$L$45:$M$48,2,FALSE)</f>
        <v>#N/A</v>
      </c>
      <c r="AD12" s="520" t="e">
        <f>VLOOKUP(N12,'Assessment Details'!$L$45:$M$48,2,FALSE)</f>
        <v>#N/A</v>
      </c>
      <c r="AE12" s="520" t="e">
        <f>VLOOKUP(T12,'Assessment Details'!$L$45:$M$48,2,FALSE)</f>
        <v>#N/A</v>
      </c>
      <c r="AK12" s="546"/>
    </row>
    <row r="13" spans="1:49" x14ac:dyDescent="0.25">
      <c r="A13" s="399">
        <v>5</v>
      </c>
      <c r="B13" s="439" t="s">
        <v>66</v>
      </c>
      <c r="C13" s="743" t="str">
        <f>Man_04</f>
        <v>Man 04 Commissioning and handover</v>
      </c>
      <c r="D13" s="744">
        <f>VLOOKUP($A13,'Pre-Assessment Estimator'!$A$9:$V$100,D$2,FALSE)</f>
        <v>3</v>
      </c>
      <c r="E13" s="744">
        <f>VLOOKUP($A13,'Pre-Assessment Estimator'!$A$9:$V$100,E$2,FALSE)</f>
        <v>0</v>
      </c>
      <c r="F13" s="745">
        <f>VLOOKUP($A13,'Pre-Assessment Estimator'!$A$9:$V$100,F$2,FALSE)</f>
        <v>0</v>
      </c>
      <c r="G13" s="752" t="str">
        <f>VLOOKUP($A13,'Pre-Assessment Estimator'!$A$9:$V$100,G$2,FALSE)</f>
        <v>Unclassified</v>
      </c>
      <c r="H13" s="747" t="str">
        <f>IF(VLOOKUP($A13,'Pre-Assessment Estimator'!$A$9:$V$100,H$2,FALSE)=0,"",VLOOKUP($A13,'Pre-Assessment Estimator'!$A$9:$V$100,H$2,FALSE))</f>
        <v/>
      </c>
      <c r="I13" s="747" t="str">
        <f>IF(VLOOKUP($A13,'Pre-Assessment Estimator'!$A$9:$V$100,I$2,FALSE)=0,"",VLOOKUP($A13,'Pre-Assessment Estimator'!$A$9:$V$100,I$2,FALSE))</f>
        <v/>
      </c>
      <c r="J13" s="748" t="str">
        <f>IF(VLOOKUP($A13,'Pre-Assessment Estimator'!$A$9:$V$100,J$2,FALSE)=0,"",VLOOKUP($A13,'Pre-Assessment Estimator'!$A$9:$V$100,J$2,FALSE))</f>
        <v/>
      </c>
      <c r="K13" s="749"/>
      <c r="L13" s="750" t="str">
        <f>IF(VLOOKUP($A13,'Pre-Assessment Estimator'!$A$9:$V$100,L$2,FALSE)=0,"",VLOOKUP($A13,'Pre-Assessment Estimator'!$A$9:$V$100,L$2,FALSE))</f>
        <v/>
      </c>
      <c r="M13" s="747" t="str">
        <f>IF(VLOOKUP($A13,'Pre-Assessment Estimator'!$A$9:$V$100,M$2,FALSE)=0,"",VLOOKUP($A13,'Pre-Assessment Estimator'!$A$9:$V$100,M$2,FALSE))</f>
        <v/>
      </c>
      <c r="N13" s="747" t="str">
        <f>IF(VLOOKUP($A13,'Pre-Assessment Estimator'!$A$9:$V$100,N$2,FALSE)=0,"",VLOOKUP($A13,'Pre-Assessment Estimator'!$A$9:$V$100,N$2,FALSE))</f>
        <v/>
      </c>
      <c r="O13" s="747" t="str">
        <f>IF(VLOOKUP($A13,'Pre-Assessment Estimator'!$A$9:$V$100,O$2,FALSE)=0,"",VLOOKUP($A13,'Pre-Assessment Estimator'!$A$9:$V$100,O$2,FALSE))</f>
        <v/>
      </c>
      <c r="P13" s="748" t="str">
        <f>IF(VLOOKUP($A13,'Pre-Assessment Estimator'!$A$9:$V$100,P$2,FALSE)=0,"",VLOOKUP($A13,'Pre-Assessment Estimator'!$A$9:$V$100,P$2,FALSE))</f>
        <v/>
      </c>
      <c r="Q13" s="751"/>
      <c r="R13" s="750" t="str">
        <f>IF(VLOOKUP($A13,'Pre-Assessment Estimator'!$A$9:$V$100,R$2,FALSE)=0,"",VLOOKUP($A13,'Pre-Assessment Estimator'!$A$9:$V$100,R$2,FALSE))</f>
        <v/>
      </c>
      <c r="S13" s="747" t="str">
        <f>IF(VLOOKUP($A13,'Pre-Assessment Estimator'!$A$9:$V$100,S$2,FALSE)=0,"",VLOOKUP($A13,'Pre-Assessment Estimator'!$A$9:$V$100,S$2,FALSE))</f>
        <v/>
      </c>
      <c r="T13" s="747" t="str">
        <f>IF(VLOOKUP($A13,'Pre-Assessment Estimator'!$A$9:$V$100,T$2,FALSE)=0,"",VLOOKUP($A13,'Pre-Assessment Estimator'!$A$9:$V$100,T$2,FALSE))</f>
        <v/>
      </c>
      <c r="U13" s="747" t="str">
        <f>IF(VLOOKUP($A13,'Pre-Assessment Estimator'!$A$9:$V$100,U$2,FALSE)=0,"",VLOOKUP($A13,'Pre-Assessment Estimator'!$A$9:$V$100,U$2,FALSE))</f>
        <v/>
      </c>
      <c r="V13" s="491" t="str">
        <f>IF(VLOOKUP($A13,'Pre-Assessment Estimator'!$A$9:$V$100,V$2,FALSE)=0,"",VLOOKUP($A13,'Pre-Assessment Estimator'!$A$9:$V$100,V$2,FALSE))</f>
        <v/>
      </c>
      <c r="W13" s="880"/>
      <c r="X13" s="747" t="str">
        <f>IF(VLOOKUP($A13,'Pre-Assessment Estimator'!$A$9:$X$100,X$2,FALSE)=0,"",VLOOKUP($A13,'Pre-Assessment Estimator'!$A$9:$X$100,X$2,FALSE))</f>
        <v>No</v>
      </c>
      <c r="AB13" s="519">
        <f t="shared" si="0"/>
        <v>1</v>
      </c>
      <c r="AC13" s="103" t="e">
        <f>VLOOKUP(I13,'Assessment Details'!$L$45:$M$48,2,FALSE)</f>
        <v>#N/A</v>
      </c>
      <c r="AD13" s="103" t="e">
        <f>VLOOKUP(N13,'Assessment Details'!$L$45:$M$48,2,FALSE)</f>
        <v>#N/A</v>
      </c>
      <c r="AE13" s="103" t="e">
        <f>VLOOKUP(T13,'Assessment Details'!$L$45:$M$48,2,FALSE)</f>
        <v>#N/A</v>
      </c>
      <c r="AK13" s="546"/>
      <c r="AM13" s="545"/>
    </row>
    <row r="14" spans="1:49" x14ac:dyDescent="0.25">
      <c r="A14" s="399">
        <v>6</v>
      </c>
      <c r="B14" s="439" t="s">
        <v>66</v>
      </c>
      <c r="C14" s="743" t="str">
        <f>Man_05</f>
        <v>Man 05 Aftercare</v>
      </c>
      <c r="D14" s="744">
        <f>VLOOKUP($A14,'Pre-Assessment Estimator'!$A$9:$V$100,D$2,FALSE)</f>
        <v>3</v>
      </c>
      <c r="E14" s="744">
        <f>VLOOKUP($A14,'Pre-Assessment Estimator'!$A$9:$V$100,E$2,FALSE)</f>
        <v>0</v>
      </c>
      <c r="F14" s="745">
        <f>VLOOKUP($A14,'Pre-Assessment Estimator'!$A$9:$V$100,F$2,FALSE)</f>
        <v>0</v>
      </c>
      <c r="G14" s="752" t="str">
        <f>VLOOKUP($A14,'Pre-Assessment Estimator'!$A$9:$V$100,G$2,FALSE)</f>
        <v>Very Good</v>
      </c>
      <c r="H14" s="747" t="str">
        <f>IF(VLOOKUP($A14,'Pre-Assessment Estimator'!$A$9:$V$100,H$2,FALSE)=0,"",VLOOKUP($A14,'Pre-Assessment Estimator'!$A$9:$V$100,H$2,FALSE))</f>
        <v/>
      </c>
      <c r="I14" s="747" t="str">
        <f>IF(VLOOKUP($A14,'Pre-Assessment Estimator'!$A$9:$V$100,I$2,FALSE)=0,"",VLOOKUP($A14,'Pre-Assessment Estimator'!$A$9:$V$100,I$2,FALSE))</f>
        <v/>
      </c>
      <c r="J14" s="748" t="str">
        <f>IF(VLOOKUP($A14,'Pre-Assessment Estimator'!$A$9:$V$100,J$2,FALSE)=0,"",VLOOKUP($A14,'Pre-Assessment Estimator'!$A$9:$V$100,J$2,FALSE))</f>
        <v/>
      </c>
      <c r="K14" s="749"/>
      <c r="L14" s="750" t="str">
        <f>IF(VLOOKUP($A14,'Pre-Assessment Estimator'!$A$9:$V$100,L$2,FALSE)=0,"",VLOOKUP($A14,'Pre-Assessment Estimator'!$A$9:$V$100,L$2,FALSE))</f>
        <v/>
      </c>
      <c r="M14" s="747" t="str">
        <f>IF(VLOOKUP($A14,'Pre-Assessment Estimator'!$A$9:$V$100,M$2,FALSE)=0,"",VLOOKUP($A14,'Pre-Assessment Estimator'!$A$9:$V$100,M$2,FALSE))</f>
        <v/>
      </c>
      <c r="N14" s="747" t="str">
        <f>IF(VLOOKUP($A14,'Pre-Assessment Estimator'!$A$9:$V$100,N$2,FALSE)=0,"",VLOOKUP($A14,'Pre-Assessment Estimator'!$A$9:$V$100,N$2,FALSE))</f>
        <v/>
      </c>
      <c r="O14" s="747" t="str">
        <f>IF(VLOOKUP($A14,'Pre-Assessment Estimator'!$A$9:$V$100,O$2,FALSE)=0,"",VLOOKUP($A14,'Pre-Assessment Estimator'!$A$9:$V$100,O$2,FALSE))</f>
        <v/>
      </c>
      <c r="P14" s="748" t="str">
        <f>IF(VLOOKUP($A14,'Pre-Assessment Estimator'!$A$9:$V$100,P$2,FALSE)=0,"",VLOOKUP($A14,'Pre-Assessment Estimator'!$A$9:$V$100,P$2,FALSE))</f>
        <v/>
      </c>
      <c r="Q14" s="751"/>
      <c r="R14" s="750" t="str">
        <f>IF(VLOOKUP($A14,'Pre-Assessment Estimator'!$A$9:$V$100,R$2,FALSE)=0,"",VLOOKUP($A14,'Pre-Assessment Estimator'!$A$9:$V$100,R$2,FALSE))</f>
        <v/>
      </c>
      <c r="S14" s="747" t="str">
        <f>IF(VLOOKUP($A14,'Pre-Assessment Estimator'!$A$9:$V$100,S$2,FALSE)=0,"",VLOOKUP($A14,'Pre-Assessment Estimator'!$A$9:$V$100,S$2,FALSE))</f>
        <v/>
      </c>
      <c r="T14" s="747" t="str">
        <f>IF(VLOOKUP($A14,'Pre-Assessment Estimator'!$A$9:$V$100,T$2,FALSE)=0,"",VLOOKUP($A14,'Pre-Assessment Estimator'!$A$9:$V$100,T$2,FALSE))</f>
        <v/>
      </c>
      <c r="U14" s="747" t="str">
        <f>IF(VLOOKUP($A14,'Pre-Assessment Estimator'!$A$9:$V$100,U$2,FALSE)=0,"",VLOOKUP($A14,'Pre-Assessment Estimator'!$A$9:$V$100,U$2,FALSE))</f>
        <v/>
      </c>
      <c r="V14" s="491" t="str">
        <f>IF(VLOOKUP($A14,'Pre-Assessment Estimator'!$A$9:$V$100,V$2,FALSE)=0,"",VLOOKUP($A14,'Pre-Assessment Estimator'!$A$9:$V$100,V$2,FALSE))</f>
        <v/>
      </c>
      <c r="W14" s="880"/>
      <c r="X14" s="747" t="str">
        <f>IF(VLOOKUP($A14,'Pre-Assessment Estimator'!$A$9:$X$100,X$2,FALSE)=0,"",VLOOKUP($A14,'Pre-Assessment Estimator'!$A$9:$X$100,X$2,FALSE))</f>
        <v>No</v>
      </c>
      <c r="AB14" s="519">
        <f t="shared" si="0"/>
        <v>1</v>
      </c>
      <c r="AC14" s="520" t="e">
        <f>VLOOKUP(I14,'Assessment Details'!$L$45:$M$48,2,FALSE)</f>
        <v>#N/A</v>
      </c>
      <c r="AD14" s="520" t="e">
        <f>VLOOKUP(N14,'Assessment Details'!$L$45:$M$48,2,FALSE)</f>
        <v>#N/A</v>
      </c>
      <c r="AE14" s="520" t="e">
        <f>VLOOKUP(T14,'Assessment Details'!$L$45:$M$48,2,FALSE)</f>
        <v>#N/A</v>
      </c>
      <c r="AF14" s="547"/>
      <c r="AK14" s="546"/>
    </row>
    <row r="15" spans="1:49" ht="15.75" thickBot="1" x14ac:dyDescent="0.3">
      <c r="A15" s="399">
        <v>7</v>
      </c>
      <c r="B15" s="439" t="s">
        <v>66</v>
      </c>
      <c r="C15" s="753" t="s">
        <v>107</v>
      </c>
      <c r="D15" s="754">
        <f>VLOOKUP($A15,'Pre-Assessment Estimator'!$A$9:$V$100,D$2,FALSE)</f>
        <v>20</v>
      </c>
      <c r="E15" s="754">
        <f>SUM(E10:E14)</f>
        <v>0</v>
      </c>
      <c r="F15" s="755">
        <f>VLOOKUP($A15,'Pre-Assessment Estimator'!$A$9:$V$100,F$2,FALSE)</f>
        <v>0</v>
      </c>
      <c r="G15" s="747"/>
      <c r="H15" s="747" t="str">
        <f>IF(VLOOKUP($A15,'Pre-Assessment Estimator'!$A$9:$V$100,H$2,FALSE)=0,"",VLOOKUP($A15,'Pre-Assessment Estimator'!$A$9:$V$100,H$2,FALSE))</f>
        <v/>
      </c>
      <c r="I15" s="744" t="str">
        <f>IF(VLOOKUP($A15,'Pre-Assessment Estimator'!$A$9:$V$100,I$2,FALSE)=0,"",VLOOKUP($A15,'Pre-Assessment Estimator'!$A$9:$V$100,I$2,FALSE))</f>
        <v/>
      </c>
      <c r="J15" s="748" t="str">
        <f>IF(VLOOKUP($A15,'Pre-Assessment Estimator'!$A$9:$V$100,J$2,FALSE)=0,"",VLOOKUP($A15,'Pre-Assessment Estimator'!$A$9:$V$100,J$2,FALSE))</f>
        <v/>
      </c>
      <c r="K15" s="749"/>
      <c r="L15" s="756" t="str">
        <f>IF(VLOOKUP($A15,'Pre-Assessment Estimator'!$A$9:$V$100,L$2,FALSE)=0,"",VLOOKUP($A15,'Pre-Assessment Estimator'!$A$9:$V$100,L$2,FALSE))</f>
        <v/>
      </c>
      <c r="M15" s="747" t="str">
        <f>IF(VLOOKUP($A15,'Pre-Assessment Estimator'!$A$9:$V$100,M$2,FALSE)=0,"",VLOOKUP($A15,'Pre-Assessment Estimator'!$A$9:$V$100,M$2,FALSE))</f>
        <v/>
      </c>
      <c r="N15" s="744" t="str">
        <f>IF(VLOOKUP($A15,'Pre-Assessment Estimator'!$A$9:$V$100,N$2,FALSE)=0,"",VLOOKUP($A15,'Pre-Assessment Estimator'!$A$9:$V$100,N$2,FALSE))</f>
        <v/>
      </c>
      <c r="O15" s="747" t="str">
        <f>IF(VLOOKUP($A15,'Pre-Assessment Estimator'!$A$9:$V$100,O$2,FALSE)=0,"",VLOOKUP($A15,'Pre-Assessment Estimator'!$A$9:$V$100,O$2,FALSE))</f>
        <v/>
      </c>
      <c r="P15" s="748" t="str">
        <f>IF(VLOOKUP($A15,'Pre-Assessment Estimator'!$A$9:$V$100,P$2,FALSE)=0,"",VLOOKUP($A15,'Pre-Assessment Estimator'!$A$9:$V$100,P$2,FALSE))</f>
        <v/>
      </c>
      <c r="Q15" s="751"/>
      <c r="R15" s="756" t="str">
        <f>IF(VLOOKUP($A15,'Pre-Assessment Estimator'!$A$9:$V$100,R$2,FALSE)=0,"",VLOOKUP($A15,'Pre-Assessment Estimator'!$A$9:$V$100,R$2,FALSE))</f>
        <v/>
      </c>
      <c r="S15" s="747" t="str">
        <f>IF(VLOOKUP($A15,'Pre-Assessment Estimator'!$A$9:$V$100,S$2,FALSE)=0,"",VLOOKUP($A15,'Pre-Assessment Estimator'!$A$9:$V$100,S$2,FALSE))</f>
        <v/>
      </c>
      <c r="T15" s="744" t="str">
        <f>IF(VLOOKUP($A15,'Pre-Assessment Estimator'!$A$9:$V$100,T$2,FALSE)=0,"",VLOOKUP($A15,'Pre-Assessment Estimator'!$A$9:$V$100,T$2,FALSE))</f>
        <v/>
      </c>
      <c r="U15" s="747" t="str">
        <f>IF(VLOOKUP($A15,'Pre-Assessment Estimator'!$A$9:$V$100,U$2,FALSE)=0,"",VLOOKUP($A15,'Pre-Assessment Estimator'!$A$9:$V$100,U$2,FALSE))</f>
        <v/>
      </c>
      <c r="V15" s="491" t="str">
        <f>IF(VLOOKUP($A15,'Pre-Assessment Estimator'!$A$9:$V$100,V$2,FALSE)=0,"",VLOOKUP($A15,'Pre-Assessment Estimator'!$A$9:$V$100,V$2,FALSE))</f>
        <v/>
      </c>
      <c r="W15" s="880"/>
      <c r="X15" s="747" t="str">
        <f>IF(VLOOKUP($A15,'Pre-Assessment Estimator'!$A$9:$X$100,X$2,FALSE)=0,"",VLOOKUP($A15,'Pre-Assessment Estimator'!$A$9:$X$100,X$2,FALSE))</f>
        <v/>
      </c>
      <c r="AB15" s="519">
        <f t="shared" si="0"/>
        <v>1</v>
      </c>
      <c r="AC15" s="333">
        <v>0</v>
      </c>
      <c r="AD15" s="333">
        <v>0</v>
      </c>
      <c r="AE15" s="333">
        <v>0</v>
      </c>
      <c r="AF15" s="547"/>
      <c r="AK15" s="546"/>
    </row>
    <row r="16" spans="1:49" x14ac:dyDescent="0.25">
      <c r="A16" s="399">
        <v>8</v>
      </c>
      <c r="B16" s="439" t="s">
        <v>66</v>
      </c>
      <c r="C16" s="757"/>
      <c r="D16" s="758"/>
      <c r="E16" s="758"/>
      <c r="F16" s="758"/>
      <c r="G16" s="758"/>
      <c r="H16" s="757"/>
      <c r="I16" s="758"/>
      <c r="J16" s="757"/>
      <c r="K16" s="749"/>
      <c r="L16" s="758"/>
      <c r="M16" s="757"/>
      <c r="N16" s="758"/>
      <c r="O16" s="757"/>
      <c r="P16" s="757"/>
      <c r="Q16" s="751"/>
      <c r="R16" s="758"/>
      <c r="S16" s="757"/>
      <c r="T16" s="758"/>
      <c r="U16" s="757"/>
      <c r="V16" s="440"/>
      <c r="W16" s="881"/>
      <c r="X16" s="757"/>
      <c r="Y16" s="522"/>
      <c r="Z16" s="522"/>
      <c r="AA16" s="522"/>
      <c r="AB16" s="519">
        <f t="shared" si="0"/>
        <v>1</v>
      </c>
      <c r="AC16" s="335">
        <v>0</v>
      </c>
      <c r="AD16" s="335">
        <v>0</v>
      </c>
      <c r="AE16" s="335">
        <v>0</v>
      </c>
      <c r="AK16" s="546"/>
      <c r="AM16" s="519"/>
      <c r="AO16" s="519"/>
    </row>
    <row r="17" spans="1:41" ht="18.75" x14ac:dyDescent="0.25">
      <c r="A17" s="399">
        <v>9</v>
      </c>
      <c r="B17" s="439" t="s">
        <v>69</v>
      </c>
      <c r="C17" s="759" t="s">
        <v>69</v>
      </c>
      <c r="D17" s="739"/>
      <c r="E17" s="739"/>
      <c r="F17" s="739"/>
      <c r="G17" s="739"/>
      <c r="H17" s="740" t="str">
        <f>IF(VLOOKUP($A17,'Pre-Assessment Estimator'!$A$9:$V$100,H$2,FALSE)=0,"",VLOOKUP($A17,'Pre-Assessment Estimator'!$A$9:$V$100,H$2,FALSE))</f>
        <v/>
      </c>
      <c r="I17" s="739" t="str">
        <f>IF(VLOOKUP($A17,'Pre-Assessment Estimator'!$A$9:$V$100,I$2,FALSE)=0,"",VLOOKUP($A17,'Pre-Assessment Estimator'!$A$9:$V$100,I$2,FALSE))</f>
        <v/>
      </c>
      <c r="J17" s="740" t="str">
        <f>IF(VLOOKUP($A17,'Pre-Assessment Estimator'!$A$9:$V$100,J$2,FALSE)=0,"",VLOOKUP($A17,'Pre-Assessment Estimator'!$A$9:$V$100,J$2,FALSE))</f>
        <v/>
      </c>
      <c r="K17" s="749"/>
      <c r="L17" s="739" t="str">
        <f>IF(VLOOKUP($A17,'Pre-Assessment Estimator'!$A$9:$V$100,L$2,FALSE)=0,"",VLOOKUP($A17,'Pre-Assessment Estimator'!$A$9:$V$100,L$2,FALSE))</f>
        <v/>
      </c>
      <c r="M17" s="740" t="str">
        <f>IF(VLOOKUP($A17,'Pre-Assessment Estimator'!$A$9:$V$100,M$2,FALSE)=0,"",VLOOKUP($A17,'Pre-Assessment Estimator'!$A$9:$V$100,M$2,FALSE))</f>
        <v/>
      </c>
      <c r="N17" s="739" t="str">
        <f>IF(VLOOKUP($A17,'Pre-Assessment Estimator'!$A$9:$V$100,N$2,FALSE)=0,"",VLOOKUP($A17,'Pre-Assessment Estimator'!$A$9:$V$100,N$2,FALSE))</f>
        <v/>
      </c>
      <c r="O17" s="740" t="str">
        <f>IF(VLOOKUP($A17,'Pre-Assessment Estimator'!$A$9:$V$100,O$2,FALSE)=0,"",VLOOKUP($A17,'Pre-Assessment Estimator'!$A$9:$V$100,O$2,FALSE))</f>
        <v/>
      </c>
      <c r="P17" s="740" t="str">
        <f>IF(VLOOKUP($A17,'Pre-Assessment Estimator'!$A$9:$V$100,P$2,FALSE)=0,"",VLOOKUP($A17,'Pre-Assessment Estimator'!$A$9:$V$100,P$2,FALSE))</f>
        <v/>
      </c>
      <c r="Q17" s="751"/>
      <c r="R17" s="739" t="str">
        <f>IF(VLOOKUP($A17,'Pre-Assessment Estimator'!$A$9:$V$100,R$2,FALSE)=0,"",VLOOKUP($A17,'Pre-Assessment Estimator'!$A$9:$V$100,R$2,FALSE))</f>
        <v/>
      </c>
      <c r="S17" s="740" t="str">
        <f>IF(VLOOKUP($A17,'Pre-Assessment Estimator'!$A$9:$V$100,S$2,FALSE)=0,"",VLOOKUP($A17,'Pre-Assessment Estimator'!$A$9:$V$100,S$2,FALSE))</f>
        <v/>
      </c>
      <c r="T17" s="739" t="str">
        <f>IF(VLOOKUP($A17,'Pre-Assessment Estimator'!$A$9:$V$100,T$2,FALSE)=0,"",VLOOKUP($A17,'Pre-Assessment Estimator'!$A$9:$V$100,T$2,FALSE))</f>
        <v/>
      </c>
      <c r="U17" s="740" t="str">
        <f>IF(VLOOKUP($A17,'Pre-Assessment Estimator'!$A$9:$V$100,U$2,FALSE)=0,"",VLOOKUP($A17,'Pre-Assessment Estimator'!$A$9:$V$100,U$2,FALSE))</f>
        <v/>
      </c>
      <c r="V17" s="544" t="str">
        <f>IF(VLOOKUP($A17,'Pre-Assessment Estimator'!$A$9:$V$100,V$2,FALSE)=0,"",VLOOKUP($A17,'Pre-Assessment Estimator'!$A$9:$V$100,V$2,FALSE))</f>
        <v/>
      </c>
      <c r="W17" s="879"/>
      <c r="X17" s="883"/>
      <c r="AB17" s="519">
        <f t="shared" si="0"/>
        <v>1</v>
      </c>
      <c r="AC17" s="331">
        <v>0</v>
      </c>
      <c r="AD17" s="331">
        <v>0</v>
      </c>
      <c r="AE17" s="331">
        <v>0</v>
      </c>
      <c r="AK17" s="546"/>
      <c r="AM17" s="519"/>
      <c r="AO17" s="519"/>
    </row>
    <row r="18" spans="1:41" x14ac:dyDescent="0.25">
      <c r="A18" s="399">
        <v>10</v>
      </c>
      <c r="B18" s="439" t="s">
        <v>69</v>
      </c>
      <c r="C18" s="743" t="str">
        <f>Hea_01</f>
        <v>Hea 01 Visual comfort</v>
      </c>
      <c r="D18" s="744">
        <f>VLOOKUP($A18,'Pre-Assessment Estimator'!$A$9:$V$100,D$2,FALSE)</f>
        <v>4</v>
      </c>
      <c r="E18" s="744">
        <f>VLOOKUP($A18,'Pre-Assessment Estimator'!$A$9:$V$100,E$2,FALSE)</f>
        <v>0</v>
      </c>
      <c r="F18" s="745">
        <f>VLOOKUP($A18,'Pre-Assessment Estimator'!$A$9:$V$100,F$2,FALSE)</f>
        <v>0</v>
      </c>
      <c r="G18" s="760" t="str">
        <f>VLOOKUP($A18,'Pre-Assessment Estimator'!$A$9:$V$100,G$2,FALSE)</f>
        <v>Unclassified</v>
      </c>
      <c r="H18" s="747" t="str">
        <f>IF(VLOOKUP($A18,'Pre-Assessment Estimator'!$A$9:$V$100,H$2,FALSE)=0,"",VLOOKUP($A18,'Pre-Assessment Estimator'!$A$9:$V$100,H$2,FALSE))</f>
        <v/>
      </c>
      <c r="I18" s="747" t="str">
        <f>IF(VLOOKUP($A18,'Pre-Assessment Estimator'!$A$9:$V$100,I$2,FALSE)=0,"",VLOOKUP($A18,'Pre-Assessment Estimator'!$A$9:$V$100,I$2,FALSE))</f>
        <v/>
      </c>
      <c r="J18" s="748" t="str">
        <f>IF(VLOOKUP($A18,'Pre-Assessment Estimator'!$A$9:$V$100,J$2,FALSE)=0,"",VLOOKUP($A18,'Pre-Assessment Estimator'!$A$9:$V$100,J$2,FALSE))</f>
        <v/>
      </c>
      <c r="K18" s="749"/>
      <c r="L18" s="750" t="str">
        <f>IF(VLOOKUP($A18,'Pre-Assessment Estimator'!$A$9:$V$100,L$2,FALSE)=0,"",VLOOKUP($A18,'Pre-Assessment Estimator'!$A$9:$V$100,L$2,FALSE))</f>
        <v/>
      </c>
      <c r="M18" s="747" t="str">
        <f>IF(VLOOKUP($A18,'Pre-Assessment Estimator'!$A$9:$V$100,M$2,FALSE)=0,"",VLOOKUP($A18,'Pre-Assessment Estimator'!$A$9:$V$100,M$2,FALSE))</f>
        <v/>
      </c>
      <c r="N18" s="747" t="str">
        <f>IF(VLOOKUP($A18,'Pre-Assessment Estimator'!$A$9:$V$100,N$2,FALSE)=0,"",VLOOKUP($A18,'Pre-Assessment Estimator'!$A$9:$V$100,N$2,FALSE))</f>
        <v xml:space="preserve"> </v>
      </c>
      <c r="O18" s="747" t="str">
        <f>IF(VLOOKUP($A18,'Pre-Assessment Estimator'!$A$9:$V$100,O$2,FALSE)=0,"",VLOOKUP($A18,'Pre-Assessment Estimator'!$A$9:$V$100,O$2,FALSE))</f>
        <v/>
      </c>
      <c r="P18" s="748" t="str">
        <f>IF(VLOOKUP($A18,'Pre-Assessment Estimator'!$A$9:$V$100,P$2,FALSE)=0,"",VLOOKUP($A18,'Pre-Assessment Estimator'!$A$9:$V$100,P$2,FALSE))</f>
        <v/>
      </c>
      <c r="Q18" s="751"/>
      <c r="R18" s="750" t="str">
        <f>IF(VLOOKUP($A18,'Pre-Assessment Estimator'!$A$9:$V$100,R$2,FALSE)=0,"",VLOOKUP($A18,'Pre-Assessment Estimator'!$A$9:$V$100,R$2,FALSE))</f>
        <v/>
      </c>
      <c r="S18" s="747" t="str">
        <f>IF(VLOOKUP($A18,'Pre-Assessment Estimator'!$A$9:$V$100,S$2,FALSE)=0,"",VLOOKUP($A18,'Pre-Assessment Estimator'!$A$9:$V$100,S$2,FALSE))</f>
        <v/>
      </c>
      <c r="T18" s="747" t="str">
        <f>IF(VLOOKUP($A18,'Pre-Assessment Estimator'!$A$9:$V$100,T$2,FALSE)=0,"",VLOOKUP($A18,'Pre-Assessment Estimator'!$A$9:$V$100,T$2,FALSE))</f>
        <v xml:space="preserve"> </v>
      </c>
      <c r="U18" s="747" t="str">
        <f>IF(VLOOKUP($A18,'Pre-Assessment Estimator'!$A$9:$V$100,U$2,FALSE)=0,"",VLOOKUP($A18,'Pre-Assessment Estimator'!$A$9:$V$100,U$2,FALSE))</f>
        <v/>
      </c>
      <c r="V18" s="491" t="str">
        <f>IF(VLOOKUP($A18,'Pre-Assessment Estimator'!$A$9:$V$100,V$2,FALSE)=0,"",VLOOKUP($A18,'Pre-Assessment Estimator'!$A$9:$V$100,V$2,FALSE))</f>
        <v/>
      </c>
      <c r="W18" s="880"/>
      <c r="X18" s="747" t="str">
        <f>IF(VLOOKUP($A18,'Pre-Assessment Estimator'!$A$9:$X$100,X$2,FALSE)=0,"",VLOOKUP($A18,'Pre-Assessment Estimator'!$A$9:$X$100,X$2,FALSE))</f>
        <v>No</v>
      </c>
      <c r="AB18" s="519">
        <f t="shared" si="0"/>
        <v>1</v>
      </c>
      <c r="AC18" s="103" t="e">
        <f>VLOOKUP(I18,'Assessment Details'!$L$45:$M$48,2,FALSE)</f>
        <v>#N/A</v>
      </c>
      <c r="AD18" s="103">
        <f>VLOOKUP(N18,'Assessment Details'!$L$45:$M$48,2,FALSE)</f>
        <v>4</v>
      </c>
      <c r="AE18" s="103">
        <f>VLOOKUP(T18,'Assessment Details'!$L$45:$M$48,2,FALSE)</f>
        <v>4</v>
      </c>
      <c r="AM18" s="519"/>
      <c r="AO18" s="519"/>
    </row>
    <row r="19" spans="1:41" x14ac:dyDescent="0.25">
      <c r="A19" s="399">
        <v>11</v>
      </c>
      <c r="B19" s="439" t="s">
        <v>69</v>
      </c>
      <c r="C19" s="743" t="str">
        <f>Hea01_Crit1</f>
        <v>Hea 01 Visual comfort - Criteria 1</v>
      </c>
      <c r="D19" s="744" t="str">
        <f>VLOOKUP($A19,'Pre-Assessment Estimator'!$A$9:$V$100,D$2,FALSE)</f>
        <v>Yes/No</v>
      </c>
      <c r="E19" s="744">
        <f>VLOOKUP($A19,'Pre-Assessment Estimator'!$A$9:$V$100,E$2,FALSE)</f>
        <v>0</v>
      </c>
      <c r="F19" s="745" t="str">
        <f>VLOOKUP($A19,'Pre-Assessment Estimator'!$A$9:$V$100,F$2,FALSE)</f>
        <v>-</v>
      </c>
      <c r="G19" s="760" t="str">
        <f>VLOOKUP($A19,'Pre-Assessment Estimator'!$A$9:$V$100,G$2,FALSE)</f>
        <v>Unclassified</v>
      </c>
      <c r="H19" s="747" t="str">
        <f>IF(VLOOKUP($A19,'Pre-Assessment Estimator'!$A$9:$V$100,H$2,FALSE)=0,"",VLOOKUP($A19,'Pre-Assessment Estimator'!$A$9:$V$100,H$2,FALSE))</f>
        <v/>
      </c>
      <c r="I19" s="747" t="str">
        <f>IF(VLOOKUP($A19,'Pre-Assessment Estimator'!$A$9:$V$100,I$2,FALSE)=0,"",VLOOKUP($A19,'Pre-Assessment Estimator'!$A$9:$V$100,I$2,FALSE))</f>
        <v/>
      </c>
      <c r="J19" s="748" t="str">
        <f>IF(VLOOKUP($A19,'Pre-Assessment Estimator'!$A$9:$V$100,J$2,FALSE)=0,"",VLOOKUP($A19,'Pre-Assessment Estimator'!$A$9:$V$100,J$2,FALSE))</f>
        <v/>
      </c>
      <c r="K19" s="749"/>
      <c r="L19" s="750" t="str">
        <f>IF(VLOOKUP($A19,'Pre-Assessment Estimator'!$A$9:$V$100,L$2,FALSE)=0,"",VLOOKUP($A19,'Pre-Assessment Estimator'!$A$9:$V$100,L$2,FALSE))</f>
        <v/>
      </c>
      <c r="M19" s="747" t="str">
        <f>IF(VLOOKUP($A19,'Pre-Assessment Estimator'!$A$9:$V$100,M$2,FALSE)=0,"",VLOOKUP($A19,'Pre-Assessment Estimator'!$A$9:$V$100,M$2,FALSE))</f>
        <v/>
      </c>
      <c r="N19" s="747" t="str">
        <f>IF(VLOOKUP($A19,'Pre-Assessment Estimator'!$A$9:$V$100,N$2,FALSE)=0,"",VLOOKUP($A19,'Pre-Assessment Estimator'!$A$9:$V$100,N$2,FALSE))</f>
        <v xml:space="preserve"> </v>
      </c>
      <c r="O19" s="747" t="str">
        <f>IF(VLOOKUP($A19,'Pre-Assessment Estimator'!$A$9:$V$100,O$2,FALSE)=0,"",VLOOKUP($A19,'Pre-Assessment Estimator'!$A$9:$V$100,O$2,FALSE))</f>
        <v/>
      </c>
      <c r="P19" s="748" t="str">
        <f>IF(VLOOKUP($A19,'Pre-Assessment Estimator'!$A$9:$V$100,P$2,FALSE)=0,"",VLOOKUP($A19,'Pre-Assessment Estimator'!$A$9:$V$100,P$2,FALSE))</f>
        <v/>
      </c>
      <c r="Q19" s="751"/>
      <c r="R19" s="750" t="str">
        <f>IF(VLOOKUP($A19,'Pre-Assessment Estimator'!$A$9:$V$100,R$2,FALSE)=0,"",VLOOKUP($A19,'Pre-Assessment Estimator'!$A$9:$V$100,R$2,FALSE))</f>
        <v/>
      </c>
      <c r="S19" s="747" t="str">
        <f>IF(VLOOKUP($A19,'Pre-Assessment Estimator'!$A$9:$V$100,S$2,FALSE)=0,"",VLOOKUP($A19,'Pre-Assessment Estimator'!$A$9:$V$100,S$2,FALSE))</f>
        <v/>
      </c>
      <c r="T19" s="747" t="str">
        <f>IF(VLOOKUP($A19,'Pre-Assessment Estimator'!$A$9:$V$100,T$2,FALSE)=0,"",VLOOKUP($A19,'Pre-Assessment Estimator'!$A$9:$V$100,T$2,FALSE))</f>
        <v/>
      </c>
      <c r="U19" s="747" t="str">
        <f>IF(VLOOKUP($A19,'Pre-Assessment Estimator'!$A$9:$V$100,U$2,FALSE)=0,"",VLOOKUP($A19,'Pre-Assessment Estimator'!$A$9:$V$100,U$2,FALSE))</f>
        <v/>
      </c>
      <c r="V19" s="491" t="str">
        <f>IF(VLOOKUP($A19,'Pre-Assessment Estimator'!$A$9:$V$100,V$2,FALSE)=0,"",VLOOKUP($A19,'Pre-Assessment Estimator'!$A$9:$V$100,V$2,FALSE))</f>
        <v/>
      </c>
      <c r="W19" s="880"/>
      <c r="X19" s="747" t="str">
        <f>IF(VLOOKUP($A19,'Pre-Assessment Estimator'!$A$9:$X$100,X$2,FALSE)=0,"",VLOOKUP($A19,'Pre-Assessment Estimator'!$A$9:$X$100,X$2,FALSE))</f>
        <v>N/A</v>
      </c>
      <c r="AB19" s="519">
        <f t="shared" si="0"/>
        <v>1</v>
      </c>
      <c r="AC19" s="103" t="e">
        <f>VLOOKUP(I19,'Assessment Details'!$L$45:$M$48,2,FALSE)</f>
        <v>#N/A</v>
      </c>
      <c r="AD19" s="103">
        <f>VLOOKUP(N19,'Assessment Details'!$L$45:$M$48,2,FALSE)</f>
        <v>4</v>
      </c>
      <c r="AE19" s="103" t="e">
        <f>VLOOKUP(T19,'Assessment Details'!$L$45:$M$48,2,FALSE)</f>
        <v>#N/A</v>
      </c>
      <c r="AM19" s="519"/>
      <c r="AO19" s="519"/>
    </row>
    <row r="20" spans="1:41" x14ac:dyDescent="0.25">
      <c r="A20" s="399">
        <v>12</v>
      </c>
      <c r="B20" s="439" t="s">
        <v>69</v>
      </c>
      <c r="C20" s="743" t="str">
        <f>Hea_02</f>
        <v>Hea 02 Indoor air quality</v>
      </c>
      <c r="D20" s="744">
        <f>VLOOKUP($A20,'Pre-Assessment Estimator'!$A$9:$V$100,D$2,FALSE)</f>
        <v>5</v>
      </c>
      <c r="E20" s="744">
        <f>VLOOKUP($A20,'Pre-Assessment Estimator'!$A$9:$V$100,E$2,FALSE)</f>
        <v>0</v>
      </c>
      <c r="F20" s="745">
        <f>VLOOKUP($A20,'Pre-Assessment Estimator'!$A$9:$V$100,F$2,FALSE)</f>
        <v>0</v>
      </c>
      <c r="G20" s="752" t="str">
        <f>VLOOKUP($A20,'Pre-Assessment Estimator'!$A$9:$V$100,G$2,FALSE)</f>
        <v>Good</v>
      </c>
      <c r="H20" s="747" t="str">
        <f>IF(VLOOKUP($A20,'Pre-Assessment Estimator'!$A$9:$V$100,H$2,FALSE)=0,"",VLOOKUP($A20,'Pre-Assessment Estimator'!$A$9:$V$100,H$2,FALSE))</f>
        <v/>
      </c>
      <c r="I20" s="747" t="str">
        <f>IF(VLOOKUP($A20,'Pre-Assessment Estimator'!$A$9:$V$100,I$2,FALSE)=0,"",VLOOKUP($A20,'Pre-Assessment Estimator'!$A$9:$V$100,I$2,FALSE))</f>
        <v/>
      </c>
      <c r="J20" s="748" t="str">
        <f>IF(VLOOKUP($A20,'Pre-Assessment Estimator'!$A$9:$V$100,J$2,FALSE)=0,"",VLOOKUP($A20,'Pre-Assessment Estimator'!$A$9:$V$100,J$2,FALSE))</f>
        <v/>
      </c>
      <c r="K20" s="749"/>
      <c r="L20" s="750" t="str">
        <f>IF(VLOOKUP($A20,'Pre-Assessment Estimator'!$A$9:$V$100,L$2,FALSE)=0,"",VLOOKUP($A20,'Pre-Assessment Estimator'!$A$9:$V$100,L$2,FALSE))</f>
        <v/>
      </c>
      <c r="M20" s="747" t="str">
        <f>IF(VLOOKUP($A20,'Pre-Assessment Estimator'!$A$9:$V$100,M$2,FALSE)=0,"",VLOOKUP($A20,'Pre-Assessment Estimator'!$A$9:$V$100,M$2,FALSE))</f>
        <v/>
      </c>
      <c r="N20" s="747" t="str">
        <f>IF(VLOOKUP($A20,'Pre-Assessment Estimator'!$A$9:$V$100,N$2,FALSE)=0,"",VLOOKUP($A20,'Pre-Assessment Estimator'!$A$9:$V$100,N$2,FALSE))</f>
        <v/>
      </c>
      <c r="O20" s="747" t="str">
        <f>IF(VLOOKUP($A20,'Pre-Assessment Estimator'!$A$9:$V$100,O$2,FALSE)=0,"",VLOOKUP($A20,'Pre-Assessment Estimator'!$A$9:$V$100,O$2,FALSE))</f>
        <v/>
      </c>
      <c r="P20" s="748" t="str">
        <f>IF(VLOOKUP($A20,'Pre-Assessment Estimator'!$A$9:$V$100,P$2,FALSE)=0,"",VLOOKUP($A20,'Pre-Assessment Estimator'!$A$9:$V$100,P$2,FALSE))</f>
        <v/>
      </c>
      <c r="Q20" s="751"/>
      <c r="R20" s="750" t="str">
        <f>IF(VLOOKUP($A20,'Pre-Assessment Estimator'!$A$9:$V$100,R$2,FALSE)=0,"",VLOOKUP($A20,'Pre-Assessment Estimator'!$A$9:$V$100,R$2,FALSE))</f>
        <v/>
      </c>
      <c r="S20" s="747" t="str">
        <f>IF(VLOOKUP($A20,'Pre-Assessment Estimator'!$A$9:$V$100,S$2,FALSE)=0,"",VLOOKUP($A20,'Pre-Assessment Estimator'!$A$9:$V$100,S$2,FALSE))</f>
        <v/>
      </c>
      <c r="T20" s="747" t="str">
        <f>IF(VLOOKUP($A20,'Pre-Assessment Estimator'!$A$9:$V$100,T$2,FALSE)=0,"",VLOOKUP($A20,'Pre-Assessment Estimator'!$A$9:$V$100,T$2,FALSE))</f>
        <v xml:space="preserve"> </v>
      </c>
      <c r="U20" s="747" t="str">
        <f>IF(VLOOKUP($A20,'Pre-Assessment Estimator'!$A$9:$V$100,U$2,FALSE)=0,"",VLOOKUP($A20,'Pre-Assessment Estimator'!$A$9:$V$100,U$2,FALSE))</f>
        <v/>
      </c>
      <c r="V20" s="491" t="str">
        <f>IF(VLOOKUP($A20,'Pre-Assessment Estimator'!$A$9:$V$100,V$2,FALSE)=0,"",VLOOKUP($A20,'Pre-Assessment Estimator'!$A$9:$V$100,V$2,FALSE))</f>
        <v/>
      </c>
      <c r="W20" s="880"/>
      <c r="X20" s="747" t="str">
        <f>IF(VLOOKUP($A20,'Pre-Assessment Estimator'!$A$9:$X$100,X$2,FALSE)=0,"",VLOOKUP($A20,'Pre-Assessment Estimator'!$A$9:$X$100,X$2,FALSE))</f>
        <v>O2: VOC (AC 8-9: -1,0 c)</v>
      </c>
      <c r="AB20" s="519">
        <f t="shared" si="0"/>
        <v>1</v>
      </c>
      <c r="AC20" s="103" t="e">
        <f>VLOOKUP(I20,'Assessment Details'!$L$45:$M$48,2,FALSE)</f>
        <v>#N/A</v>
      </c>
      <c r="AD20" s="103" t="e">
        <f>VLOOKUP(N20,'Assessment Details'!$L$45:$M$48,2,FALSE)</f>
        <v>#N/A</v>
      </c>
      <c r="AE20" s="103">
        <f>VLOOKUP(T20,'Assessment Details'!$L$45:$M$48,2,FALSE)</f>
        <v>4</v>
      </c>
      <c r="AM20" s="519"/>
      <c r="AN20" s="519"/>
      <c r="AO20" s="519"/>
    </row>
    <row r="21" spans="1:41" x14ac:dyDescent="0.25">
      <c r="A21" s="399">
        <v>13</v>
      </c>
      <c r="B21" s="439" t="s">
        <v>69</v>
      </c>
      <c r="C21" s="743" t="str">
        <f>Hea_03</f>
        <v>Hea 03 Thermal comfort</v>
      </c>
      <c r="D21" s="744">
        <f>VLOOKUP($A21,'Pre-Assessment Estimator'!$A$9:$V$100,D$2,FALSE)</f>
        <v>2</v>
      </c>
      <c r="E21" s="744">
        <f>VLOOKUP($A21,'Pre-Assessment Estimator'!$A$9:$V$100,E$2,FALSE)</f>
        <v>0</v>
      </c>
      <c r="F21" s="745">
        <f>VLOOKUP($A21,'Pre-Assessment Estimator'!$A$9:$V$100,F$2,FALSE)</f>
        <v>0</v>
      </c>
      <c r="G21" s="752" t="str">
        <f>VLOOKUP($A21,'Pre-Assessment Estimator'!$A$9:$V$100,G$2,FALSE)</f>
        <v>N/A</v>
      </c>
      <c r="H21" s="747" t="str">
        <f>IF(VLOOKUP($A21,'Pre-Assessment Estimator'!$A$9:$V$100,H$2,FALSE)=0,"",VLOOKUP($A21,'Pre-Assessment Estimator'!$A$9:$V$100,H$2,FALSE))</f>
        <v/>
      </c>
      <c r="I21" s="747" t="str">
        <f>IF(VLOOKUP($A21,'Pre-Assessment Estimator'!$A$9:$V$100,I$2,FALSE)=0,"",VLOOKUP($A21,'Pre-Assessment Estimator'!$A$9:$V$100,I$2,FALSE))</f>
        <v xml:space="preserve"> </v>
      </c>
      <c r="J21" s="748" t="str">
        <f>IF(VLOOKUP($A21,'Pre-Assessment Estimator'!$A$9:$V$100,J$2,FALSE)=0,"",VLOOKUP($A21,'Pre-Assessment Estimator'!$A$9:$V$100,J$2,FALSE))</f>
        <v/>
      </c>
      <c r="K21" s="749"/>
      <c r="L21" s="750" t="str">
        <f>IF(VLOOKUP($A21,'Pre-Assessment Estimator'!$A$9:$V$100,L$2,FALSE)=0,"",VLOOKUP($A21,'Pre-Assessment Estimator'!$A$9:$V$100,L$2,FALSE))</f>
        <v/>
      </c>
      <c r="M21" s="747" t="str">
        <f>IF(VLOOKUP($A21,'Pre-Assessment Estimator'!$A$9:$V$100,M$2,FALSE)=0,"",VLOOKUP($A21,'Pre-Assessment Estimator'!$A$9:$V$100,M$2,FALSE))</f>
        <v/>
      </c>
      <c r="N21" s="747" t="str">
        <f>IF(VLOOKUP($A21,'Pre-Assessment Estimator'!$A$9:$V$100,N$2,FALSE)=0,"",VLOOKUP($A21,'Pre-Assessment Estimator'!$A$9:$V$100,N$2,FALSE))</f>
        <v/>
      </c>
      <c r="O21" s="747" t="str">
        <f>IF(VLOOKUP($A21,'Pre-Assessment Estimator'!$A$9:$V$100,O$2,FALSE)=0,"",VLOOKUP($A21,'Pre-Assessment Estimator'!$A$9:$V$100,O$2,FALSE))</f>
        <v/>
      </c>
      <c r="P21" s="748" t="str">
        <f>IF(VLOOKUP($A21,'Pre-Assessment Estimator'!$A$9:$V$100,P$2,FALSE)=0,"",VLOOKUP($A21,'Pre-Assessment Estimator'!$A$9:$V$100,P$2,FALSE))</f>
        <v/>
      </c>
      <c r="Q21" s="751"/>
      <c r="R21" s="750" t="str">
        <f>IF(VLOOKUP($A21,'Pre-Assessment Estimator'!$A$9:$V$100,R$2,FALSE)=0,"",VLOOKUP($A21,'Pre-Assessment Estimator'!$A$9:$V$100,R$2,FALSE))</f>
        <v/>
      </c>
      <c r="S21" s="747" t="str">
        <f>IF(VLOOKUP($A21,'Pre-Assessment Estimator'!$A$9:$V$100,S$2,FALSE)=0,"",VLOOKUP($A21,'Pre-Assessment Estimator'!$A$9:$V$100,S$2,FALSE))</f>
        <v/>
      </c>
      <c r="T21" s="747" t="str">
        <f>IF(VLOOKUP($A21,'Pre-Assessment Estimator'!$A$9:$V$100,T$2,FALSE)=0,"",VLOOKUP($A21,'Pre-Assessment Estimator'!$A$9:$V$100,T$2,FALSE))</f>
        <v/>
      </c>
      <c r="U21" s="747" t="str">
        <f>IF(VLOOKUP($A21,'Pre-Assessment Estimator'!$A$9:$V$100,U$2,FALSE)=0,"",VLOOKUP($A21,'Pre-Assessment Estimator'!$A$9:$V$100,U$2,FALSE))</f>
        <v/>
      </c>
      <c r="V21" s="491" t="str">
        <f>IF(VLOOKUP($A21,'Pre-Assessment Estimator'!$A$9:$V$100,V$2,FALSE)=0,"",VLOOKUP($A21,'Pre-Assessment Estimator'!$A$9:$V$100,V$2,FALSE))</f>
        <v/>
      </c>
      <c r="W21" s="880"/>
      <c r="X21" s="747" t="str">
        <f>IF(VLOOKUP($A21,'Pre-Assessment Estimator'!$A$9:$X$100,X$2,FALSE)=0,"",VLOOKUP($A21,'Pre-Assessment Estimator'!$A$9:$X$100,X$2,FALSE))</f>
        <v>No</v>
      </c>
      <c r="AB21" s="519">
        <f t="shared" si="0"/>
        <v>1</v>
      </c>
      <c r="AC21" s="103">
        <f>VLOOKUP(I21,'Assessment Details'!$L$45:$M$48,2,FALSE)</f>
        <v>4</v>
      </c>
      <c r="AD21" s="103" t="e">
        <f>VLOOKUP(N21,'Assessment Details'!$L$45:$M$48,2,FALSE)</f>
        <v>#N/A</v>
      </c>
      <c r="AE21" s="103" t="e">
        <f>VLOOKUP(T21,'Assessment Details'!$L$45:$M$48,2,FALSE)</f>
        <v>#N/A</v>
      </c>
      <c r="AM21" s="519"/>
      <c r="AN21" s="519"/>
      <c r="AO21" s="519"/>
    </row>
    <row r="22" spans="1:41" x14ac:dyDescent="0.25">
      <c r="A22" s="399">
        <v>14</v>
      </c>
      <c r="B22" s="439" t="s">
        <v>69</v>
      </c>
      <c r="C22" s="743" t="str">
        <f>Hea_04</f>
        <v>Hea 04 Microbial contamination</v>
      </c>
      <c r="D22" s="744">
        <f>VLOOKUP($A22,'Pre-Assessment Estimator'!$A$9:$V$100,D$2,FALSE)</f>
        <v>1</v>
      </c>
      <c r="E22" s="744">
        <f>VLOOKUP($A22,'Pre-Assessment Estimator'!$A$9:$V$100,E$2,FALSE)</f>
        <v>0</v>
      </c>
      <c r="F22" s="745">
        <f>VLOOKUP($A22,'Pre-Assessment Estimator'!$A$9:$V$100,F$2,FALSE)</f>
        <v>0</v>
      </c>
      <c r="G22" s="752" t="str">
        <f>VLOOKUP($A22,'Pre-Assessment Estimator'!$A$9:$V$100,G$2,FALSE)</f>
        <v>N/A</v>
      </c>
      <c r="H22" s="747" t="str">
        <f>IF(VLOOKUP($A22,'Pre-Assessment Estimator'!$A$9:$V$100,H$2,FALSE)=0,"",VLOOKUP($A22,'Pre-Assessment Estimator'!$A$9:$V$100,H$2,FALSE))</f>
        <v/>
      </c>
      <c r="I22" s="747" t="str">
        <f>IF(VLOOKUP($A22,'Pre-Assessment Estimator'!$A$9:$V$100,I$2,FALSE)=0,"",VLOOKUP($A22,'Pre-Assessment Estimator'!$A$9:$V$100,I$2,FALSE))</f>
        <v/>
      </c>
      <c r="J22" s="748" t="str">
        <f>IF(VLOOKUP($A22,'Pre-Assessment Estimator'!$A$9:$V$100,J$2,FALSE)=0,"",VLOOKUP($A22,'Pre-Assessment Estimator'!$A$9:$V$100,J$2,FALSE))</f>
        <v/>
      </c>
      <c r="K22" s="749"/>
      <c r="L22" s="750" t="str">
        <f>IF(VLOOKUP($A22,'Pre-Assessment Estimator'!$A$9:$V$100,L$2,FALSE)=0,"",VLOOKUP($A22,'Pre-Assessment Estimator'!$A$9:$V$100,L$2,FALSE))</f>
        <v/>
      </c>
      <c r="M22" s="747" t="str">
        <f>IF(VLOOKUP($A22,'Pre-Assessment Estimator'!$A$9:$V$100,M$2,FALSE)=0,"",VLOOKUP($A22,'Pre-Assessment Estimator'!$A$9:$V$100,M$2,FALSE))</f>
        <v/>
      </c>
      <c r="N22" s="747" t="str">
        <f>IF(VLOOKUP($A22,'Pre-Assessment Estimator'!$A$9:$V$100,N$2,FALSE)=0,"",VLOOKUP($A22,'Pre-Assessment Estimator'!$A$9:$V$100,N$2,FALSE))</f>
        <v/>
      </c>
      <c r="O22" s="747" t="str">
        <f>IF(VLOOKUP($A22,'Pre-Assessment Estimator'!$A$9:$V$100,O$2,FALSE)=0,"",VLOOKUP($A22,'Pre-Assessment Estimator'!$A$9:$V$100,O$2,FALSE))</f>
        <v/>
      </c>
      <c r="P22" s="748" t="str">
        <f>IF(VLOOKUP($A22,'Pre-Assessment Estimator'!$A$9:$V$100,P$2,FALSE)=0,"",VLOOKUP($A22,'Pre-Assessment Estimator'!$A$9:$V$100,P$2,FALSE))</f>
        <v/>
      </c>
      <c r="Q22" s="751"/>
      <c r="R22" s="750" t="str">
        <f>IF(VLOOKUP($A22,'Pre-Assessment Estimator'!$A$9:$V$100,R$2,FALSE)=0,"",VLOOKUP($A22,'Pre-Assessment Estimator'!$A$9:$V$100,R$2,FALSE))</f>
        <v/>
      </c>
      <c r="S22" s="747" t="str">
        <f>IF(VLOOKUP($A22,'Pre-Assessment Estimator'!$A$9:$V$100,S$2,FALSE)=0,"",VLOOKUP($A22,'Pre-Assessment Estimator'!$A$9:$V$100,S$2,FALSE))</f>
        <v/>
      </c>
      <c r="T22" s="747" t="str">
        <f>IF(VLOOKUP($A22,'Pre-Assessment Estimator'!$A$9:$V$100,T$2,FALSE)=0,"",VLOOKUP($A22,'Pre-Assessment Estimator'!$A$9:$V$100,T$2,FALSE))</f>
        <v/>
      </c>
      <c r="U22" s="747" t="str">
        <f>IF(VLOOKUP($A22,'Pre-Assessment Estimator'!$A$9:$V$100,U$2,FALSE)=0,"",VLOOKUP($A22,'Pre-Assessment Estimator'!$A$9:$V$100,U$2,FALSE))</f>
        <v/>
      </c>
      <c r="V22" s="491" t="str">
        <f>IF(VLOOKUP($A22,'Pre-Assessment Estimator'!$A$9:$V$100,V$2,FALSE)=0,"",VLOOKUP($A22,'Pre-Assessment Estimator'!$A$9:$V$100,V$2,FALSE))</f>
        <v/>
      </c>
      <c r="W22" s="880"/>
      <c r="X22" s="747" t="str">
        <f>IF(VLOOKUP($A22,'Pre-Assessment Estimator'!$A$9:$X$100,X$2,FALSE)=0,"",VLOOKUP($A22,'Pre-Assessment Estimator'!$A$9:$X$100,X$2,FALSE))</f>
        <v>No</v>
      </c>
      <c r="AB22" s="519">
        <f t="shared" si="0"/>
        <v>1</v>
      </c>
      <c r="AC22" s="103" t="e">
        <f>VLOOKUP(I22,'Assessment Details'!$L$45:$M$48,2,FALSE)</f>
        <v>#N/A</v>
      </c>
      <c r="AD22" s="103" t="e">
        <f>VLOOKUP(N22,'Assessment Details'!$L$45:$M$48,2,FALSE)</f>
        <v>#N/A</v>
      </c>
      <c r="AE22" s="103" t="e">
        <f>VLOOKUP(T22,'Assessment Details'!$L$45:$M$48,2,FALSE)</f>
        <v>#N/A</v>
      </c>
      <c r="AM22" s="519"/>
      <c r="AN22" s="519"/>
      <c r="AO22" s="519"/>
    </row>
    <row r="23" spans="1:41" x14ac:dyDescent="0.25">
      <c r="A23" s="399">
        <v>15</v>
      </c>
      <c r="B23" s="439" t="s">
        <v>69</v>
      </c>
      <c r="C23" s="743" t="str">
        <f>Hea_05</f>
        <v>Hea 05 Acoustic performance</v>
      </c>
      <c r="D23" s="744">
        <f>VLOOKUP($A23,'Pre-Assessment Estimator'!$A$9:$V$100,D$2,FALSE)</f>
        <v>2</v>
      </c>
      <c r="E23" s="744">
        <f>VLOOKUP($A23,'Pre-Assessment Estimator'!$A$9:$V$100,E$2,FALSE)</f>
        <v>0</v>
      </c>
      <c r="F23" s="745">
        <f>VLOOKUP($A23,'Pre-Assessment Estimator'!$A$9:$V$100,F$2,FALSE)</f>
        <v>0</v>
      </c>
      <c r="G23" s="752" t="str">
        <f>VLOOKUP($A23,'Pre-Assessment Estimator'!$A$9:$V$100,G$2,FALSE)</f>
        <v>N/A</v>
      </c>
      <c r="H23" s="747" t="str">
        <f>IF(VLOOKUP($A23,'Pre-Assessment Estimator'!$A$9:$V$100,H$2,FALSE)=0,"",VLOOKUP($A23,'Pre-Assessment Estimator'!$A$9:$V$100,H$2,FALSE))</f>
        <v/>
      </c>
      <c r="I23" s="747" t="str">
        <f>IF(VLOOKUP($A23,'Pre-Assessment Estimator'!$A$9:$V$100,I$2,FALSE)=0,"",VLOOKUP($A23,'Pre-Assessment Estimator'!$A$9:$V$100,I$2,FALSE))</f>
        <v/>
      </c>
      <c r="J23" s="748" t="str">
        <f>IF(VLOOKUP($A23,'Pre-Assessment Estimator'!$A$9:$V$100,J$2,FALSE)=0,"",VLOOKUP($A23,'Pre-Assessment Estimator'!$A$9:$V$100,J$2,FALSE))</f>
        <v/>
      </c>
      <c r="K23" s="749"/>
      <c r="L23" s="750" t="str">
        <f>IF(VLOOKUP($A23,'Pre-Assessment Estimator'!$A$9:$V$100,L$2,FALSE)=0,"",VLOOKUP($A23,'Pre-Assessment Estimator'!$A$9:$V$100,L$2,FALSE))</f>
        <v/>
      </c>
      <c r="M23" s="747" t="str">
        <f>IF(VLOOKUP($A23,'Pre-Assessment Estimator'!$A$9:$V$100,M$2,FALSE)=0,"",VLOOKUP($A23,'Pre-Assessment Estimator'!$A$9:$V$100,M$2,FALSE))</f>
        <v/>
      </c>
      <c r="N23" s="747" t="str">
        <f>IF(VLOOKUP($A23,'Pre-Assessment Estimator'!$A$9:$V$100,N$2,FALSE)=0,"",VLOOKUP($A23,'Pre-Assessment Estimator'!$A$9:$V$100,N$2,FALSE))</f>
        <v/>
      </c>
      <c r="O23" s="747" t="str">
        <f>IF(VLOOKUP($A23,'Pre-Assessment Estimator'!$A$9:$V$100,O$2,FALSE)=0,"",VLOOKUP($A23,'Pre-Assessment Estimator'!$A$9:$V$100,O$2,FALSE))</f>
        <v/>
      </c>
      <c r="P23" s="748" t="str">
        <f>IF(VLOOKUP($A23,'Pre-Assessment Estimator'!$A$9:$V$100,P$2,FALSE)=0,"",VLOOKUP($A23,'Pre-Assessment Estimator'!$A$9:$V$100,P$2,FALSE))</f>
        <v/>
      </c>
      <c r="Q23" s="751"/>
      <c r="R23" s="750" t="str">
        <f>IF(VLOOKUP($A23,'Pre-Assessment Estimator'!$A$9:$V$100,R$2,FALSE)=0,"",VLOOKUP($A23,'Pre-Assessment Estimator'!$A$9:$V$100,R$2,FALSE))</f>
        <v/>
      </c>
      <c r="S23" s="747" t="str">
        <f>IF(VLOOKUP($A23,'Pre-Assessment Estimator'!$A$9:$V$100,S$2,FALSE)=0,"",VLOOKUP($A23,'Pre-Assessment Estimator'!$A$9:$V$100,S$2,FALSE))</f>
        <v/>
      </c>
      <c r="T23" s="747" t="str">
        <f>IF(VLOOKUP($A23,'Pre-Assessment Estimator'!$A$9:$V$100,T$2,FALSE)=0,"",VLOOKUP($A23,'Pre-Assessment Estimator'!$A$9:$V$100,T$2,FALSE))</f>
        <v/>
      </c>
      <c r="U23" s="747" t="str">
        <f>IF(VLOOKUP($A23,'Pre-Assessment Estimator'!$A$9:$V$100,U$2,FALSE)=0,"",VLOOKUP($A23,'Pre-Assessment Estimator'!$A$9:$V$100,U$2,FALSE))</f>
        <v/>
      </c>
      <c r="V23" s="491" t="str">
        <f>IF(VLOOKUP($A23,'Pre-Assessment Estimator'!$A$9:$V$100,V$2,FALSE)=0,"",VLOOKUP($A23,'Pre-Assessment Estimator'!$A$9:$V$100,V$2,FALSE))</f>
        <v/>
      </c>
      <c r="W23" s="880"/>
      <c r="X23" s="747" t="str">
        <f>IF(VLOOKUP($A23,'Pre-Assessment Estimator'!$A$9:$X$100,X$2,FALSE)=0,"",VLOOKUP($A23,'Pre-Assessment Estimator'!$A$9:$X$100,X$2,FALSE))</f>
        <v>No</v>
      </c>
      <c r="AB23" s="519">
        <f t="shared" si="0"/>
        <v>1</v>
      </c>
      <c r="AC23" s="103" t="e">
        <f>VLOOKUP(I23,'Assessment Details'!$L$45:$M$48,2,FALSE)</f>
        <v>#N/A</v>
      </c>
      <c r="AD23" s="103" t="e">
        <f>VLOOKUP(N23,'Assessment Details'!$L$45:$M$48,2,FALSE)</f>
        <v>#N/A</v>
      </c>
      <c r="AE23" s="103" t="e">
        <f>VLOOKUP(T23,'Assessment Details'!$L$45:$M$48,2,FALSE)</f>
        <v>#N/A</v>
      </c>
      <c r="AM23" s="519"/>
      <c r="AN23" s="519"/>
      <c r="AO23" s="519"/>
    </row>
    <row r="24" spans="1:41" x14ac:dyDescent="0.25">
      <c r="A24" s="399">
        <v>16</v>
      </c>
      <c r="B24" s="439" t="s">
        <v>69</v>
      </c>
      <c r="C24" s="743" t="str">
        <f>Hea_06</f>
        <v>Hea 06 Safe access</v>
      </c>
      <c r="D24" s="744">
        <f>VLOOKUP($A24,'Pre-Assessment Estimator'!$A$9:$V$100,D$2,FALSE)</f>
        <v>2</v>
      </c>
      <c r="E24" s="744">
        <f>VLOOKUP($A24,'Pre-Assessment Estimator'!$A$9:$V$100,E$2,FALSE)</f>
        <v>0</v>
      </c>
      <c r="F24" s="745">
        <f>VLOOKUP($A24,'Pre-Assessment Estimator'!$A$9:$V$100,F$2,FALSE)</f>
        <v>0</v>
      </c>
      <c r="G24" s="752" t="str">
        <f>VLOOKUP($A24,'Pre-Assessment Estimator'!$A$9:$V$100,G$2,FALSE)</f>
        <v>N/A</v>
      </c>
      <c r="H24" s="747" t="str">
        <f>IF(VLOOKUP($A24,'Pre-Assessment Estimator'!$A$9:$V$100,H$2,FALSE)=0,"",VLOOKUP($A24,'Pre-Assessment Estimator'!$A$9:$V$100,H$2,FALSE))</f>
        <v/>
      </c>
      <c r="I24" s="747" t="str">
        <f>IF(VLOOKUP($A24,'Pre-Assessment Estimator'!$A$9:$V$100,I$2,FALSE)=0,"",VLOOKUP($A24,'Pre-Assessment Estimator'!$A$9:$V$100,I$2,FALSE))</f>
        <v/>
      </c>
      <c r="J24" s="748" t="str">
        <f>IF(VLOOKUP($A24,'Pre-Assessment Estimator'!$A$9:$V$100,J$2,FALSE)=0,"",VLOOKUP($A24,'Pre-Assessment Estimator'!$A$9:$V$100,J$2,FALSE))</f>
        <v/>
      </c>
      <c r="K24" s="749"/>
      <c r="L24" s="750" t="str">
        <f>IF(VLOOKUP($A24,'Pre-Assessment Estimator'!$A$9:$V$100,L$2,FALSE)=0,"",VLOOKUP($A24,'Pre-Assessment Estimator'!$A$9:$V$100,L$2,FALSE))</f>
        <v/>
      </c>
      <c r="M24" s="747" t="str">
        <f>IF(VLOOKUP($A24,'Pre-Assessment Estimator'!$A$9:$V$100,M$2,FALSE)=0,"",VLOOKUP($A24,'Pre-Assessment Estimator'!$A$9:$V$100,M$2,FALSE))</f>
        <v/>
      </c>
      <c r="N24" s="747" t="str">
        <f>IF(VLOOKUP($A24,'Pre-Assessment Estimator'!$A$9:$V$100,N$2,FALSE)=0,"",VLOOKUP($A24,'Pre-Assessment Estimator'!$A$9:$V$100,N$2,FALSE))</f>
        <v/>
      </c>
      <c r="O24" s="747" t="str">
        <f>IF(VLOOKUP($A24,'Pre-Assessment Estimator'!$A$9:$V$100,O$2,FALSE)=0,"",VLOOKUP($A24,'Pre-Assessment Estimator'!$A$9:$V$100,O$2,FALSE))</f>
        <v/>
      </c>
      <c r="P24" s="748" t="str">
        <f>IF(VLOOKUP($A24,'Pre-Assessment Estimator'!$A$9:$V$100,P$2,FALSE)=0,"",VLOOKUP($A24,'Pre-Assessment Estimator'!$A$9:$V$100,P$2,FALSE))</f>
        <v/>
      </c>
      <c r="Q24" s="751"/>
      <c r="R24" s="750" t="str">
        <f>IF(VLOOKUP($A24,'Pre-Assessment Estimator'!$A$9:$V$100,R$2,FALSE)=0,"",VLOOKUP($A24,'Pre-Assessment Estimator'!$A$9:$V$100,R$2,FALSE))</f>
        <v/>
      </c>
      <c r="S24" s="747" t="str">
        <f>IF(VLOOKUP($A24,'Pre-Assessment Estimator'!$A$9:$V$100,S$2,FALSE)=0,"",VLOOKUP($A24,'Pre-Assessment Estimator'!$A$9:$V$100,S$2,FALSE))</f>
        <v/>
      </c>
      <c r="T24" s="747" t="str">
        <f>IF(VLOOKUP($A24,'Pre-Assessment Estimator'!$A$9:$V$100,T$2,FALSE)=0,"",VLOOKUP($A24,'Pre-Assessment Estimator'!$A$9:$V$100,T$2,FALSE))</f>
        <v/>
      </c>
      <c r="U24" s="747" t="str">
        <f>IF(VLOOKUP($A24,'Pre-Assessment Estimator'!$A$9:$V$100,U$2,FALSE)=0,"",VLOOKUP($A24,'Pre-Assessment Estimator'!$A$9:$V$100,U$2,FALSE))</f>
        <v/>
      </c>
      <c r="V24" s="491" t="str">
        <f>IF(VLOOKUP($A24,'Pre-Assessment Estimator'!$A$9:$V$100,V$2,FALSE)=0,"",VLOOKUP($A24,'Pre-Assessment Estimator'!$A$9:$V$100,V$2,FALSE))</f>
        <v/>
      </c>
      <c r="W24" s="880"/>
      <c r="X24" s="747" t="str">
        <f>IF(VLOOKUP($A24,'Pre-Assessment Estimator'!$A$9:$X$100,X$2,FALSE)=0,"",VLOOKUP($A24,'Pre-Assessment Estimator'!$A$9:$X$100,X$2,FALSE))</f>
        <v>N/A</v>
      </c>
      <c r="AB24" s="519">
        <f t="shared" si="0"/>
        <v>1</v>
      </c>
      <c r="AC24" s="103" t="e">
        <f>VLOOKUP(I24,'Assessment Details'!$L$45:$M$48,2,FALSE)</f>
        <v>#N/A</v>
      </c>
      <c r="AD24" s="103" t="e">
        <f>VLOOKUP(N24,'Assessment Details'!$L$45:$M$48,2,FALSE)</f>
        <v>#N/A</v>
      </c>
      <c r="AE24" s="103" t="e">
        <f>VLOOKUP(T24,'Assessment Details'!$L$45:$M$48,2,FALSE)</f>
        <v>#N/A</v>
      </c>
    </row>
    <row r="25" spans="1:41" x14ac:dyDescent="0.25">
      <c r="A25" s="399">
        <v>17</v>
      </c>
      <c r="B25" s="439" t="s">
        <v>69</v>
      </c>
      <c r="C25" s="743" t="str">
        <f>Hea_07</f>
        <v>Hea 07 Natural Hazards</v>
      </c>
      <c r="D25" s="744">
        <f>VLOOKUP($A25,'Pre-Assessment Estimator'!$A$9:$V$100,D$2,FALSE)</f>
        <v>1</v>
      </c>
      <c r="E25" s="744">
        <f>VLOOKUP($A25,'Pre-Assessment Estimator'!$A$9:$V$100,E$2,FALSE)</f>
        <v>0</v>
      </c>
      <c r="F25" s="745">
        <f>VLOOKUP($A25,'Pre-Assessment Estimator'!$A$9:$V$100,F$2,FALSE)</f>
        <v>0</v>
      </c>
      <c r="G25" s="752" t="str">
        <f>VLOOKUP($A25,'Pre-Assessment Estimator'!$A$9:$V$100,G$2,FALSE)</f>
        <v>N/A</v>
      </c>
      <c r="H25" s="747" t="str">
        <f>IF(VLOOKUP($A25,'Pre-Assessment Estimator'!$A$9:$V$100,H$2,FALSE)=0,"",VLOOKUP($A25,'Pre-Assessment Estimator'!$A$9:$V$100,H$2,FALSE))</f>
        <v/>
      </c>
      <c r="I25" s="747" t="str">
        <f>IF(VLOOKUP($A25,'Pre-Assessment Estimator'!$A$9:$V$100,I$2,FALSE)=0,"",VLOOKUP($A25,'Pre-Assessment Estimator'!$A$9:$V$100,I$2,FALSE))</f>
        <v/>
      </c>
      <c r="J25" s="748" t="str">
        <f>IF(VLOOKUP($A25,'Pre-Assessment Estimator'!$A$9:$V$100,J$2,FALSE)=0,"",VLOOKUP($A25,'Pre-Assessment Estimator'!$A$9:$V$100,J$2,FALSE))</f>
        <v/>
      </c>
      <c r="K25" s="749"/>
      <c r="L25" s="750" t="str">
        <f>IF(VLOOKUP($A25,'Pre-Assessment Estimator'!$A$9:$V$100,L$2,FALSE)=0,"",VLOOKUP($A25,'Pre-Assessment Estimator'!$A$9:$V$100,L$2,FALSE))</f>
        <v/>
      </c>
      <c r="M25" s="747" t="str">
        <f>IF(VLOOKUP($A25,'Pre-Assessment Estimator'!$A$9:$V$100,M$2,FALSE)=0,"",VLOOKUP($A25,'Pre-Assessment Estimator'!$A$9:$V$100,M$2,FALSE))</f>
        <v/>
      </c>
      <c r="N25" s="747" t="str">
        <f>IF(VLOOKUP($A25,'Pre-Assessment Estimator'!$A$9:$V$100,N$2,FALSE)=0,"",VLOOKUP($A25,'Pre-Assessment Estimator'!$A$9:$V$100,N$2,FALSE))</f>
        <v/>
      </c>
      <c r="O25" s="747" t="str">
        <f>IF(VLOOKUP($A25,'Pre-Assessment Estimator'!$A$9:$V$100,O$2,FALSE)=0,"",VLOOKUP($A25,'Pre-Assessment Estimator'!$A$9:$V$100,O$2,FALSE))</f>
        <v/>
      </c>
      <c r="P25" s="748" t="str">
        <f>IF(VLOOKUP($A25,'Pre-Assessment Estimator'!$A$9:$V$100,P$2,FALSE)=0,"",VLOOKUP($A25,'Pre-Assessment Estimator'!$A$9:$V$100,P$2,FALSE))</f>
        <v/>
      </c>
      <c r="Q25" s="751"/>
      <c r="R25" s="750" t="str">
        <f>IF(VLOOKUP($A25,'Pre-Assessment Estimator'!$A$9:$V$100,R$2,FALSE)=0,"",VLOOKUP($A25,'Pre-Assessment Estimator'!$A$9:$V$100,R$2,FALSE))</f>
        <v/>
      </c>
      <c r="S25" s="747" t="str">
        <f>IF(VLOOKUP($A25,'Pre-Assessment Estimator'!$A$9:$V$100,S$2,FALSE)=0,"",VLOOKUP($A25,'Pre-Assessment Estimator'!$A$9:$V$100,S$2,FALSE))</f>
        <v/>
      </c>
      <c r="T25" s="747" t="str">
        <f>IF(VLOOKUP($A25,'Pre-Assessment Estimator'!$A$9:$V$100,T$2,FALSE)=0,"",VLOOKUP($A25,'Pre-Assessment Estimator'!$A$9:$V$100,T$2,FALSE))</f>
        <v/>
      </c>
      <c r="U25" s="747" t="str">
        <f>IF(VLOOKUP($A25,'Pre-Assessment Estimator'!$A$9:$V$100,U$2,FALSE)=0,"",VLOOKUP($A25,'Pre-Assessment Estimator'!$A$9:$V$100,U$2,FALSE))</f>
        <v/>
      </c>
      <c r="V25" s="491" t="str">
        <f>IF(VLOOKUP($A25,'Pre-Assessment Estimator'!$A$9:$V$100,V$2,FALSE)=0,"",VLOOKUP($A25,'Pre-Assessment Estimator'!$A$9:$V$100,V$2,FALSE))</f>
        <v/>
      </c>
      <c r="W25" s="880"/>
      <c r="X25" s="747" t="str">
        <f>IF(VLOOKUP($A25,'Pre-Assessment Estimator'!$A$9:$X$100,X$2,FALSE)=0,"",VLOOKUP($A25,'Pre-Assessment Estimator'!$A$9:$X$100,X$2,FALSE))</f>
        <v>N/A</v>
      </c>
      <c r="AB25" s="519">
        <f t="shared" si="0"/>
        <v>1</v>
      </c>
      <c r="AC25" s="103" t="e">
        <f>VLOOKUP(I25,'Assessment Details'!$L$45:$M$48,2,FALSE)</f>
        <v>#N/A</v>
      </c>
      <c r="AD25" s="103" t="e">
        <f>VLOOKUP(N25,'Assessment Details'!$L$45:$M$48,2,FALSE)</f>
        <v>#N/A</v>
      </c>
      <c r="AE25" s="103" t="e">
        <f>VLOOKUP(T25,'Assessment Details'!$L$45:$M$48,2,FALSE)</f>
        <v>#N/A</v>
      </c>
    </row>
    <row r="26" spans="1:41" x14ac:dyDescent="0.25">
      <c r="A26" s="399">
        <v>18</v>
      </c>
      <c r="B26" s="439" t="s">
        <v>69</v>
      </c>
      <c r="C26" s="743" t="str">
        <f>Hea_08</f>
        <v>Hea 08 Private space</v>
      </c>
      <c r="D26" s="744">
        <f>VLOOKUP($A26,'Pre-Assessment Estimator'!$A$9:$V$100,D$2,FALSE)</f>
        <v>0</v>
      </c>
      <c r="E26" s="744">
        <f>VLOOKUP($A26,'Pre-Assessment Estimator'!$A$9:$V$100,E$2,FALSE)</f>
        <v>0</v>
      </c>
      <c r="F26" s="745">
        <f>VLOOKUP($A26,'Pre-Assessment Estimator'!$A$9:$V$100,F$2,FALSE)</f>
        <v>0</v>
      </c>
      <c r="G26" s="746" t="str">
        <f>VLOOKUP($A26,'Pre-Assessment Estimator'!$A$9:$V$100,G$2,FALSE)</f>
        <v>N/A</v>
      </c>
      <c r="H26" s="747" t="str">
        <f>IF(VLOOKUP($A26,'Pre-Assessment Estimator'!$A$9:$V$100,H$2,FALSE)=0,"",VLOOKUP($A26,'Pre-Assessment Estimator'!$A$9:$V$100,H$2,FALSE))</f>
        <v/>
      </c>
      <c r="I26" s="747" t="str">
        <f>IF(VLOOKUP($A26,'Pre-Assessment Estimator'!$A$9:$V$100,I$2,FALSE)=0,"",VLOOKUP($A26,'Pre-Assessment Estimator'!$A$9:$V$100,I$2,FALSE))</f>
        <v/>
      </c>
      <c r="J26" s="748" t="str">
        <f>IF(VLOOKUP($A26,'Pre-Assessment Estimator'!$A$9:$V$100,J$2,FALSE)=0,"",VLOOKUP($A26,'Pre-Assessment Estimator'!$A$9:$V$100,J$2,FALSE))</f>
        <v/>
      </c>
      <c r="K26" s="749"/>
      <c r="L26" s="750" t="str">
        <f>IF(VLOOKUP($A26,'Pre-Assessment Estimator'!$A$9:$V$100,L$2,FALSE)=0,"",VLOOKUP($A26,'Pre-Assessment Estimator'!$A$9:$V$100,L$2,FALSE))</f>
        <v/>
      </c>
      <c r="M26" s="747" t="str">
        <f>IF(VLOOKUP($A26,'Pre-Assessment Estimator'!$A$9:$V$100,M$2,FALSE)=0,"",VLOOKUP($A26,'Pre-Assessment Estimator'!$A$9:$V$100,M$2,FALSE))</f>
        <v/>
      </c>
      <c r="N26" s="747" t="str">
        <f>IF(VLOOKUP($A26,'Pre-Assessment Estimator'!$A$9:$V$100,N$2,FALSE)=0,"",VLOOKUP($A26,'Pre-Assessment Estimator'!$A$9:$V$100,N$2,FALSE))</f>
        <v/>
      </c>
      <c r="O26" s="747" t="str">
        <f>IF(VLOOKUP($A26,'Pre-Assessment Estimator'!$A$9:$V$100,O$2,FALSE)=0,"",VLOOKUP($A26,'Pre-Assessment Estimator'!$A$9:$V$100,O$2,FALSE))</f>
        <v/>
      </c>
      <c r="P26" s="748" t="str">
        <f>IF(VLOOKUP($A26,'Pre-Assessment Estimator'!$A$9:$V$100,P$2,FALSE)=0,"",VLOOKUP($A26,'Pre-Assessment Estimator'!$A$9:$V$100,P$2,FALSE))</f>
        <v/>
      </c>
      <c r="Q26" s="751"/>
      <c r="R26" s="750" t="str">
        <f>IF(VLOOKUP($A26,'Pre-Assessment Estimator'!$A$9:$V$100,R$2,FALSE)=0,"",VLOOKUP($A26,'Pre-Assessment Estimator'!$A$9:$V$100,R$2,FALSE))</f>
        <v/>
      </c>
      <c r="S26" s="747" t="str">
        <f>IF(VLOOKUP($A26,'Pre-Assessment Estimator'!$A$9:$V$100,S$2,FALSE)=0,"",VLOOKUP($A26,'Pre-Assessment Estimator'!$A$9:$V$100,S$2,FALSE))</f>
        <v/>
      </c>
      <c r="T26" s="747" t="str">
        <f>IF(VLOOKUP($A26,'Pre-Assessment Estimator'!$A$9:$V$100,T$2,FALSE)=0,"",VLOOKUP($A26,'Pre-Assessment Estimator'!$A$9:$V$100,T$2,FALSE))</f>
        <v/>
      </c>
      <c r="U26" s="747" t="str">
        <f>IF(VLOOKUP($A26,'Pre-Assessment Estimator'!$A$9:$V$100,U$2,FALSE)=0,"",VLOOKUP($A26,'Pre-Assessment Estimator'!$A$9:$V$100,U$2,FALSE))</f>
        <v/>
      </c>
      <c r="V26" s="491" t="str">
        <f>IF(VLOOKUP($A26,'Pre-Assessment Estimator'!$A$9:$V$100,V$2,FALSE)=0,"",VLOOKUP($A26,'Pre-Assessment Estimator'!$A$9:$V$100,V$2,FALSE))</f>
        <v/>
      </c>
      <c r="W26" s="880"/>
      <c r="X26" s="747" t="str">
        <f>IF(VLOOKUP($A26,'Pre-Assessment Estimator'!$A$9:$X$100,X$2,FALSE)=0,"",VLOOKUP($A26,'Pre-Assessment Estimator'!$A$9:$X$100,X$2,FALSE))</f>
        <v>N/A</v>
      </c>
      <c r="AB26" s="519">
        <f t="shared" si="0"/>
        <v>2</v>
      </c>
      <c r="AC26" s="520" t="e">
        <f>VLOOKUP(I26,'Assessment Details'!$L$45:$M$48,2,FALSE)</f>
        <v>#N/A</v>
      </c>
      <c r="AD26" s="520" t="e">
        <f>VLOOKUP(N26,'Assessment Details'!$L$45:$M$48,2,FALSE)</f>
        <v>#N/A</v>
      </c>
      <c r="AE26" s="520" t="e">
        <f>VLOOKUP(T26,'Assessment Details'!$L$45:$M$48,2,FALSE)</f>
        <v>#N/A</v>
      </c>
    </row>
    <row r="27" spans="1:41" x14ac:dyDescent="0.25">
      <c r="A27" s="399">
        <v>19</v>
      </c>
      <c r="B27" s="439" t="s">
        <v>69</v>
      </c>
      <c r="C27" s="743" t="str">
        <f>Hea_09</f>
        <v>Hea 09 Moisture protection</v>
      </c>
      <c r="D27" s="744">
        <f>VLOOKUP($A27,'Pre-Assessment Estimator'!$A$9:$V$100,D$2,FALSE)</f>
        <v>3</v>
      </c>
      <c r="E27" s="744">
        <f>VLOOKUP($A27,'Pre-Assessment Estimator'!$A$9:$V$100,E$2,FALSE)</f>
        <v>0</v>
      </c>
      <c r="F27" s="745">
        <f>VLOOKUP($A27,'Pre-Assessment Estimator'!$A$9:$V$100,F$2,FALSE)</f>
        <v>0</v>
      </c>
      <c r="G27" s="752" t="str">
        <f>VLOOKUP($A27,'Pre-Assessment Estimator'!$A$9:$V$100,G$2,FALSE)</f>
        <v>Good</v>
      </c>
      <c r="H27" s="747" t="str">
        <f>IF(VLOOKUP($A27,'Pre-Assessment Estimator'!$A$9:$V$100,H$2,FALSE)=0,"",VLOOKUP($A27,'Pre-Assessment Estimator'!$A$9:$V$100,H$2,FALSE))</f>
        <v/>
      </c>
      <c r="I27" s="747" t="str">
        <f>IF(VLOOKUP($A27,'Pre-Assessment Estimator'!$A$9:$V$100,I$2,FALSE)=0,"",VLOOKUP($A27,'Pre-Assessment Estimator'!$A$9:$V$100,I$2,FALSE))</f>
        <v/>
      </c>
      <c r="J27" s="748" t="str">
        <f>IF(VLOOKUP($A27,'Pre-Assessment Estimator'!$A$9:$V$100,J$2,FALSE)=0,"",VLOOKUP($A27,'Pre-Assessment Estimator'!$A$9:$V$100,J$2,FALSE))</f>
        <v/>
      </c>
      <c r="K27" s="749"/>
      <c r="L27" s="750" t="str">
        <f>IF(VLOOKUP($A27,'Pre-Assessment Estimator'!$A$9:$V$100,L$2,FALSE)=0,"",VLOOKUP($A27,'Pre-Assessment Estimator'!$A$9:$V$100,L$2,FALSE))</f>
        <v/>
      </c>
      <c r="M27" s="747" t="str">
        <f>IF(VLOOKUP($A27,'Pre-Assessment Estimator'!$A$9:$V$100,M$2,FALSE)=0,"",VLOOKUP($A27,'Pre-Assessment Estimator'!$A$9:$V$100,M$2,FALSE))</f>
        <v/>
      </c>
      <c r="N27" s="747" t="str">
        <f>IF(VLOOKUP($A27,'Pre-Assessment Estimator'!$A$9:$V$100,N$2,FALSE)=0,"",VLOOKUP($A27,'Pre-Assessment Estimator'!$A$9:$V$100,N$2,FALSE))</f>
        <v/>
      </c>
      <c r="O27" s="747" t="str">
        <f>IF(VLOOKUP($A27,'Pre-Assessment Estimator'!$A$9:$V$100,O$2,FALSE)=0,"",VLOOKUP($A27,'Pre-Assessment Estimator'!$A$9:$V$100,O$2,FALSE))</f>
        <v/>
      </c>
      <c r="P27" s="748" t="str">
        <f>IF(VLOOKUP($A27,'Pre-Assessment Estimator'!$A$9:$V$100,P$2,FALSE)=0,"",VLOOKUP($A27,'Pre-Assessment Estimator'!$A$9:$V$100,P$2,FALSE))</f>
        <v/>
      </c>
      <c r="Q27" s="751"/>
      <c r="R27" s="750" t="str">
        <f>IF(VLOOKUP($A27,'Pre-Assessment Estimator'!$A$9:$V$100,R$2,FALSE)=0,"",VLOOKUP($A27,'Pre-Assessment Estimator'!$A$9:$V$100,R$2,FALSE))</f>
        <v/>
      </c>
      <c r="S27" s="747" t="str">
        <f>IF(VLOOKUP($A27,'Pre-Assessment Estimator'!$A$9:$V$100,S$2,FALSE)=0,"",VLOOKUP($A27,'Pre-Assessment Estimator'!$A$9:$V$100,S$2,FALSE))</f>
        <v/>
      </c>
      <c r="T27" s="747" t="str">
        <f>IF(VLOOKUP($A27,'Pre-Assessment Estimator'!$A$9:$V$100,T$2,FALSE)=0,"",VLOOKUP($A27,'Pre-Assessment Estimator'!$A$9:$V$100,T$2,FALSE))</f>
        <v/>
      </c>
      <c r="U27" s="747" t="str">
        <f>IF(VLOOKUP($A27,'Pre-Assessment Estimator'!$A$9:$V$100,U$2,FALSE)=0,"",VLOOKUP($A27,'Pre-Assessment Estimator'!$A$9:$V$100,U$2,FALSE))</f>
        <v/>
      </c>
      <c r="V27" s="491" t="str">
        <f>IF(VLOOKUP($A27,'Pre-Assessment Estimator'!$A$9:$V$100,V$2,FALSE)=0,"",VLOOKUP($A27,'Pre-Assessment Estimator'!$A$9:$V$100,V$2,FALSE))</f>
        <v/>
      </c>
      <c r="W27" s="880"/>
      <c r="X27" s="747" t="str">
        <f>IF(VLOOKUP($A27,'Pre-Assessment Estimator'!$A$9:$X$100,X$2,FALSE)=0,"",VLOOKUP($A27,'Pre-Assessment Estimator'!$A$9:$X$100,X$2,FALSE))</f>
        <v>N/A</v>
      </c>
      <c r="AB27" s="519">
        <f t="shared" si="0"/>
        <v>1</v>
      </c>
      <c r="AC27" s="103" t="e">
        <f>VLOOKUP(I27,'Assessment Details'!$L$45:$M$48,2,FALSE)</f>
        <v>#N/A</v>
      </c>
      <c r="AD27" s="103" t="e">
        <f>VLOOKUP(N27,'Assessment Details'!$L$45:$M$48,2,FALSE)</f>
        <v>#N/A</v>
      </c>
      <c r="AE27" s="103" t="e">
        <f>VLOOKUP(T27,'Assessment Details'!$L$45:$M$48,2,FALSE)</f>
        <v>#N/A</v>
      </c>
    </row>
    <row r="28" spans="1:41" ht="15.75" thickBot="1" x14ac:dyDescent="0.3">
      <c r="A28" s="399">
        <v>20</v>
      </c>
      <c r="B28" s="439" t="s">
        <v>69</v>
      </c>
      <c r="C28" s="753" t="s">
        <v>108</v>
      </c>
      <c r="D28" s="754">
        <f>VLOOKUP($A28,'Pre-Assessment Estimator'!$A$9:$V$100,D$2,FALSE)</f>
        <v>20</v>
      </c>
      <c r="E28" s="754">
        <f>SUM(E18:E27)</f>
        <v>0</v>
      </c>
      <c r="F28" s="755">
        <f>VLOOKUP($A28,'Pre-Assessment Estimator'!$A$9:$V$100,F$2,FALSE)</f>
        <v>0</v>
      </c>
      <c r="G28" s="747"/>
      <c r="H28" s="747" t="str">
        <f>IF(VLOOKUP($A28,'Pre-Assessment Estimator'!$A$9:$V$100,H$2,FALSE)=0,"",VLOOKUP($A28,'Pre-Assessment Estimator'!$A$9:$V$100,H$2,FALSE))</f>
        <v/>
      </c>
      <c r="I28" s="744" t="str">
        <f>IF(VLOOKUP($A28,'Pre-Assessment Estimator'!$A$9:$V$100,I$2,FALSE)=0,"",VLOOKUP($A28,'Pre-Assessment Estimator'!$A$9:$V$100,I$2,FALSE))</f>
        <v/>
      </c>
      <c r="J28" s="748" t="str">
        <f>IF(VLOOKUP($A28,'Pre-Assessment Estimator'!$A$9:$V$100,J$2,FALSE)=0,"",VLOOKUP($A28,'Pre-Assessment Estimator'!$A$9:$V$100,J$2,FALSE))</f>
        <v/>
      </c>
      <c r="K28" s="749"/>
      <c r="L28" s="756" t="str">
        <f>IF(VLOOKUP($A28,'Pre-Assessment Estimator'!$A$9:$V$100,L$2,FALSE)=0,"",VLOOKUP($A28,'Pre-Assessment Estimator'!$A$9:$V$100,L$2,FALSE))</f>
        <v/>
      </c>
      <c r="M28" s="747" t="str">
        <f>IF(VLOOKUP($A28,'Pre-Assessment Estimator'!$A$9:$V$100,M$2,FALSE)=0,"",VLOOKUP($A28,'Pre-Assessment Estimator'!$A$9:$V$100,M$2,FALSE))</f>
        <v/>
      </c>
      <c r="N28" s="744" t="str">
        <f>IF(VLOOKUP($A28,'Pre-Assessment Estimator'!$A$9:$V$100,N$2,FALSE)=0,"",VLOOKUP($A28,'Pre-Assessment Estimator'!$A$9:$V$100,N$2,FALSE))</f>
        <v/>
      </c>
      <c r="O28" s="747" t="str">
        <f>IF(VLOOKUP($A28,'Pre-Assessment Estimator'!$A$9:$V$100,O$2,FALSE)=0,"",VLOOKUP($A28,'Pre-Assessment Estimator'!$A$9:$V$100,O$2,FALSE))</f>
        <v/>
      </c>
      <c r="P28" s="748" t="str">
        <f>IF(VLOOKUP($A28,'Pre-Assessment Estimator'!$A$9:$V$100,P$2,FALSE)=0,"",VLOOKUP($A28,'Pre-Assessment Estimator'!$A$9:$V$100,P$2,FALSE))</f>
        <v/>
      </c>
      <c r="Q28" s="751"/>
      <c r="R28" s="756" t="str">
        <f>IF(VLOOKUP($A28,'Pre-Assessment Estimator'!$A$9:$V$100,R$2,FALSE)=0,"",VLOOKUP($A28,'Pre-Assessment Estimator'!$A$9:$V$100,R$2,FALSE))</f>
        <v/>
      </c>
      <c r="S28" s="747" t="str">
        <f>IF(VLOOKUP($A28,'Pre-Assessment Estimator'!$A$9:$V$100,S$2,FALSE)=0,"",VLOOKUP($A28,'Pre-Assessment Estimator'!$A$9:$V$100,S$2,FALSE))</f>
        <v/>
      </c>
      <c r="T28" s="744" t="str">
        <f>IF(VLOOKUP($A28,'Pre-Assessment Estimator'!$A$9:$V$100,T$2,FALSE)=0,"",VLOOKUP($A28,'Pre-Assessment Estimator'!$A$9:$V$100,T$2,FALSE))</f>
        <v/>
      </c>
      <c r="U28" s="747" t="str">
        <f>IF(VLOOKUP($A28,'Pre-Assessment Estimator'!$A$9:$V$100,U$2,FALSE)=0,"",VLOOKUP($A28,'Pre-Assessment Estimator'!$A$9:$V$100,U$2,FALSE))</f>
        <v/>
      </c>
      <c r="V28" s="491" t="str">
        <f>IF(VLOOKUP($A28,'Pre-Assessment Estimator'!$A$9:$V$100,V$2,FALSE)=0,"",VLOOKUP($A28,'Pre-Assessment Estimator'!$A$9:$V$100,V$2,FALSE))</f>
        <v/>
      </c>
      <c r="W28" s="880"/>
      <c r="X28" s="747" t="str">
        <f>IF(VLOOKUP($A28,'Pre-Assessment Estimator'!$A$9:$X$100,X$2,FALSE)=0,"",VLOOKUP($A28,'Pre-Assessment Estimator'!$A$9:$X$100,X$2,FALSE))</f>
        <v/>
      </c>
      <c r="AB28" s="519">
        <f t="shared" si="0"/>
        <v>1</v>
      </c>
      <c r="AC28" s="333">
        <v>0</v>
      </c>
      <c r="AD28" s="333">
        <v>0</v>
      </c>
      <c r="AE28" s="333">
        <v>0</v>
      </c>
    </row>
    <row r="29" spans="1:41" x14ac:dyDescent="0.25">
      <c r="A29" s="399">
        <v>21</v>
      </c>
      <c r="B29" s="439" t="s">
        <v>69</v>
      </c>
      <c r="C29" s="757"/>
      <c r="D29" s="758"/>
      <c r="E29" s="758"/>
      <c r="F29" s="758"/>
      <c r="G29" s="758"/>
      <c r="H29" s="757"/>
      <c r="I29" s="758"/>
      <c r="J29" s="757"/>
      <c r="K29" s="749"/>
      <c r="L29" s="758"/>
      <c r="M29" s="757"/>
      <c r="N29" s="758"/>
      <c r="O29" s="757"/>
      <c r="P29" s="757"/>
      <c r="Q29" s="751"/>
      <c r="R29" s="758"/>
      <c r="S29" s="757"/>
      <c r="T29" s="758"/>
      <c r="U29" s="757"/>
      <c r="V29" s="440"/>
      <c r="W29" s="881"/>
      <c r="X29" s="757"/>
      <c r="Y29" s="522"/>
      <c r="Z29" s="522"/>
      <c r="AA29" s="522"/>
      <c r="AB29" s="519">
        <f t="shared" si="0"/>
        <v>1</v>
      </c>
      <c r="AC29" s="335">
        <v>0</v>
      </c>
      <c r="AD29" s="335">
        <v>0</v>
      </c>
      <c r="AE29" s="335">
        <v>0</v>
      </c>
    </row>
    <row r="30" spans="1:41" ht="18.75" x14ac:dyDescent="0.25">
      <c r="A30" s="399">
        <v>22</v>
      </c>
      <c r="B30" s="439" t="s">
        <v>70</v>
      </c>
      <c r="C30" s="759" t="s">
        <v>70</v>
      </c>
      <c r="D30" s="739"/>
      <c r="E30" s="739"/>
      <c r="F30" s="739"/>
      <c r="G30" s="739"/>
      <c r="H30" s="740" t="str">
        <f>IF(VLOOKUP($A30,'Pre-Assessment Estimator'!$A$9:$V$100,H$2,FALSE)=0,"",VLOOKUP($A30,'Pre-Assessment Estimator'!$A$9:$V$100,H$2,FALSE))</f>
        <v/>
      </c>
      <c r="I30" s="739" t="str">
        <f>IF(VLOOKUP($A30,'Pre-Assessment Estimator'!$A$9:$V$100,I$2,FALSE)=0,"",VLOOKUP($A30,'Pre-Assessment Estimator'!$A$9:$V$100,I$2,FALSE))</f>
        <v/>
      </c>
      <c r="J30" s="740" t="str">
        <f>IF(VLOOKUP($A30,'Pre-Assessment Estimator'!$A$9:$V$100,J$2,FALSE)=0,"",VLOOKUP($A30,'Pre-Assessment Estimator'!$A$9:$V$100,J$2,FALSE))</f>
        <v/>
      </c>
      <c r="K30" s="749"/>
      <c r="L30" s="739" t="str">
        <f>IF(VLOOKUP($A30,'Pre-Assessment Estimator'!$A$9:$V$100,L$2,FALSE)=0,"",VLOOKUP($A30,'Pre-Assessment Estimator'!$A$9:$V$100,L$2,FALSE))</f>
        <v/>
      </c>
      <c r="M30" s="740" t="str">
        <f>IF(VLOOKUP($A30,'Pre-Assessment Estimator'!$A$9:$V$100,M$2,FALSE)=0,"",VLOOKUP($A30,'Pre-Assessment Estimator'!$A$9:$V$100,M$2,FALSE))</f>
        <v/>
      </c>
      <c r="N30" s="739" t="str">
        <f>IF(VLOOKUP($A30,'Pre-Assessment Estimator'!$A$9:$V$100,N$2,FALSE)=0,"",VLOOKUP($A30,'Pre-Assessment Estimator'!$A$9:$V$100,N$2,FALSE))</f>
        <v/>
      </c>
      <c r="O30" s="740" t="str">
        <f>IF(VLOOKUP($A30,'Pre-Assessment Estimator'!$A$9:$V$100,O$2,FALSE)=0,"",VLOOKUP($A30,'Pre-Assessment Estimator'!$A$9:$V$100,O$2,FALSE))</f>
        <v/>
      </c>
      <c r="P30" s="740" t="str">
        <f>IF(VLOOKUP($A30,'Pre-Assessment Estimator'!$A$9:$V$100,P$2,FALSE)=0,"",VLOOKUP($A30,'Pre-Assessment Estimator'!$A$9:$V$100,P$2,FALSE))</f>
        <v/>
      </c>
      <c r="Q30" s="751"/>
      <c r="R30" s="739" t="str">
        <f>IF(VLOOKUP($A30,'Pre-Assessment Estimator'!$A$9:$V$100,R$2,FALSE)=0,"",VLOOKUP($A30,'Pre-Assessment Estimator'!$A$9:$V$100,R$2,FALSE))</f>
        <v/>
      </c>
      <c r="S30" s="740" t="str">
        <f>IF(VLOOKUP($A30,'Pre-Assessment Estimator'!$A$9:$V$100,S$2,FALSE)=0,"",VLOOKUP($A30,'Pre-Assessment Estimator'!$A$9:$V$100,S$2,FALSE))</f>
        <v/>
      </c>
      <c r="T30" s="739" t="str">
        <f>IF(VLOOKUP($A30,'Pre-Assessment Estimator'!$A$9:$V$100,T$2,FALSE)=0,"",VLOOKUP($A30,'Pre-Assessment Estimator'!$A$9:$V$100,T$2,FALSE))</f>
        <v/>
      </c>
      <c r="U30" s="740" t="str">
        <f>IF(VLOOKUP($A30,'Pre-Assessment Estimator'!$A$9:$V$100,U$2,FALSE)=0,"",VLOOKUP($A30,'Pre-Assessment Estimator'!$A$9:$V$100,U$2,FALSE))</f>
        <v/>
      </c>
      <c r="V30" s="544" t="str">
        <f>IF(VLOOKUP($A30,'Pre-Assessment Estimator'!$A$9:$V$100,V$2,FALSE)=0,"",VLOOKUP($A30,'Pre-Assessment Estimator'!$A$9:$V$100,V$2,FALSE))</f>
        <v/>
      </c>
      <c r="W30" s="879"/>
      <c r="X30" s="883"/>
      <c r="AB30" s="519">
        <f t="shared" si="0"/>
        <v>1</v>
      </c>
      <c r="AC30" s="331">
        <v>0</v>
      </c>
      <c r="AD30" s="331">
        <v>0</v>
      </c>
      <c r="AE30" s="331">
        <v>0</v>
      </c>
    </row>
    <row r="31" spans="1:41" x14ac:dyDescent="0.25">
      <c r="A31" s="399">
        <v>23</v>
      </c>
      <c r="B31" s="439" t="s">
        <v>70</v>
      </c>
      <c r="C31" s="743" t="str">
        <f>Ene_01</f>
        <v>Ene 01 Energy efficiency</v>
      </c>
      <c r="D31" s="744">
        <f>VLOOKUP($A31,'Pre-Assessment Estimator'!$A$9:$V$100,D$2,FALSE)</f>
        <v>12</v>
      </c>
      <c r="E31" s="744">
        <f>VLOOKUP($A31,'Pre-Assessment Estimator'!$A$9:$V$100,E$2,FALSE)</f>
        <v>0</v>
      </c>
      <c r="F31" s="745">
        <f>VLOOKUP($A31,'Pre-Assessment Estimator'!$A$9:$V$100,F$2,FALSE)</f>
        <v>0</v>
      </c>
      <c r="G31" s="746" t="str">
        <f>VLOOKUP($A31,'Pre-Assessment Estimator'!$A$9:$V$100,G$2,FALSE)</f>
        <v>Very Good</v>
      </c>
      <c r="H31" s="747" t="str">
        <f>IF(VLOOKUP($A31,'Pre-Assessment Estimator'!$A$9:$V$100,H$2,FALSE)=0,"",VLOOKUP($A31,'Pre-Assessment Estimator'!$A$9:$V$100,H$2,FALSE))</f>
        <v/>
      </c>
      <c r="I31" s="747" t="str">
        <f>IF(VLOOKUP($A31,'Pre-Assessment Estimator'!$A$9:$V$100,I$2,FALSE)=0,"",VLOOKUP($A31,'Pre-Assessment Estimator'!$A$9:$V$100,I$2,FALSE))</f>
        <v/>
      </c>
      <c r="J31" s="748" t="str">
        <f>IF(VLOOKUP($A31,'Pre-Assessment Estimator'!$A$9:$V$100,J$2,FALSE)=0,"",VLOOKUP($A31,'Pre-Assessment Estimator'!$A$9:$V$100,J$2,FALSE))</f>
        <v/>
      </c>
      <c r="K31" s="749"/>
      <c r="L31" s="750" t="str">
        <f>IF(VLOOKUP($A31,'Pre-Assessment Estimator'!$A$9:$V$100,L$2,FALSE)=0,"",VLOOKUP($A31,'Pre-Assessment Estimator'!$A$9:$V$100,L$2,FALSE))</f>
        <v/>
      </c>
      <c r="M31" s="747" t="str">
        <f>IF(VLOOKUP($A31,'Pre-Assessment Estimator'!$A$9:$V$100,M$2,FALSE)=0,"",VLOOKUP($A31,'Pre-Assessment Estimator'!$A$9:$V$100,M$2,FALSE))</f>
        <v/>
      </c>
      <c r="N31" s="747" t="str">
        <f>IF(VLOOKUP($A31,'Pre-Assessment Estimator'!$A$9:$V$100,N$2,FALSE)=0,"",VLOOKUP($A31,'Pre-Assessment Estimator'!$A$9:$V$100,N$2,FALSE))</f>
        <v/>
      </c>
      <c r="O31" s="747" t="str">
        <f>IF(VLOOKUP($A31,'Pre-Assessment Estimator'!$A$9:$V$100,O$2,FALSE)=0,"",VLOOKUP($A31,'Pre-Assessment Estimator'!$A$9:$V$100,O$2,FALSE))</f>
        <v/>
      </c>
      <c r="P31" s="748" t="str">
        <f>IF(VLOOKUP($A31,'Pre-Assessment Estimator'!$A$9:$V$100,P$2,FALSE)=0,"",VLOOKUP($A31,'Pre-Assessment Estimator'!$A$9:$V$100,P$2,FALSE))</f>
        <v/>
      </c>
      <c r="Q31" s="751"/>
      <c r="R31" s="750" t="str">
        <f>IF(VLOOKUP($A31,'Pre-Assessment Estimator'!$A$9:$V$100,R$2,FALSE)=0,"",VLOOKUP($A31,'Pre-Assessment Estimator'!$A$9:$V$100,R$2,FALSE))</f>
        <v/>
      </c>
      <c r="S31" s="747" t="str">
        <f>IF(VLOOKUP($A31,'Pre-Assessment Estimator'!$A$9:$V$100,S$2,FALSE)=0,"",VLOOKUP($A31,'Pre-Assessment Estimator'!$A$9:$V$100,S$2,FALSE))</f>
        <v/>
      </c>
      <c r="T31" s="747" t="str">
        <f>IF(VLOOKUP($A31,'Pre-Assessment Estimator'!$A$9:$V$100,T$2,FALSE)=0,"",VLOOKUP($A31,'Pre-Assessment Estimator'!$A$9:$V$100,T$2,FALSE))</f>
        <v/>
      </c>
      <c r="U31" s="747" t="str">
        <f>IF(VLOOKUP($A31,'Pre-Assessment Estimator'!$A$9:$V$100,U$2,FALSE)=0,"",VLOOKUP($A31,'Pre-Assessment Estimator'!$A$9:$V$100,U$2,FALSE))</f>
        <v/>
      </c>
      <c r="V31" s="491" t="str">
        <f>IF(VLOOKUP($A31,'Pre-Assessment Estimator'!$A$9:$V$100,V$2,FALSE)=0,"",VLOOKUP($A31,'Pre-Assessment Estimator'!$A$9:$V$100,V$2,FALSE))</f>
        <v/>
      </c>
      <c r="W31" s="880"/>
      <c r="X31" s="747" t="str">
        <f>IF(VLOOKUP($A31,'Pre-Assessment Estimator'!$A$9:$X$100,X$2,FALSE)=0,"",VLOOKUP($A31,'Pre-Assessment Estimator'!$A$9:$X$100,X$2,FALSE))</f>
        <v>No</v>
      </c>
      <c r="AB31" s="519">
        <f t="shared" si="0"/>
        <v>1</v>
      </c>
      <c r="AC31" s="103" t="e">
        <f>VLOOKUP(I31,'Assessment Details'!$L$45:$M$48,2,FALSE)</f>
        <v>#N/A</v>
      </c>
      <c r="AD31" s="103" t="e">
        <f>VLOOKUP(N31,'Assessment Details'!$L$45:$M$48,2,FALSE)</f>
        <v>#N/A</v>
      </c>
      <c r="AE31" s="103" t="e">
        <f>VLOOKUP(T31,'Assessment Details'!$L$45:$M$48,2,FALSE)</f>
        <v>#N/A</v>
      </c>
    </row>
    <row r="32" spans="1:41" ht="30" x14ac:dyDescent="0.25">
      <c r="A32" s="399">
        <v>24</v>
      </c>
      <c r="B32" s="439" t="s">
        <v>70</v>
      </c>
      <c r="C32" s="743" t="str">
        <f>Ene_02</f>
        <v>Ene 02 Energy monitoring</v>
      </c>
      <c r="D32" s="744">
        <f>VLOOKUP($A32,'Pre-Assessment Estimator'!$A$9:$V$100,D$2,FALSE)</f>
        <v>3</v>
      </c>
      <c r="E32" s="744">
        <f>VLOOKUP($A32,'Pre-Assessment Estimator'!$A$9:$V$100,E$2,FALSE)</f>
        <v>0</v>
      </c>
      <c r="F32" s="745">
        <f>VLOOKUP($A32,'Pre-Assessment Estimator'!$A$9:$V$100,F$2,FALSE)</f>
        <v>0</v>
      </c>
      <c r="G32" s="752" t="str">
        <f>VLOOKUP($A32,'Pre-Assessment Estimator'!$A$9:$V$100,G$2,FALSE)</f>
        <v>Good</v>
      </c>
      <c r="H32" s="747" t="str">
        <f>IF(VLOOKUP($A32,'Pre-Assessment Estimator'!$A$9:$V$100,H$2,FALSE)=0,"",VLOOKUP($A32,'Pre-Assessment Estimator'!$A$9:$V$100,H$2,FALSE))</f>
        <v/>
      </c>
      <c r="I32" s="747" t="str">
        <f>IF(VLOOKUP($A32,'Pre-Assessment Estimator'!$A$9:$V$100,I$2,FALSE)=0,"",VLOOKUP($A32,'Pre-Assessment Estimator'!$A$9:$V$100,I$2,FALSE))</f>
        <v/>
      </c>
      <c r="J32" s="748" t="str">
        <f>IF(VLOOKUP($A32,'Pre-Assessment Estimator'!$A$9:$V$100,J$2,FALSE)=0,"",VLOOKUP($A32,'Pre-Assessment Estimator'!$A$9:$V$100,J$2,FALSE))</f>
        <v/>
      </c>
      <c r="K32" s="749"/>
      <c r="L32" s="750" t="str">
        <f>IF(VLOOKUP($A32,'Pre-Assessment Estimator'!$A$9:$V$100,L$2,FALSE)=0,"",VLOOKUP($A32,'Pre-Assessment Estimator'!$A$9:$V$100,L$2,FALSE))</f>
        <v/>
      </c>
      <c r="M32" s="747" t="str">
        <f>IF(VLOOKUP($A32,'Pre-Assessment Estimator'!$A$9:$V$100,M$2,FALSE)=0,"",VLOOKUP($A32,'Pre-Assessment Estimator'!$A$9:$V$100,M$2,FALSE))</f>
        <v/>
      </c>
      <c r="N32" s="747" t="str">
        <f>IF(VLOOKUP($A32,'Pre-Assessment Estimator'!$A$9:$V$100,N$2,FALSE)=0,"",VLOOKUP($A32,'Pre-Assessment Estimator'!$A$9:$V$100,N$2,FALSE))</f>
        <v/>
      </c>
      <c r="O32" s="747" t="str">
        <f>IF(VLOOKUP($A32,'Pre-Assessment Estimator'!$A$9:$V$100,O$2,FALSE)=0,"",VLOOKUP($A32,'Pre-Assessment Estimator'!$A$9:$V$100,O$2,FALSE))</f>
        <v/>
      </c>
      <c r="P32" s="748" t="str">
        <f>IF(VLOOKUP($A32,'Pre-Assessment Estimator'!$A$9:$V$100,P$2,FALSE)=0,"",VLOOKUP($A32,'Pre-Assessment Estimator'!$A$9:$V$100,P$2,FALSE))</f>
        <v/>
      </c>
      <c r="Q32" s="751"/>
      <c r="R32" s="750" t="str">
        <f>IF(VLOOKUP($A32,'Pre-Assessment Estimator'!$A$9:$V$100,R$2,FALSE)=0,"",VLOOKUP($A32,'Pre-Assessment Estimator'!$A$9:$V$100,R$2,FALSE))</f>
        <v/>
      </c>
      <c r="S32" s="747" t="str">
        <f>IF(VLOOKUP($A32,'Pre-Assessment Estimator'!$A$9:$V$100,S$2,FALSE)=0,"",VLOOKUP($A32,'Pre-Assessment Estimator'!$A$9:$V$100,S$2,FALSE))</f>
        <v/>
      </c>
      <c r="T32" s="747" t="str">
        <f>IF(VLOOKUP($A32,'Pre-Assessment Estimator'!$A$9:$V$100,T$2,FALSE)=0,"",VLOOKUP($A32,'Pre-Assessment Estimator'!$A$9:$V$100,T$2,FALSE))</f>
        <v/>
      </c>
      <c r="U32" s="747" t="str">
        <f>IF(VLOOKUP($A32,'Pre-Assessment Estimator'!$A$9:$V$100,U$2,FALSE)=0,"",VLOOKUP($A32,'Pre-Assessment Estimator'!$A$9:$V$100,U$2,FALSE))</f>
        <v/>
      </c>
      <c r="V32" s="491" t="str">
        <f>IF(VLOOKUP($A32,'Pre-Assessment Estimator'!$A$9:$V$100,V$2,FALSE)=0,"",VLOOKUP($A32,'Pre-Assessment Estimator'!$A$9:$V$100,V$2,FALSE))</f>
        <v/>
      </c>
      <c r="W32" s="880"/>
      <c r="X32" s="747" t="str">
        <f>IF(VLOOKUP($A32,'Pre-Assessment Estimator'!$A$9:$X$100,X$2,FALSE)=0,"",VLOOKUP($A32,'Pre-Assessment Estimator'!$A$9:$X$100,X$2,FALSE))</f>
        <v>O2: Sub-met. (AC 4-7: -1,0 c)</v>
      </c>
      <c r="AB32" s="519">
        <f t="shared" si="0"/>
        <v>1</v>
      </c>
      <c r="AC32" s="520" t="e">
        <f>VLOOKUP(I32,'Assessment Details'!$L$45:$M$48,2,FALSE)</f>
        <v>#N/A</v>
      </c>
      <c r="AD32" s="520" t="e">
        <f>VLOOKUP(N32,'Assessment Details'!$L$45:$M$48,2,FALSE)</f>
        <v>#N/A</v>
      </c>
      <c r="AE32" s="520" t="e">
        <f>VLOOKUP(T32,'Assessment Details'!$L$45:$M$48,2,FALSE)</f>
        <v>#N/A</v>
      </c>
    </row>
    <row r="33" spans="1:31" x14ac:dyDescent="0.25">
      <c r="A33" s="399">
        <v>25</v>
      </c>
      <c r="B33" s="439" t="s">
        <v>70</v>
      </c>
      <c r="C33" s="743" t="str">
        <f>Ene_03</f>
        <v>Ene 03 External lighting</v>
      </c>
      <c r="D33" s="744">
        <f>VLOOKUP($A33,'Pre-Assessment Estimator'!$A$9:$V$100,D$2,FALSE)</f>
        <v>1</v>
      </c>
      <c r="E33" s="744">
        <f>VLOOKUP($A33,'Pre-Assessment Estimator'!$A$9:$V$100,E$2,FALSE)</f>
        <v>0</v>
      </c>
      <c r="F33" s="745">
        <f>VLOOKUP($A33,'Pre-Assessment Estimator'!$A$9:$V$100,F$2,FALSE)</f>
        <v>0</v>
      </c>
      <c r="G33" s="752" t="str">
        <f>VLOOKUP($A33,'Pre-Assessment Estimator'!$A$9:$V$100,G$2,FALSE)</f>
        <v>N/A</v>
      </c>
      <c r="H33" s="747" t="str">
        <f>IF(VLOOKUP($A33,'Pre-Assessment Estimator'!$A$9:$V$100,H$2,FALSE)=0,"",VLOOKUP($A33,'Pre-Assessment Estimator'!$A$9:$V$100,H$2,FALSE))</f>
        <v/>
      </c>
      <c r="I33" s="747" t="str">
        <f>IF(VLOOKUP($A33,'Pre-Assessment Estimator'!$A$9:$V$100,I$2,FALSE)=0,"",VLOOKUP($A33,'Pre-Assessment Estimator'!$A$9:$V$100,I$2,FALSE))</f>
        <v/>
      </c>
      <c r="J33" s="748" t="str">
        <f>IF(VLOOKUP($A33,'Pre-Assessment Estimator'!$A$9:$V$100,J$2,FALSE)=0,"",VLOOKUP($A33,'Pre-Assessment Estimator'!$A$9:$V$100,J$2,FALSE))</f>
        <v/>
      </c>
      <c r="K33" s="749"/>
      <c r="L33" s="750" t="str">
        <f>IF(VLOOKUP($A33,'Pre-Assessment Estimator'!$A$9:$V$100,L$2,FALSE)=0,"",VLOOKUP($A33,'Pre-Assessment Estimator'!$A$9:$V$100,L$2,FALSE))</f>
        <v/>
      </c>
      <c r="M33" s="747" t="str">
        <f>IF(VLOOKUP($A33,'Pre-Assessment Estimator'!$A$9:$V$100,M$2,FALSE)=0,"",VLOOKUP($A33,'Pre-Assessment Estimator'!$A$9:$V$100,M$2,FALSE))</f>
        <v/>
      </c>
      <c r="N33" s="747" t="str">
        <f>IF(VLOOKUP($A33,'Pre-Assessment Estimator'!$A$9:$V$100,N$2,FALSE)=0,"",VLOOKUP($A33,'Pre-Assessment Estimator'!$A$9:$V$100,N$2,FALSE))</f>
        <v/>
      </c>
      <c r="O33" s="747" t="str">
        <f>IF(VLOOKUP($A33,'Pre-Assessment Estimator'!$A$9:$V$100,O$2,FALSE)=0,"",VLOOKUP($A33,'Pre-Assessment Estimator'!$A$9:$V$100,O$2,FALSE))</f>
        <v/>
      </c>
      <c r="P33" s="748" t="str">
        <f>IF(VLOOKUP($A33,'Pre-Assessment Estimator'!$A$9:$V$100,P$2,FALSE)=0,"",VLOOKUP($A33,'Pre-Assessment Estimator'!$A$9:$V$100,P$2,FALSE))</f>
        <v/>
      </c>
      <c r="Q33" s="751"/>
      <c r="R33" s="750" t="str">
        <f>IF(VLOOKUP($A33,'Pre-Assessment Estimator'!$A$9:$V$100,R$2,FALSE)=0,"",VLOOKUP($A33,'Pre-Assessment Estimator'!$A$9:$V$100,R$2,FALSE))</f>
        <v/>
      </c>
      <c r="S33" s="747" t="str">
        <f>IF(VLOOKUP($A33,'Pre-Assessment Estimator'!$A$9:$V$100,S$2,FALSE)=0,"",VLOOKUP($A33,'Pre-Assessment Estimator'!$A$9:$V$100,S$2,FALSE))</f>
        <v/>
      </c>
      <c r="T33" s="747" t="str">
        <f>IF(VLOOKUP($A33,'Pre-Assessment Estimator'!$A$9:$V$100,T$2,FALSE)=0,"",VLOOKUP($A33,'Pre-Assessment Estimator'!$A$9:$V$100,T$2,FALSE))</f>
        <v/>
      </c>
      <c r="U33" s="747" t="str">
        <f>IF(VLOOKUP($A33,'Pre-Assessment Estimator'!$A$9:$V$100,U$2,FALSE)=0,"",VLOOKUP($A33,'Pre-Assessment Estimator'!$A$9:$V$100,U$2,FALSE))</f>
        <v/>
      </c>
      <c r="V33" s="491" t="str">
        <f>IF(VLOOKUP($A33,'Pre-Assessment Estimator'!$A$9:$V$100,V$2,FALSE)=0,"",VLOOKUP($A33,'Pre-Assessment Estimator'!$A$9:$V$100,V$2,FALSE))</f>
        <v/>
      </c>
      <c r="W33" s="880"/>
      <c r="X33" s="747" t="str">
        <f>IF(VLOOKUP($A33,'Pre-Assessment Estimator'!$A$9:$X$100,X$2,FALSE)=0,"",VLOOKUP($A33,'Pre-Assessment Estimator'!$A$9:$X$100,X$2,FALSE))</f>
        <v>No</v>
      </c>
      <c r="AB33" s="519">
        <f t="shared" si="0"/>
        <v>1</v>
      </c>
      <c r="AC33" s="103" t="e">
        <f>VLOOKUP(I33,'Assessment Details'!$L$45:$M$48,2,FALSE)</f>
        <v>#N/A</v>
      </c>
      <c r="AD33" s="103" t="e">
        <f>VLOOKUP(N33,'Assessment Details'!$L$45:$M$48,2,FALSE)</f>
        <v>#N/A</v>
      </c>
      <c r="AE33" s="103" t="e">
        <f>VLOOKUP(T33,'Assessment Details'!$L$45:$M$48,2,FALSE)</f>
        <v>#N/A</v>
      </c>
    </row>
    <row r="34" spans="1:31" x14ac:dyDescent="0.25">
      <c r="A34" s="399">
        <v>26</v>
      </c>
      <c r="B34" s="439" t="s">
        <v>70</v>
      </c>
      <c r="C34" s="743" t="str">
        <f>Ene_04</f>
        <v>Ene 04 Low and zero carbon technologies</v>
      </c>
      <c r="D34" s="744">
        <f>VLOOKUP($A34,'Pre-Assessment Estimator'!$A$9:$V$100,D$2,FALSE)</f>
        <v>2</v>
      </c>
      <c r="E34" s="744">
        <f>VLOOKUP($A34,'Pre-Assessment Estimator'!$A$9:$V$100,E$2,FALSE)</f>
        <v>0</v>
      </c>
      <c r="F34" s="745">
        <f>VLOOKUP($A34,'Pre-Assessment Estimator'!$A$9:$V$100,F$2,FALSE)</f>
        <v>0</v>
      </c>
      <c r="G34" s="752" t="str">
        <f>VLOOKUP($A34,'Pre-Assessment Estimator'!$A$9:$V$100,G$2,FALSE)</f>
        <v>Very Good</v>
      </c>
      <c r="H34" s="747" t="str">
        <f>IF(VLOOKUP($A34,'Pre-Assessment Estimator'!$A$9:$V$100,H$2,FALSE)=0,"",VLOOKUP($A34,'Pre-Assessment Estimator'!$A$9:$V$100,H$2,FALSE))</f>
        <v/>
      </c>
      <c r="I34" s="747" t="str">
        <f>IF(VLOOKUP($A34,'Pre-Assessment Estimator'!$A$9:$V$100,I$2,FALSE)=0,"",VLOOKUP($A34,'Pre-Assessment Estimator'!$A$9:$V$100,I$2,FALSE))</f>
        <v/>
      </c>
      <c r="J34" s="748" t="str">
        <f>IF(VLOOKUP($A34,'Pre-Assessment Estimator'!$A$9:$V$100,J$2,FALSE)=0,"",VLOOKUP($A34,'Pre-Assessment Estimator'!$A$9:$V$100,J$2,FALSE))</f>
        <v/>
      </c>
      <c r="K34" s="749"/>
      <c r="L34" s="750" t="str">
        <f>IF(VLOOKUP($A34,'Pre-Assessment Estimator'!$A$9:$V$100,L$2,FALSE)=0,"",VLOOKUP($A34,'Pre-Assessment Estimator'!$A$9:$V$100,L$2,FALSE))</f>
        <v/>
      </c>
      <c r="M34" s="747" t="str">
        <f>IF(VLOOKUP($A34,'Pre-Assessment Estimator'!$A$9:$V$100,M$2,FALSE)=0,"",VLOOKUP($A34,'Pre-Assessment Estimator'!$A$9:$V$100,M$2,FALSE))</f>
        <v/>
      </c>
      <c r="N34" s="747" t="str">
        <f>IF(VLOOKUP($A34,'Pre-Assessment Estimator'!$A$9:$V$100,N$2,FALSE)=0,"",VLOOKUP($A34,'Pre-Assessment Estimator'!$A$9:$V$100,N$2,FALSE))</f>
        <v/>
      </c>
      <c r="O34" s="747" t="str">
        <f>IF(VLOOKUP($A34,'Pre-Assessment Estimator'!$A$9:$V$100,O$2,FALSE)=0,"",VLOOKUP($A34,'Pre-Assessment Estimator'!$A$9:$V$100,O$2,FALSE))</f>
        <v/>
      </c>
      <c r="P34" s="748" t="str">
        <f>IF(VLOOKUP($A34,'Pre-Assessment Estimator'!$A$9:$V$100,P$2,FALSE)=0,"",VLOOKUP($A34,'Pre-Assessment Estimator'!$A$9:$V$100,P$2,FALSE))</f>
        <v/>
      </c>
      <c r="Q34" s="751"/>
      <c r="R34" s="750" t="str">
        <f>IF(VLOOKUP($A34,'Pre-Assessment Estimator'!$A$9:$V$100,R$2,FALSE)=0,"",VLOOKUP($A34,'Pre-Assessment Estimator'!$A$9:$V$100,R$2,FALSE))</f>
        <v/>
      </c>
      <c r="S34" s="747" t="str">
        <f>IF(VLOOKUP($A34,'Pre-Assessment Estimator'!$A$9:$V$100,S$2,FALSE)=0,"",VLOOKUP($A34,'Pre-Assessment Estimator'!$A$9:$V$100,S$2,FALSE))</f>
        <v/>
      </c>
      <c r="T34" s="747" t="str">
        <f>IF(VLOOKUP($A34,'Pre-Assessment Estimator'!$A$9:$V$100,T$2,FALSE)=0,"",VLOOKUP($A34,'Pre-Assessment Estimator'!$A$9:$V$100,T$2,FALSE))</f>
        <v/>
      </c>
      <c r="U34" s="747" t="str">
        <f>IF(VLOOKUP($A34,'Pre-Assessment Estimator'!$A$9:$V$100,U$2,FALSE)=0,"",VLOOKUP($A34,'Pre-Assessment Estimator'!$A$9:$V$100,U$2,FALSE))</f>
        <v/>
      </c>
      <c r="V34" s="491" t="str">
        <f>IF(VLOOKUP($A34,'Pre-Assessment Estimator'!$A$9:$V$100,V$2,FALSE)=0,"",VLOOKUP($A34,'Pre-Assessment Estimator'!$A$9:$V$100,V$2,FALSE))</f>
        <v/>
      </c>
      <c r="W34" s="880"/>
      <c r="X34" s="747" t="str">
        <f>IF(VLOOKUP($A34,'Pre-Assessment Estimator'!$A$9:$X$100,X$2,FALSE)=0,"",VLOOKUP($A34,'Pre-Assessment Estimator'!$A$9:$X$100,X$2,FALSE))</f>
        <v>No</v>
      </c>
      <c r="AB34" s="519">
        <f t="shared" si="0"/>
        <v>1</v>
      </c>
      <c r="AC34" s="520" t="e">
        <f>VLOOKUP(I34,'Assessment Details'!$L$45:$M$48,2,FALSE)</f>
        <v>#N/A</v>
      </c>
      <c r="AD34" s="520" t="e">
        <f>VLOOKUP(N34,'Assessment Details'!$L$45:$M$48,2,FALSE)</f>
        <v>#N/A</v>
      </c>
      <c r="AE34" s="520" t="e">
        <f>VLOOKUP(T34,'Assessment Details'!$L$45:$M$48,2,FALSE)</f>
        <v>#N/A</v>
      </c>
    </row>
    <row r="35" spans="1:31" x14ac:dyDescent="0.25">
      <c r="A35" s="399">
        <v>27</v>
      </c>
      <c r="B35" s="439" t="s">
        <v>70</v>
      </c>
      <c r="C35" s="743" t="str">
        <f>Ene_05</f>
        <v>Ene 05 Energy efficient cold storage</v>
      </c>
      <c r="D35" s="744">
        <f>VLOOKUP($A35,'Pre-Assessment Estimator'!$A$9:$V$100,D$2,FALSE)</f>
        <v>0</v>
      </c>
      <c r="E35" s="744">
        <f>VLOOKUP($A35,'Pre-Assessment Estimator'!$A$9:$V$100,E$2,FALSE)</f>
        <v>0</v>
      </c>
      <c r="F35" s="745">
        <f>VLOOKUP($A35,'Pre-Assessment Estimator'!$A$9:$V$100,F$2,FALSE)</f>
        <v>0</v>
      </c>
      <c r="G35" s="752" t="str">
        <f>VLOOKUP($A35,'Pre-Assessment Estimator'!$A$9:$V$100,G$2,FALSE)</f>
        <v>N/A</v>
      </c>
      <c r="H35" s="747" t="str">
        <f>IF(VLOOKUP($A35,'Pre-Assessment Estimator'!$A$9:$V$100,H$2,FALSE)=0,"",VLOOKUP($A35,'Pre-Assessment Estimator'!$A$9:$V$100,H$2,FALSE))</f>
        <v/>
      </c>
      <c r="I35" s="747" t="str">
        <f>IF(VLOOKUP($A35,'Pre-Assessment Estimator'!$A$9:$V$100,I$2,FALSE)=0,"",VLOOKUP($A35,'Pre-Assessment Estimator'!$A$9:$V$100,I$2,FALSE))</f>
        <v/>
      </c>
      <c r="J35" s="748" t="str">
        <f>IF(VLOOKUP($A35,'Pre-Assessment Estimator'!$A$9:$V$100,J$2,FALSE)=0,"",VLOOKUP($A35,'Pre-Assessment Estimator'!$A$9:$V$100,J$2,FALSE))</f>
        <v/>
      </c>
      <c r="K35" s="749"/>
      <c r="L35" s="750" t="str">
        <f>IF(VLOOKUP($A35,'Pre-Assessment Estimator'!$A$9:$V$100,L$2,FALSE)=0,"",VLOOKUP($A35,'Pre-Assessment Estimator'!$A$9:$V$100,L$2,FALSE))</f>
        <v/>
      </c>
      <c r="M35" s="747" t="str">
        <f>IF(VLOOKUP($A35,'Pre-Assessment Estimator'!$A$9:$V$100,M$2,FALSE)=0,"",VLOOKUP($A35,'Pre-Assessment Estimator'!$A$9:$V$100,M$2,FALSE))</f>
        <v/>
      </c>
      <c r="N35" s="747" t="str">
        <f>IF(VLOOKUP($A35,'Pre-Assessment Estimator'!$A$9:$V$100,N$2,FALSE)=0,"",VLOOKUP($A35,'Pre-Assessment Estimator'!$A$9:$V$100,N$2,FALSE))</f>
        <v/>
      </c>
      <c r="O35" s="747" t="str">
        <f>IF(VLOOKUP($A35,'Pre-Assessment Estimator'!$A$9:$V$100,O$2,FALSE)=0,"",VLOOKUP($A35,'Pre-Assessment Estimator'!$A$9:$V$100,O$2,FALSE))</f>
        <v/>
      </c>
      <c r="P35" s="748" t="str">
        <f>IF(VLOOKUP($A35,'Pre-Assessment Estimator'!$A$9:$V$100,P$2,FALSE)=0,"",VLOOKUP($A35,'Pre-Assessment Estimator'!$A$9:$V$100,P$2,FALSE))</f>
        <v/>
      </c>
      <c r="Q35" s="751"/>
      <c r="R35" s="750" t="str">
        <f>IF(VLOOKUP($A35,'Pre-Assessment Estimator'!$A$9:$V$100,R$2,FALSE)=0,"",VLOOKUP($A35,'Pre-Assessment Estimator'!$A$9:$V$100,R$2,FALSE))</f>
        <v/>
      </c>
      <c r="S35" s="747" t="str">
        <f>IF(VLOOKUP($A35,'Pre-Assessment Estimator'!$A$9:$V$100,S$2,FALSE)=0,"",VLOOKUP($A35,'Pre-Assessment Estimator'!$A$9:$V$100,S$2,FALSE))</f>
        <v/>
      </c>
      <c r="T35" s="747" t="str">
        <f>IF(VLOOKUP($A35,'Pre-Assessment Estimator'!$A$9:$V$100,T$2,FALSE)=0,"",VLOOKUP($A35,'Pre-Assessment Estimator'!$A$9:$V$100,T$2,FALSE))</f>
        <v/>
      </c>
      <c r="U35" s="747" t="str">
        <f>IF(VLOOKUP($A35,'Pre-Assessment Estimator'!$A$9:$V$100,U$2,FALSE)=0,"",VLOOKUP($A35,'Pre-Assessment Estimator'!$A$9:$V$100,U$2,FALSE))</f>
        <v/>
      </c>
      <c r="V35" s="491" t="str">
        <f>IF(VLOOKUP($A35,'Pre-Assessment Estimator'!$A$9:$V$100,V$2,FALSE)=0,"",VLOOKUP($A35,'Pre-Assessment Estimator'!$A$9:$V$100,V$2,FALSE))</f>
        <v/>
      </c>
      <c r="W35" s="880"/>
      <c r="X35" s="747" t="str">
        <f>IF(VLOOKUP($A35,'Pre-Assessment Estimator'!$A$9:$X$100,X$2,FALSE)=0,"",VLOOKUP($A35,'Pre-Assessment Estimator'!$A$9:$X$100,X$2,FALSE))</f>
        <v>No</v>
      </c>
      <c r="AB35" s="519">
        <f t="shared" si="0"/>
        <v>2</v>
      </c>
      <c r="AC35" s="103" t="e">
        <f>VLOOKUP(I35,'Assessment Details'!$L$45:$M$48,2,FALSE)</f>
        <v>#N/A</v>
      </c>
      <c r="AD35" s="103" t="e">
        <f>VLOOKUP(N35,'Assessment Details'!$L$45:$M$48,2,FALSE)</f>
        <v>#N/A</v>
      </c>
      <c r="AE35" s="103" t="e">
        <f>VLOOKUP(T35,'Assessment Details'!$L$45:$M$48,2,FALSE)</f>
        <v>#N/A</v>
      </c>
    </row>
    <row r="36" spans="1:31" ht="30" x14ac:dyDescent="0.25">
      <c r="A36" s="399">
        <v>28</v>
      </c>
      <c r="B36" s="439" t="s">
        <v>70</v>
      </c>
      <c r="C36" s="743" t="str">
        <f>Ene_06</f>
        <v>Ene 06 Energy efficient transportation systems</v>
      </c>
      <c r="D36" s="744">
        <f>VLOOKUP($A36,'Pre-Assessment Estimator'!$A$9:$V$100,D$2,FALSE)</f>
        <v>0</v>
      </c>
      <c r="E36" s="744">
        <f>VLOOKUP($A36,'Pre-Assessment Estimator'!$A$9:$V$100,E$2,FALSE)</f>
        <v>0</v>
      </c>
      <c r="F36" s="745">
        <f>VLOOKUP($A36,'Pre-Assessment Estimator'!$A$9:$V$100,F$2,FALSE)</f>
        <v>0</v>
      </c>
      <c r="G36" s="752" t="str">
        <f>VLOOKUP($A36,'Pre-Assessment Estimator'!$A$9:$V$100,G$2,FALSE)</f>
        <v>N/A</v>
      </c>
      <c r="H36" s="747" t="str">
        <f>IF(VLOOKUP($A36,'Pre-Assessment Estimator'!$A$9:$V$100,H$2,FALSE)=0,"",VLOOKUP($A36,'Pre-Assessment Estimator'!$A$9:$V$100,H$2,FALSE))</f>
        <v/>
      </c>
      <c r="I36" s="747" t="str">
        <f>IF(VLOOKUP($A36,'Pre-Assessment Estimator'!$A$9:$V$100,I$2,FALSE)=0,"",VLOOKUP($A36,'Pre-Assessment Estimator'!$A$9:$V$100,I$2,FALSE))</f>
        <v/>
      </c>
      <c r="J36" s="748" t="str">
        <f>IF(VLOOKUP($A36,'Pre-Assessment Estimator'!$A$9:$V$100,J$2,FALSE)=0,"",VLOOKUP($A36,'Pre-Assessment Estimator'!$A$9:$V$100,J$2,FALSE))</f>
        <v/>
      </c>
      <c r="K36" s="749"/>
      <c r="L36" s="750" t="str">
        <f>IF(VLOOKUP($A36,'Pre-Assessment Estimator'!$A$9:$V$100,L$2,FALSE)=0,"",VLOOKUP($A36,'Pre-Assessment Estimator'!$A$9:$V$100,L$2,FALSE))</f>
        <v/>
      </c>
      <c r="M36" s="747" t="str">
        <f>IF(VLOOKUP($A36,'Pre-Assessment Estimator'!$A$9:$V$100,M$2,FALSE)=0,"",VLOOKUP($A36,'Pre-Assessment Estimator'!$A$9:$V$100,M$2,FALSE))</f>
        <v/>
      </c>
      <c r="N36" s="747" t="str">
        <f>IF(VLOOKUP($A36,'Pre-Assessment Estimator'!$A$9:$V$100,N$2,FALSE)=0,"",VLOOKUP($A36,'Pre-Assessment Estimator'!$A$9:$V$100,N$2,FALSE))</f>
        <v/>
      </c>
      <c r="O36" s="747" t="str">
        <f>IF(VLOOKUP($A36,'Pre-Assessment Estimator'!$A$9:$V$100,O$2,FALSE)=0,"",VLOOKUP($A36,'Pre-Assessment Estimator'!$A$9:$V$100,O$2,FALSE))</f>
        <v/>
      </c>
      <c r="P36" s="748" t="str">
        <f>IF(VLOOKUP($A36,'Pre-Assessment Estimator'!$A$9:$V$100,P$2,FALSE)=0,"",VLOOKUP($A36,'Pre-Assessment Estimator'!$A$9:$V$100,P$2,FALSE))</f>
        <v/>
      </c>
      <c r="Q36" s="751"/>
      <c r="R36" s="750" t="str">
        <f>IF(VLOOKUP($A36,'Pre-Assessment Estimator'!$A$9:$V$100,R$2,FALSE)=0,"",VLOOKUP($A36,'Pre-Assessment Estimator'!$A$9:$V$100,R$2,FALSE))</f>
        <v/>
      </c>
      <c r="S36" s="747" t="str">
        <f>IF(VLOOKUP($A36,'Pre-Assessment Estimator'!$A$9:$V$100,S$2,FALSE)=0,"",VLOOKUP($A36,'Pre-Assessment Estimator'!$A$9:$V$100,S$2,FALSE))</f>
        <v/>
      </c>
      <c r="T36" s="747" t="str">
        <f>IF(VLOOKUP($A36,'Pre-Assessment Estimator'!$A$9:$V$100,T$2,FALSE)=0,"",VLOOKUP($A36,'Pre-Assessment Estimator'!$A$9:$V$100,T$2,FALSE))</f>
        <v/>
      </c>
      <c r="U36" s="747" t="str">
        <f>IF(VLOOKUP($A36,'Pre-Assessment Estimator'!$A$9:$V$100,U$2,FALSE)=0,"",VLOOKUP($A36,'Pre-Assessment Estimator'!$A$9:$V$100,U$2,FALSE))</f>
        <v/>
      </c>
      <c r="V36" s="491" t="str">
        <f>IF(VLOOKUP($A36,'Pre-Assessment Estimator'!$A$9:$V$100,V$2,FALSE)=0,"",VLOOKUP($A36,'Pre-Assessment Estimator'!$A$9:$V$100,V$2,FALSE))</f>
        <v/>
      </c>
      <c r="W36" s="880"/>
      <c r="X36" s="747" t="str">
        <f>IF(VLOOKUP($A36,'Pre-Assessment Estimator'!$A$9:$X$100,X$2,FALSE)=0,"",VLOOKUP($A36,'Pre-Assessment Estimator'!$A$9:$X$100,X$2,FALSE))</f>
        <v>No</v>
      </c>
      <c r="AB36" s="519">
        <f t="shared" si="0"/>
        <v>2</v>
      </c>
      <c r="AC36" s="103" t="e">
        <f>VLOOKUP(I36,'Assessment Details'!$L$45:$M$48,2,FALSE)</f>
        <v>#N/A</v>
      </c>
      <c r="AD36" s="103" t="e">
        <f>VLOOKUP(N36,'Assessment Details'!$L$45:$M$48,2,FALSE)</f>
        <v>#N/A</v>
      </c>
      <c r="AE36" s="103" t="e">
        <f>VLOOKUP(T36,'Assessment Details'!$L$45:$M$48,2,FALSE)</f>
        <v>#N/A</v>
      </c>
    </row>
    <row r="37" spans="1:31" x14ac:dyDescent="0.25">
      <c r="A37" s="399">
        <v>29</v>
      </c>
      <c r="B37" s="439" t="s">
        <v>70</v>
      </c>
      <c r="C37" s="743" t="str">
        <f>Ene_07</f>
        <v>Ene 07 Energy Efficient Laboratory Systems</v>
      </c>
      <c r="D37" s="744">
        <f>VLOOKUP($A37,'Pre-Assessment Estimator'!$A$9:$V$100,D$2,FALSE)</f>
        <v>0</v>
      </c>
      <c r="E37" s="744">
        <f>VLOOKUP($A37,'Pre-Assessment Estimator'!$A$9:$V$100,E$2,FALSE)</f>
        <v>0</v>
      </c>
      <c r="F37" s="745">
        <f>VLOOKUP($A37,'Pre-Assessment Estimator'!$A$9:$V$100,F$2,FALSE)</f>
        <v>0</v>
      </c>
      <c r="G37" s="752" t="str">
        <f>VLOOKUP($A37,'Pre-Assessment Estimator'!$A$9:$V$100,G$2,FALSE)</f>
        <v>N/A</v>
      </c>
      <c r="H37" s="747" t="str">
        <f>IF(VLOOKUP($A37,'Pre-Assessment Estimator'!$A$9:$V$100,H$2,FALSE)=0,"",VLOOKUP($A37,'Pre-Assessment Estimator'!$A$9:$V$100,H$2,FALSE))</f>
        <v/>
      </c>
      <c r="I37" s="747" t="str">
        <f>IF(VLOOKUP($A37,'Pre-Assessment Estimator'!$A$9:$V$100,I$2,FALSE)=0,"",VLOOKUP($A37,'Pre-Assessment Estimator'!$A$9:$V$100,I$2,FALSE))</f>
        <v/>
      </c>
      <c r="J37" s="748" t="str">
        <f>IF(VLOOKUP($A37,'Pre-Assessment Estimator'!$A$9:$V$100,J$2,FALSE)=0,"",VLOOKUP($A37,'Pre-Assessment Estimator'!$A$9:$V$100,J$2,FALSE))</f>
        <v/>
      </c>
      <c r="K37" s="749"/>
      <c r="L37" s="750" t="str">
        <f>IF(VLOOKUP($A37,'Pre-Assessment Estimator'!$A$9:$V$100,L$2,FALSE)=0,"",VLOOKUP($A37,'Pre-Assessment Estimator'!$A$9:$V$100,L$2,FALSE))</f>
        <v/>
      </c>
      <c r="M37" s="747" t="str">
        <f>IF(VLOOKUP($A37,'Pre-Assessment Estimator'!$A$9:$V$100,M$2,FALSE)=0,"",VLOOKUP($A37,'Pre-Assessment Estimator'!$A$9:$V$100,M$2,FALSE))</f>
        <v/>
      </c>
      <c r="N37" s="747" t="str">
        <f>IF(VLOOKUP($A37,'Pre-Assessment Estimator'!$A$9:$V$100,N$2,FALSE)=0,"",VLOOKUP($A37,'Pre-Assessment Estimator'!$A$9:$V$100,N$2,FALSE))</f>
        <v/>
      </c>
      <c r="O37" s="747" t="str">
        <f>IF(VLOOKUP($A37,'Pre-Assessment Estimator'!$A$9:$V$100,O$2,FALSE)=0,"",VLOOKUP($A37,'Pre-Assessment Estimator'!$A$9:$V$100,O$2,FALSE))</f>
        <v/>
      </c>
      <c r="P37" s="748" t="str">
        <f>IF(VLOOKUP($A37,'Pre-Assessment Estimator'!$A$9:$V$100,P$2,FALSE)=0,"",VLOOKUP($A37,'Pre-Assessment Estimator'!$A$9:$V$100,P$2,FALSE))</f>
        <v/>
      </c>
      <c r="Q37" s="751"/>
      <c r="R37" s="750" t="str">
        <f>IF(VLOOKUP($A37,'Pre-Assessment Estimator'!$A$9:$V$100,R$2,FALSE)=0,"",VLOOKUP($A37,'Pre-Assessment Estimator'!$A$9:$V$100,R$2,FALSE))</f>
        <v/>
      </c>
      <c r="S37" s="747" t="str">
        <f>IF(VLOOKUP($A37,'Pre-Assessment Estimator'!$A$9:$V$100,S$2,FALSE)=0,"",VLOOKUP($A37,'Pre-Assessment Estimator'!$A$9:$V$100,S$2,FALSE))</f>
        <v/>
      </c>
      <c r="T37" s="747" t="str">
        <f>IF(VLOOKUP($A37,'Pre-Assessment Estimator'!$A$9:$V$100,T$2,FALSE)=0,"",VLOOKUP($A37,'Pre-Assessment Estimator'!$A$9:$V$100,T$2,FALSE))</f>
        <v/>
      </c>
      <c r="U37" s="747" t="str">
        <f>IF(VLOOKUP($A37,'Pre-Assessment Estimator'!$A$9:$V$100,U$2,FALSE)=0,"",VLOOKUP($A37,'Pre-Assessment Estimator'!$A$9:$V$100,U$2,FALSE))</f>
        <v/>
      </c>
      <c r="V37" s="491" t="str">
        <f>IF(VLOOKUP($A37,'Pre-Assessment Estimator'!$A$9:$V$100,V$2,FALSE)=0,"",VLOOKUP($A37,'Pre-Assessment Estimator'!$A$9:$V$100,V$2,FALSE))</f>
        <v/>
      </c>
      <c r="W37" s="880"/>
      <c r="X37" s="747" t="str">
        <f>IF(VLOOKUP($A37,'Pre-Assessment Estimator'!$A$9:$X$100,X$2,FALSE)=0,"",VLOOKUP($A37,'Pre-Assessment Estimator'!$A$9:$X$100,X$2,FALSE))</f>
        <v>N/A</v>
      </c>
      <c r="AB37" s="519">
        <f t="shared" si="0"/>
        <v>2</v>
      </c>
      <c r="AC37" s="520" t="e">
        <f>VLOOKUP(I37,'Assessment Details'!$L$45:$M$48,2,FALSE)</f>
        <v>#N/A</v>
      </c>
      <c r="AD37" s="520" t="e">
        <f>VLOOKUP(N37,'Assessment Details'!$L$45:$M$48,2,FALSE)</f>
        <v>#N/A</v>
      </c>
      <c r="AE37" s="520" t="e">
        <f>VLOOKUP(T37,'Assessment Details'!$L$45:$M$48,2,FALSE)</f>
        <v>#N/A</v>
      </c>
    </row>
    <row r="38" spans="1:31" x14ac:dyDescent="0.25">
      <c r="A38" s="399">
        <v>30</v>
      </c>
      <c r="B38" s="439" t="s">
        <v>70</v>
      </c>
      <c r="C38" s="743" t="str">
        <f>Ene_08</f>
        <v>Ene 08 Energy efficient equipment</v>
      </c>
      <c r="D38" s="744">
        <f>VLOOKUP($A38,'Pre-Assessment Estimator'!$A$9:$V$100,D$2,FALSE)</f>
        <v>2</v>
      </c>
      <c r="E38" s="744">
        <f>VLOOKUP($A38,'Pre-Assessment Estimator'!$A$9:$V$100,E$2,FALSE)</f>
        <v>0</v>
      </c>
      <c r="F38" s="745">
        <f>VLOOKUP($A38,'Pre-Assessment Estimator'!$A$9:$V$100,F$2,FALSE)</f>
        <v>0</v>
      </c>
      <c r="G38" s="746" t="str">
        <f>VLOOKUP($A38,'Pre-Assessment Estimator'!$A$9:$V$100,G$2,FALSE)</f>
        <v>N/A</v>
      </c>
      <c r="H38" s="747" t="str">
        <f>IF(VLOOKUP($A38,'Pre-Assessment Estimator'!$A$9:$V$100,H$2,FALSE)=0,"",VLOOKUP($A38,'Pre-Assessment Estimator'!$A$9:$V$100,H$2,FALSE))</f>
        <v/>
      </c>
      <c r="I38" s="747" t="str">
        <f>IF(VLOOKUP($A38,'Pre-Assessment Estimator'!$A$9:$V$100,I$2,FALSE)=0,"",VLOOKUP($A38,'Pre-Assessment Estimator'!$A$9:$V$100,I$2,FALSE))</f>
        <v/>
      </c>
      <c r="J38" s="748" t="str">
        <f>IF(VLOOKUP($A38,'Pre-Assessment Estimator'!$A$9:$V$100,J$2,FALSE)=0,"",VLOOKUP($A38,'Pre-Assessment Estimator'!$A$9:$V$100,J$2,FALSE))</f>
        <v/>
      </c>
      <c r="K38" s="749"/>
      <c r="L38" s="750" t="str">
        <f>IF(VLOOKUP($A38,'Pre-Assessment Estimator'!$A$9:$V$100,L$2,FALSE)=0,"",VLOOKUP($A38,'Pre-Assessment Estimator'!$A$9:$V$100,L$2,FALSE))</f>
        <v/>
      </c>
      <c r="M38" s="747" t="str">
        <f>IF(VLOOKUP($A38,'Pre-Assessment Estimator'!$A$9:$V$100,M$2,FALSE)=0,"",VLOOKUP($A38,'Pre-Assessment Estimator'!$A$9:$V$100,M$2,FALSE))</f>
        <v/>
      </c>
      <c r="N38" s="747" t="str">
        <f>IF(VLOOKUP($A38,'Pre-Assessment Estimator'!$A$9:$V$100,N$2,FALSE)=0,"",VLOOKUP($A38,'Pre-Assessment Estimator'!$A$9:$V$100,N$2,FALSE))</f>
        <v/>
      </c>
      <c r="O38" s="747" t="str">
        <f>IF(VLOOKUP($A38,'Pre-Assessment Estimator'!$A$9:$V$100,O$2,FALSE)=0,"",VLOOKUP($A38,'Pre-Assessment Estimator'!$A$9:$V$100,O$2,FALSE))</f>
        <v/>
      </c>
      <c r="P38" s="748" t="str">
        <f>IF(VLOOKUP($A38,'Pre-Assessment Estimator'!$A$9:$V$100,P$2,FALSE)=0,"",VLOOKUP($A38,'Pre-Assessment Estimator'!$A$9:$V$100,P$2,FALSE))</f>
        <v/>
      </c>
      <c r="Q38" s="751"/>
      <c r="R38" s="750" t="str">
        <f>IF(VLOOKUP($A38,'Pre-Assessment Estimator'!$A$9:$V$100,R$2,FALSE)=0,"",VLOOKUP($A38,'Pre-Assessment Estimator'!$A$9:$V$100,R$2,FALSE))</f>
        <v/>
      </c>
      <c r="S38" s="747" t="str">
        <f>IF(VLOOKUP($A38,'Pre-Assessment Estimator'!$A$9:$V$100,S$2,FALSE)=0,"",VLOOKUP($A38,'Pre-Assessment Estimator'!$A$9:$V$100,S$2,FALSE))</f>
        <v/>
      </c>
      <c r="T38" s="747" t="str">
        <f>IF(VLOOKUP($A38,'Pre-Assessment Estimator'!$A$9:$V$100,T$2,FALSE)=0,"",VLOOKUP($A38,'Pre-Assessment Estimator'!$A$9:$V$100,T$2,FALSE))</f>
        <v/>
      </c>
      <c r="U38" s="747" t="str">
        <f>IF(VLOOKUP($A38,'Pre-Assessment Estimator'!$A$9:$V$100,U$2,FALSE)=0,"",VLOOKUP($A38,'Pre-Assessment Estimator'!$A$9:$V$100,U$2,FALSE))</f>
        <v/>
      </c>
      <c r="V38" s="491" t="str">
        <f>IF(VLOOKUP($A38,'Pre-Assessment Estimator'!$A$9:$V$100,V$2,FALSE)=0,"",VLOOKUP($A38,'Pre-Assessment Estimator'!$A$9:$V$100,V$2,FALSE))</f>
        <v/>
      </c>
      <c r="W38" s="880"/>
      <c r="X38" s="747" t="str">
        <f>IF(VLOOKUP($A38,'Pre-Assessment Estimator'!$A$9:$X$100,X$2,FALSE)=0,"",VLOOKUP($A38,'Pre-Assessment Estimator'!$A$9:$X$100,X$2,FALSE))</f>
        <v>No</v>
      </c>
      <c r="AB38" s="519">
        <f t="shared" si="0"/>
        <v>1</v>
      </c>
      <c r="AC38" s="520" t="e">
        <f>VLOOKUP(I38,'Assessment Details'!$L$45:$M$48,2,FALSE)</f>
        <v>#N/A</v>
      </c>
      <c r="AD38" s="520" t="e">
        <f>VLOOKUP(N38,'Assessment Details'!$L$45:$M$48,2,FALSE)</f>
        <v>#N/A</v>
      </c>
      <c r="AE38" s="520" t="e">
        <f>VLOOKUP(T38,'Assessment Details'!$L$45:$M$48,2,FALSE)</f>
        <v>#N/A</v>
      </c>
    </row>
    <row r="39" spans="1:31" x14ac:dyDescent="0.25">
      <c r="A39" s="399">
        <v>31</v>
      </c>
      <c r="B39" s="439" t="s">
        <v>70</v>
      </c>
      <c r="C39" s="743" t="str">
        <f>Ene_09</f>
        <v>Ene 09 Drying space</v>
      </c>
      <c r="D39" s="744">
        <f>VLOOKUP($A39,'Pre-Assessment Estimator'!$A$9:$V$100,D$2,FALSE)</f>
        <v>0</v>
      </c>
      <c r="E39" s="744">
        <f>VLOOKUP($A39,'Pre-Assessment Estimator'!$A$9:$V$100,E$2,FALSE)</f>
        <v>0</v>
      </c>
      <c r="F39" s="745">
        <f>VLOOKUP($A39,'Pre-Assessment Estimator'!$A$9:$V$100,F$2,FALSE)</f>
        <v>0</v>
      </c>
      <c r="G39" s="752" t="str">
        <f>VLOOKUP($A39,'Pre-Assessment Estimator'!$A$9:$V$100,G$2,FALSE)</f>
        <v>N/A</v>
      </c>
      <c r="H39" s="747" t="str">
        <f>IF(VLOOKUP($A39,'Pre-Assessment Estimator'!$A$9:$V$100,H$2,FALSE)=0,"",VLOOKUP($A39,'Pre-Assessment Estimator'!$A$9:$V$100,H$2,FALSE))</f>
        <v/>
      </c>
      <c r="I39" s="747" t="str">
        <f>IF(VLOOKUP($A39,'Pre-Assessment Estimator'!$A$9:$V$100,I$2,FALSE)=0,"",VLOOKUP($A39,'Pre-Assessment Estimator'!$A$9:$V$100,I$2,FALSE))</f>
        <v/>
      </c>
      <c r="J39" s="748" t="str">
        <f>IF(VLOOKUP($A39,'Pre-Assessment Estimator'!$A$9:$V$100,J$2,FALSE)=0,"",VLOOKUP($A39,'Pre-Assessment Estimator'!$A$9:$V$100,J$2,FALSE))</f>
        <v/>
      </c>
      <c r="K39" s="749"/>
      <c r="L39" s="750" t="str">
        <f>IF(VLOOKUP($A39,'Pre-Assessment Estimator'!$A$9:$V$100,L$2,FALSE)=0,"",VLOOKUP($A39,'Pre-Assessment Estimator'!$A$9:$V$100,L$2,FALSE))</f>
        <v/>
      </c>
      <c r="M39" s="747" t="str">
        <f>IF(VLOOKUP($A39,'Pre-Assessment Estimator'!$A$9:$V$100,M$2,FALSE)=0,"",VLOOKUP($A39,'Pre-Assessment Estimator'!$A$9:$V$100,M$2,FALSE))</f>
        <v/>
      </c>
      <c r="N39" s="747" t="str">
        <f>IF(VLOOKUP($A39,'Pre-Assessment Estimator'!$A$9:$V$100,N$2,FALSE)=0,"",VLOOKUP($A39,'Pre-Assessment Estimator'!$A$9:$V$100,N$2,FALSE))</f>
        <v/>
      </c>
      <c r="O39" s="747" t="str">
        <f>IF(VLOOKUP($A39,'Pre-Assessment Estimator'!$A$9:$V$100,O$2,FALSE)=0,"",VLOOKUP($A39,'Pre-Assessment Estimator'!$A$9:$V$100,O$2,FALSE))</f>
        <v/>
      </c>
      <c r="P39" s="748" t="str">
        <f>IF(VLOOKUP($A39,'Pre-Assessment Estimator'!$A$9:$V$100,P$2,FALSE)=0,"",VLOOKUP($A39,'Pre-Assessment Estimator'!$A$9:$V$100,P$2,FALSE))</f>
        <v/>
      </c>
      <c r="Q39" s="751"/>
      <c r="R39" s="750" t="str">
        <f>IF(VLOOKUP($A39,'Pre-Assessment Estimator'!$A$9:$V$100,R$2,FALSE)=0,"",VLOOKUP($A39,'Pre-Assessment Estimator'!$A$9:$V$100,R$2,FALSE))</f>
        <v/>
      </c>
      <c r="S39" s="747" t="str">
        <f>IF(VLOOKUP($A39,'Pre-Assessment Estimator'!$A$9:$V$100,S$2,FALSE)=0,"",VLOOKUP($A39,'Pre-Assessment Estimator'!$A$9:$V$100,S$2,FALSE))</f>
        <v/>
      </c>
      <c r="T39" s="747" t="str">
        <f>IF(VLOOKUP($A39,'Pre-Assessment Estimator'!$A$9:$V$100,T$2,FALSE)=0,"",VLOOKUP($A39,'Pre-Assessment Estimator'!$A$9:$V$100,T$2,FALSE))</f>
        <v/>
      </c>
      <c r="U39" s="747" t="str">
        <f>IF(VLOOKUP($A39,'Pre-Assessment Estimator'!$A$9:$V$100,U$2,FALSE)=0,"",VLOOKUP($A39,'Pre-Assessment Estimator'!$A$9:$V$100,U$2,FALSE))</f>
        <v/>
      </c>
      <c r="V39" s="491" t="str">
        <f>IF(VLOOKUP($A39,'Pre-Assessment Estimator'!$A$9:$V$100,V$2,FALSE)=0,"",VLOOKUP($A39,'Pre-Assessment Estimator'!$A$9:$V$100,V$2,FALSE))</f>
        <v/>
      </c>
      <c r="W39" s="880"/>
      <c r="X39" s="747" t="str">
        <f>IF(VLOOKUP($A39,'Pre-Assessment Estimator'!$A$9:$X$100,X$2,FALSE)=0,"",VLOOKUP($A39,'Pre-Assessment Estimator'!$A$9:$X$100,X$2,FALSE))</f>
        <v>No</v>
      </c>
      <c r="AB39" s="519">
        <f t="shared" si="0"/>
        <v>2</v>
      </c>
      <c r="AC39" s="520" t="e">
        <f>VLOOKUP(I39,'Assessment Details'!$L$45:$M$48,2,FALSE)</f>
        <v>#N/A</v>
      </c>
      <c r="AD39" s="520" t="e">
        <f>VLOOKUP(N39,'Assessment Details'!$L$45:$M$48,2,FALSE)</f>
        <v>#N/A</v>
      </c>
      <c r="AE39" s="520" t="e">
        <f>VLOOKUP(T39,'Assessment Details'!$L$45:$M$48,2,FALSE)</f>
        <v>#N/A</v>
      </c>
    </row>
    <row r="40" spans="1:31" ht="30" x14ac:dyDescent="0.25">
      <c r="A40" s="399">
        <v>32</v>
      </c>
      <c r="B40" s="439" t="s">
        <v>70</v>
      </c>
      <c r="C40" s="743" t="str">
        <f>Ene_23</f>
        <v>Ene 23 Energy performance of building structure and installations</v>
      </c>
      <c r="D40" s="744">
        <f>VLOOKUP($A40,'Pre-Assessment Estimator'!$A$9:$V$100,D$2,FALSE)</f>
        <v>2</v>
      </c>
      <c r="E40" s="744">
        <f>VLOOKUP($A40,'Pre-Assessment Estimator'!$A$9:$V$100,E$2,FALSE)</f>
        <v>0</v>
      </c>
      <c r="F40" s="745">
        <f>VLOOKUP($A40,'Pre-Assessment Estimator'!$A$9:$V$100,F$2,FALSE)</f>
        <v>0</v>
      </c>
      <c r="G40" s="747" t="str">
        <f>VLOOKUP($A40,'Pre-Assessment Estimator'!$A$9:$V$100,G$2,FALSE)</f>
        <v>Excellent</v>
      </c>
      <c r="H40" s="747" t="str">
        <f>IF(VLOOKUP($A40,'Pre-Assessment Estimator'!$A$9:$V$100,H$2,FALSE)=0,"",VLOOKUP($A40,'Pre-Assessment Estimator'!$A$9:$V$100,H$2,FALSE))</f>
        <v/>
      </c>
      <c r="I40" s="747" t="str">
        <f>IF(VLOOKUP($A40,'Pre-Assessment Estimator'!$A$9:$V$100,I$2,FALSE)=0,"",VLOOKUP($A40,'Pre-Assessment Estimator'!$A$9:$V$100,I$2,FALSE))</f>
        <v/>
      </c>
      <c r="J40" s="748" t="str">
        <f>IF(VLOOKUP($A40,'Pre-Assessment Estimator'!$A$9:$V$100,J$2,FALSE)=0,"",VLOOKUP($A40,'Pre-Assessment Estimator'!$A$9:$V$100,J$2,FALSE))</f>
        <v/>
      </c>
      <c r="K40" s="749"/>
      <c r="L40" s="750" t="str">
        <f>IF(VLOOKUP($A40,'Pre-Assessment Estimator'!$A$9:$V$100,L$2,FALSE)=0,"",VLOOKUP($A40,'Pre-Assessment Estimator'!$A$9:$V$100,L$2,FALSE))</f>
        <v/>
      </c>
      <c r="M40" s="747" t="str">
        <f>IF(VLOOKUP($A40,'Pre-Assessment Estimator'!$A$9:$V$100,M$2,FALSE)=0,"",VLOOKUP($A40,'Pre-Assessment Estimator'!$A$9:$V$100,M$2,FALSE))</f>
        <v/>
      </c>
      <c r="N40" s="747" t="str">
        <f>IF(VLOOKUP($A40,'Pre-Assessment Estimator'!$A$9:$V$100,N$2,FALSE)=0,"",VLOOKUP($A40,'Pre-Assessment Estimator'!$A$9:$V$100,N$2,FALSE))</f>
        <v/>
      </c>
      <c r="O40" s="747" t="str">
        <f>IF(VLOOKUP($A40,'Pre-Assessment Estimator'!$A$9:$V$100,O$2,FALSE)=0,"",VLOOKUP($A40,'Pre-Assessment Estimator'!$A$9:$V$100,O$2,FALSE))</f>
        <v/>
      </c>
      <c r="P40" s="748" t="str">
        <f>IF(VLOOKUP($A40,'Pre-Assessment Estimator'!$A$9:$V$100,P$2,FALSE)=0,"",VLOOKUP($A40,'Pre-Assessment Estimator'!$A$9:$V$100,P$2,FALSE))</f>
        <v/>
      </c>
      <c r="Q40" s="751"/>
      <c r="R40" s="750" t="str">
        <f>IF(VLOOKUP($A40,'Pre-Assessment Estimator'!$A$9:$V$100,R$2,FALSE)=0,"",VLOOKUP($A40,'Pre-Assessment Estimator'!$A$9:$V$100,R$2,FALSE))</f>
        <v/>
      </c>
      <c r="S40" s="747" t="str">
        <f>IF(VLOOKUP($A40,'Pre-Assessment Estimator'!$A$9:$V$100,S$2,FALSE)=0,"",VLOOKUP($A40,'Pre-Assessment Estimator'!$A$9:$V$100,S$2,FALSE))</f>
        <v/>
      </c>
      <c r="T40" s="747" t="str">
        <f>IF(VLOOKUP($A40,'Pre-Assessment Estimator'!$A$9:$V$100,T$2,FALSE)=0,"",VLOOKUP($A40,'Pre-Assessment Estimator'!$A$9:$V$100,T$2,FALSE))</f>
        <v/>
      </c>
      <c r="U40" s="747" t="str">
        <f>IF(VLOOKUP($A40,'Pre-Assessment Estimator'!$A$9:$V$100,U$2,FALSE)=0,"",VLOOKUP($A40,'Pre-Assessment Estimator'!$A$9:$V$100,U$2,FALSE))</f>
        <v/>
      </c>
      <c r="V40" s="491" t="str">
        <f>IF(VLOOKUP($A40,'Pre-Assessment Estimator'!$A$9:$V$100,V$2,FALSE)=0,"",VLOOKUP($A40,'Pre-Assessment Estimator'!$A$9:$V$100,V$2,FALSE))</f>
        <v/>
      </c>
      <c r="W40" s="880"/>
      <c r="X40" s="747" t="str">
        <f>IF(VLOOKUP($A40,'Pre-Assessment Estimator'!$A$9:$X$100,X$2,FALSE)=0,"",VLOOKUP($A40,'Pre-Assessment Estimator'!$A$9:$X$100,X$2,FALSE))</f>
        <v>No</v>
      </c>
      <c r="AB40" s="519">
        <f t="shared" si="0"/>
        <v>1</v>
      </c>
      <c r="AC40" s="520" t="e">
        <f>VLOOKUP(I40,'Assessment Details'!$L$45:$M$48,2,FALSE)</f>
        <v>#N/A</v>
      </c>
      <c r="AD40" s="520" t="e">
        <f>VLOOKUP(N40,'Assessment Details'!$L$45:$M$48,2,FALSE)</f>
        <v>#N/A</v>
      </c>
      <c r="AE40" s="520" t="e">
        <f>VLOOKUP(T40,'Assessment Details'!$L$45:$M$48,2,FALSE)</f>
        <v>#N/A</v>
      </c>
    </row>
    <row r="41" spans="1:31" ht="15.75" thickBot="1" x14ac:dyDescent="0.3">
      <c r="A41" s="399">
        <v>33</v>
      </c>
      <c r="B41" s="439" t="s">
        <v>70</v>
      </c>
      <c r="C41" s="753" t="s">
        <v>109</v>
      </c>
      <c r="D41" s="754">
        <f>VLOOKUP($A41,'Pre-Assessment Estimator'!$A$9:$V$100,D$2,FALSE)</f>
        <v>22</v>
      </c>
      <c r="E41" s="754">
        <f>SUM(E31:E40)</f>
        <v>0</v>
      </c>
      <c r="F41" s="755">
        <f>VLOOKUP($A41,'Pre-Assessment Estimator'!$A$9:$V$100,F$2,FALSE)</f>
        <v>0</v>
      </c>
      <c r="G41" s="747"/>
      <c r="H41" s="747" t="str">
        <f>IF(VLOOKUP($A41,'Pre-Assessment Estimator'!$A$9:$V$100,H$2,FALSE)=0,"",VLOOKUP($A41,'Pre-Assessment Estimator'!$A$9:$V$100,H$2,FALSE))</f>
        <v/>
      </c>
      <c r="I41" s="744" t="str">
        <f>IF(VLOOKUP($A41,'Pre-Assessment Estimator'!$A$9:$V$100,I$2,FALSE)=0,"",VLOOKUP($A41,'Pre-Assessment Estimator'!$A$9:$V$100,I$2,FALSE))</f>
        <v/>
      </c>
      <c r="J41" s="748" t="str">
        <f>IF(VLOOKUP($A41,'Pre-Assessment Estimator'!$A$9:$V$100,J$2,FALSE)=0,"",VLOOKUP($A41,'Pre-Assessment Estimator'!$A$9:$V$100,J$2,FALSE))</f>
        <v/>
      </c>
      <c r="K41" s="749"/>
      <c r="L41" s="756" t="str">
        <f>IF(VLOOKUP($A41,'Pre-Assessment Estimator'!$A$9:$V$100,L$2,FALSE)=0,"",VLOOKUP($A41,'Pre-Assessment Estimator'!$A$9:$V$100,L$2,FALSE))</f>
        <v/>
      </c>
      <c r="M41" s="747" t="str">
        <f>IF(VLOOKUP($A41,'Pre-Assessment Estimator'!$A$9:$V$100,M$2,FALSE)=0,"",VLOOKUP($A41,'Pre-Assessment Estimator'!$A$9:$V$100,M$2,FALSE))</f>
        <v/>
      </c>
      <c r="N41" s="744" t="str">
        <f>IF(VLOOKUP($A41,'Pre-Assessment Estimator'!$A$9:$V$100,N$2,FALSE)=0,"",VLOOKUP($A41,'Pre-Assessment Estimator'!$A$9:$V$100,N$2,FALSE))</f>
        <v/>
      </c>
      <c r="O41" s="747" t="str">
        <f>IF(VLOOKUP($A41,'Pre-Assessment Estimator'!$A$9:$V$100,O$2,FALSE)=0,"",VLOOKUP($A41,'Pre-Assessment Estimator'!$A$9:$V$100,O$2,FALSE))</f>
        <v/>
      </c>
      <c r="P41" s="748" t="str">
        <f>IF(VLOOKUP($A41,'Pre-Assessment Estimator'!$A$9:$V$100,P$2,FALSE)=0,"",VLOOKUP($A41,'Pre-Assessment Estimator'!$A$9:$V$100,P$2,FALSE))</f>
        <v/>
      </c>
      <c r="Q41" s="751"/>
      <c r="R41" s="756" t="str">
        <f>IF(VLOOKUP($A41,'Pre-Assessment Estimator'!$A$9:$V$100,R$2,FALSE)=0,"",VLOOKUP($A41,'Pre-Assessment Estimator'!$A$9:$V$100,R$2,FALSE))</f>
        <v/>
      </c>
      <c r="S41" s="747" t="str">
        <f>IF(VLOOKUP($A41,'Pre-Assessment Estimator'!$A$9:$V$100,S$2,FALSE)=0,"",VLOOKUP($A41,'Pre-Assessment Estimator'!$A$9:$V$100,S$2,FALSE))</f>
        <v/>
      </c>
      <c r="T41" s="744" t="str">
        <f>IF(VLOOKUP($A41,'Pre-Assessment Estimator'!$A$9:$V$100,T$2,FALSE)=0,"",VLOOKUP($A41,'Pre-Assessment Estimator'!$A$9:$V$100,T$2,FALSE))</f>
        <v/>
      </c>
      <c r="U41" s="747" t="str">
        <f>IF(VLOOKUP($A41,'Pre-Assessment Estimator'!$A$9:$V$100,U$2,FALSE)=0,"",VLOOKUP($A41,'Pre-Assessment Estimator'!$A$9:$V$100,U$2,FALSE))</f>
        <v/>
      </c>
      <c r="V41" s="491" t="str">
        <f>IF(VLOOKUP($A41,'Pre-Assessment Estimator'!$A$9:$V$100,V$2,FALSE)=0,"",VLOOKUP($A41,'Pre-Assessment Estimator'!$A$9:$V$100,V$2,FALSE))</f>
        <v/>
      </c>
      <c r="W41" s="880"/>
      <c r="X41" s="747" t="str">
        <f>IF(VLOOKUP($A41,'Pre-Assessment Estimator'!$A$9:$X$100,X$2,FALSE)=0,"",VLOOKUP($A41,'Pre-Assessment Estimator'!$A$9:$X$100,X$2,FALSE))</f>
        <v/>
      </c>
      <c r="AB41" s="519">
        <f t="shared" si="0"/>
        <v>1</v>
      </c>
      <c r="AC41" s="333">
        <v>0</v>
      </c>
      <c r="AD41" s="333">
        <v>0</v>
      </c>
      <c r="AE41" s="333">
        <v>0</v>
      </c>
    </row>
    <row r="42" spans="1:31" x14ac:dyDescent="0.25">
      <c r="A42" s="399">
        <v>34</v>
      </c>
      <c r="B42" s="439" t="s">
        <v>70</v>
      </c>
      <c r="C42" s="757"/>
      <c r="D42" s="758"/>
      <c r="E42" s="758"/>
      <c r="F42" s="758"/>
      <c r="G42" s="758"/>
      <c r="H42" s="757"/>
      <c r="I42" s="758"/>
      <c r="J42" s="757"/>
      <c r="K42" s="749"/>
      <c r="L42" s="758"/>
      <c r="M42" s="757"/>
      <c r="N42" s="758"/>
      <c r="O42" s="757"/>
      <c r="P42" s="757"/>
      <c r="Q42" s="751"/>
      <c r="R42" s="758"/>
      <c r="S42" s="757"/>
      <c r="T42" s="758"/>
      <c r="U42" s="757"/>
      <c r="V42" s="440"/>
      <c r="W42" s="881"/>
      <c r="X42" s="757"/>
      <c r="Y42" s="522"/>
      <c r="Z42" s="522"/>
      <c r="AA42" s="522"/>
      <c r="AB42" s="519">
        <f t="shared" si="0"/>
        <v>1</v>
      </c>
      <c r="AC42" s="335">
        <v>0</v>
      </c>
      <c r="AD42" s="335">
        <v>0</v>
      </c>
      <c r="AE42" s="335">
        <v>0</v>
      </c>
    </row>
    <row r="43" spans="1:31" ht="18.75" x14ac:dyDescent="0.25">
      <c r="A43" s="399">
        <v>35</v>
      </c>
      <c r="B43" s="439" t="s">
        <v>71</v>
      </c>
      <c r="C43" s="759" t="s">
        <v>71</v>
      </c>
      <c r="D43" s="739"/>
      <c r="E43" s="739"/>
      <c r="F43" s="739"/>
      <c r="G43" s="739"/>
      <c r="H43" s="740"/>
      <c r="I43" s="739"/>
      <c r="J43" s="740"/>
      <c r="K43" s="749"/>
      <c r="L43" s="739"/>
      <c r="M43" s="740"/>
      <c r="N43" s="739"/>
      <c r="O43" s="740"/>
      <c r="P43" s="740"/>
      <c r="Q43" s="751"/>
      <c r="R43" s="739"/>
      <c r="S43" s="740"/>
      <c r="T43" s="739"/>
      <c r="U43" s="740"/>
      <c r="V43" s="544"/>
      <c r="W43" s="879"/>
      <c r="X43" s="883"/>
      <c r="AB43" s="519">
        <f t="shared" si="0"/>
        <v>1</v>
      </c>
      <c r="AC43" s="331">
        <v>0</v>
      </c>
      <c r="AD43" s="331">
        <v>0</v>
      </c>
      <c r="AE43" s="331">
        <v>0</v>
      </c>
    </row>
    <row r="44" spans="1:31" x14ac:dyDescent="0.25">
      <c r="A44" s="399">
        <v>36</v>
      </c>
      <c r="B44" s="439" t="s">
        <v>71</v>
      </c>
      <c r="C44" s="743" t="str">
        <f>Tra_01</f>
        <v>Tra 01 Public transport accessibility</v>
      </c>
      <c r="D44" s="744">
        <f>VLOOKUP($A44,'Pre-Assessment Estimator'!$A$9:$V$100,D$2,FALSE)</f>
        <v>3</v>
      </c>
      <c r="E44" s="744">
        <f>VLOOKUP($A44,'Pre-Assessment Estimator'!$A$9:$V$100,E$2,FALSE)</f>
        <v>0</v>
      </c>
      <c r="F44" s="745">
        <f>VLOOKUP($A44,'Pre-Assessment Estimator'!$A$9:$V$100,F$2,FALSE)</f>
        <v>0</v>
      </c>
      <c r="G44" s="746" t="str">
        <f>VLOOKUP($A44,'Pre-Assessment Estimator'!$A$9:$V$100,G$2,FALSE)</f>
        <v>N/A</v>
      </c>
      <c r="H44" s="747" t="str">
        <f>IF(VLOOKUP($A44,'Pre-Assessment Estimator'!$A$9:$V$100,H$2,FALSE)=0,"",VLOOKUP($A44,'Pre-Assessment Estimator'!$A$9:$V$100,H$2,FALSE))</f>
        <v/>
      </c>
      <c r="I44" s="747" t="str">
        <f>IF(VLOOKUP($A44,'Pre-Assessment Estimator'!$A$9:$V$100,I$2,FALSE)=0,"",VLOOKUP($A44,'Pre-Assessment Estimator'!$A$9:$V$100,I$2,FALSE))</f>
        <v/>
      </c>
      <c r="J44" s="748" t="str">
        <f>IF(VLOOKUP($A44,'Pre-Assessment Estimator'!$A$9:$V$100,J$2,FALSE)=0,"",VLOOKUP($A44,'Pre-Assessment Estimator'!$A$9:$V$100,J$2,FALSE))</f>
        <v/>
      </c>
      <c r="K44" s="749"/>
      <c r="L44" s="750" t="str">
        <f>IF(VLOOKUP($A44,'Pre-Assessment Estimator'!$A$9:$V$100,L$2,FALSE)=0,"",VLOOKUP($A44,'Pre-Assessment Estimator'!$A$9:$V$100,L$2,FALSE))</f>
        <v/>
      </c>
      <c r="M44" s="747" t="str">
        <f>IF(VLOOKUP($A44,'Pre-Assessment Estimator'!$A$9:$V$100,M$2,FALSE)=0,"",VLOOKUP($A44,'Pre-Assessment Estimator'!$A$9:$V$100,M$2,FALSE))</f>
        <v/>
      </c>
      <c r="N44" s="747" t="str">
        <f>IF(VLOOKUP($A44,'Pre-Assessment Estimator'!$A$9:$V$100,N$2,FALSE)=0,"",VLOOKUP($A44,'Pre-Assessment Estimator'!$A$9:$V$100,N$2,FALSE))</f>
        <v/>
      </c>
      <c r="O44" s="747" t="str">
        <f>IF(VLOOKUP($A44,'Pre-Assessment Estimator'!$A$9:$V$100,O$2,FALSE)=0,"",VLOOKUP($A44,'Pre-Assessment Estimator'!$A$9:$V$100,O$2,FALSE))</f>
        <v/>
      </c>
      <c r="P44" s="748" t="str">
        <f>IF(VLOOKUP($A44,'Pre-Assessment Estimator'!$A$9:$V$100,P$2,FALSE)=0,"",VLOOKUP($A44,'Pre-Assessment Estimator'!$A$9:$V$100,P$2,FALSE))</f>
        <v/>
      </c>
      <c r="Q44" s="751"/>
      <c r="R44" s="750" t="str">
        <f>IF(VLOOKUP($A44,'Pre-Assessment Estimator'!$A$9:$V$100,R$2,FALSE)=0,"",VLOOKUP($A44,'Pre-Assessment Estimator'!$A$9:$V$100,R$2,FALSE))</f>
        <v/>
      </c>
      <c r="S44" s="747" t="str">
        <f>IF(VLOOKUP($A44,'Pre-Assessment Estimator'!$A$9:$V$100,S$2,FALSE)=0,"",VLOOKUP($A44,'Pre-Assessment Estimator'!$A$9:$V$100,S$2,FALSE))</f>
        <v/>
      </c>
      <c r="T44" s="747" t="str">
        <f>IF(VLOOKUP($A44,'Pre-Assessment Estimator'!$A$9:$V$100,T$2,FALSE)=0,"",VLOOKUP($A44,'Pre-Assessment Estimator'!$A$9:$V$100,T$2,FALSE))</f>
        <v/>
      </c>
      <c r="U44" s="747" t="str">
        <f>IF(VLOOKUP($A44,'Pre-Assessment Estimator'!$A$9:$V$100,U$2,FALSE)=0,"",VLOOKUP($A44,'Pre-Assessment Estimator'!$A$9:$V$100,U$2,FALSE))</f>
        <v/>
      </c>
      <c r="V44" s="491" t="str">
        <f>IF(VLOOKUP($A44,'Pre-Assessment Estimator'!$A$9:$V$100,V$2,FALSE)=0,"",VLOOKUP($A44,'Pre-Assessment Estimator'!$A$9:$V$100,V$2,FALSE))</f>
        <v/>
      </c>
      <c r="W44" s="880"/>
      <c r="X44" s="747" t="str">
        <f>IF(VLOOKUP($A44,'Pre-Assessment Estimator'!$A$9:$X$100,X$2,FALSE)=0,"",VLOOKUP($A44,'Pre-Assessment Estimator'!$A$9:$X$100,X$2,FALSE))</f>
        <v>N/A</v>
      </c>
      <c r="AB44" s="519">
        <f t="shared" si="0"/>
        <v>1</v>
      </c>
      <c r="AC44" s="103" t="e">
        <f>VLOOKUP(I44,'Assessment Details'!$L$45:$M$48,2,FALSE)</f>
        <v>#N/A</v>
      </c>
      <c r="AD44" s="103" t="e">
        <f>VLOOKUP(N44,'Assessment Details'!$L$45:$M$48,2,FALSE)</f>
        <v>#N/A</v>
      </c>
      <c r="AE44" s="103" t="e">
        <f>VLOOKUP(T44,'Assessment Details'!$L$45:$M$48,2,FALSE)</f>
        <v>#N/A</v>
      </c>
    </row>
    <row r="45" spans="1:31" x14ac:dyDescent="0.25">
      <c r="A45" s="399">
        <v>37</v>
      </c>
      <c r="B45" s="439" t="s">
        <v>71</v>
      </c>
      <c r="C45" s="743" t="str">
        <f>Tra_02</f>
        <v>Tra 02 Proximity to amenities</v>
      </c>
      <c r="D45" s="744">
        <f>VLOOKUP($A45,'Pre-Assessment Estimator'!$A$9:$V$100,D$2,FALSE)</f>
        <v>1</v>
      </c>
      <c r="E45" s="744">
        <f>VLOOKUP($A45,'Pre-Assessment Estimator'!$A$9:$V$100,E$2,FALSE)</f>
        <v>0</v>
      </c>
      <c r="F45" s="745">
        <f>VLOOKUP($A45,'Pre-Assessment Estimator'!$A$9:$V$100,F$2,FALSE)</f>
        <v>0</v>
      </c>
      <c r="G45" s="752" t="str">
        <f>VLOOKUP($A45,'Pre-Assessment Estimator'!$A$9:$V$100,G$2,FALSE)</f>
        <v>N/A</v>
      </c>
      <c r="H45" s="747" t="str">
        <f>IF(VLOOKUP($A45,'Pre-Assessment Estimator'!$A$9:$V$100,H$2,FALSE)=0,"",VLOOKUP($A45,'Pre-Assessment Estimator'!$A$9:$V$100,H$2,FALSE))</f>
        <v/>
      </c>
      <c r="I45" s="747" t="str">
        <f>IF(VLOOKUP($A45,'Pre-Assessment Estimator'!$A$9:$V$100,I$2,FALSE)=0,"",VLOOKUP($A45,'Pre-Assessment Estimator'!$A$9:$V$100,I$2,FALSE))</f>
        <v/>
      </c>
      <c r="J45" s="748" t="str">
        <f>IF(VLOOKUP($A45,'Pre-Assessment Estimator'!$A$9:$V$100,J$2,FALSE)=0,"",VLOOKUP($A45,'Pre-Assessment Estimator'!$A$9:$V$100,J$2,FALSE))</f>
        <v/>
      </c>
      <c r="K45" s="749"/>
      <c r="L45" s="750" t="str">
        <f>IF(VLOOKUP($A45,'Pre-Assessment Estimator'!$A$9:$V$100,L$2,FALSE)=0,"",VLOOKUP($A45,'Pre-Assessment Estimator'!$A$9:$V$100,L$2,FALSE))</f>
        <v/>
      </c>
      <c r="M45" s="747" t="str">
        <f>IF(VLOOKUP($A45,'Pre-Assessment Estimator'!$A$9:$V$100,M$2,FALSE)=0,"",VLOOKUP($A45,'Pre-Assessment Estimator'!$A$9:$V$100,M$2,FALSE))</f>
        <v/>
      </c>
      <c r="N45" s="747" t="str">
        <f>IF(VLOOKUP($A45,'Pre-Assessment Estimator'!$A$9:$V$100,N$2,FALSE)=0,"",VLOOKUP($A45,'Pre-Assessment Estimator'!$A$9:$V$100,N$2,FALSE))</f>
        <v/>
      </c>
      <c r="O45" s="747" t="str">
        <f>IF(VLOOKUP($A45,'Pre-Assessment Estimator'!$A$9:$V$100,O$2,FALSE)=0,"",VLOOKUP($A45,'Pre-Assessment Estimator'!$A$9:$V$100,O$2,FALSE))</f>
        <v/>
      </c>
      <c r="P45" s="748" t="str">
        <f>IF(VLOOKUP($A45,'Pre-Assessment Estimator'!$A$9:$V$100,P$2,FALSE)=0,"",VLOOKUP($A45,'Pre-Assessment Estimator'!$A$9:$V$100,P$2,FALSE))</f>
        <v/>
      </c>
      <c r="Q45" s="751"/>
      <c r="R45" s="750" t="str">
        <f>IF(VLOOKUP($A45,'Pre-Assessment Estimator'!$A$9:$V$100,R$2,FALSE)=0,"",VLOOKUP($A45,'Pre-Assessment Estimator'!$A$9:$V$100,R$2,FALSE))</f>
        <v/>
      </c>
      <c r="S45" s="747" t="str">
        <f>IF(VLOOKUP($A45,'Pre-Assessment Estimator'!$A$9:$V$100,S$2,FALSE)=0,"",VLOOKUP($A45,'Pre-Assessment Estimator'!$A$9:$V$100,S$2,FALSE))</f>
        <v/>
      </c>
      <c r="T45" s="747" t="str">
        <f>IF(VLOOKUP($A45,'Pre-Assessment Estimator'!$A$9:$V$100,T$2,FALSE)=0,"",VLOOKUP($A45,'Pre-Assessment Estimator'!$A$9:$V$100,T$2,FALSE))</f>
        <v/>
      </c>
      <c r="U45" s="747" t="str">
        <f>IF(VLOOKUP($A45,'Pre-Assessment Estimator'!$A$9:$V$100,U$2,FALSE)=0,"",VLOOKUP($A45,'Pre-Assessment Estimator'!$A$9:$V$100,U$2,FALSE))</f>
        <v/>
      </c>
      <c r="V45" s="491" t="str">
        <f>IF(VLOOKUP($A45,'Pre-Assessment Estimator'!$A$9:$V$100,V$2,FALSE)=0,"",VLOOKUP($A45,'Pre-Assessment Estimator'!$A$9:$V$100,V$2,FALSE))</f>
        <v/>
      </c>
      <c r="W45" s="880"/>
      <c r="X45" s="747" t="str">
        <f>IF(VLOOKUP($A45,'Pre-Assessment Estimator'!$A$9:$X$100,X$2,FALSE)=0,"",VLOOKUP($A45,'Pre-Assessment Estimator'!$A$9:$X$100,X$2,FALSE))</f>
        <v>N/A</v>
      </c>
      <c r="AB45" s="519">
        <f t="shared" si="0"/>
        <v>1</v>
      </c>
      <c r="AC45" s="103" t="e">
        <f>VLOOKUP(I45,'Assessment Details'!$L$45:$M$48,2,FALSE)</f>
        <v>#N/A</v>
      </c>
      <c r="AD45" s="103" t="e">
        <f>VLOOKUP(N45,'Assessment Details'!$L$45:$M$48,2,FALSE)</f>
        <v>#N/A</v>
      </c>
      <c r="AE45" s="103" t="e">
        <f>VLOOKUP(T45,'Assessment Details'!$L$45:$M$48,2,FALSE)</f>
        <v>#N/A</v>
      </c>
    </row>
    <row r="46" spans="1:31" x14ac:dyDescent="0.25">
      <c r="A46" s="399">
        <v>38</v>
      </c>
      <c r="B46" s="439" t="s">
        <v>71</v>
      </c>
      <c r="C46" s="743" t="str">
        <f>Tra_03</f>
        <v>Tra 03 Alternative modes of transport</v>
      </c>
      <c r="D46" s="744">
        <f>VLOOKUP($A46,'Pre-Assessment Estimator'!$A$9:$V$100,D$2,FALSE)</f>
        <v>2</v>
      </c>
      <c r="E46" s="744">
        <f>VLOOKUP($A46,'Pre-Assessment Estimator'!$A$9:$V$100,E$2,FALSE)</f>
        <v>0</v>
      </c>
      <c r="F46" s="745">
        <f>VLOOKUP($A46,'Pre-Assessment Estimator'!$A$9:$V$100,F$2,FALSE)</f>
        <v>0</v>
      </c>
      <c r="G46" s="752" t="str">
        <f>VLOOKUP($A46,'Pre-Assessment Estimator'!$A$9:$V$100,G$2,FALSE)</f>
        <v>N/A</v>
      </c>
      <c r="H46" s="747" t="str">
        <f>IF(VLOOKUP($A46,'Pre-Assessment Estimator'!$A$9:$V$100,H$2,FALSE)=0,"",VLOOKUP($A46,'Pre-Assessment Estimator'!$A$9:$V$100,H$2,FALSE))</f>
        <v/>
      </c>
      <c r="I46" s="747" t="str">
        <f>IF(VLOOKUP($A46,'Pre-Assessment Estimator'!$A$9:$V$100,I$2,FALSE)=0,"",VLOOKUP($A46,'Pre-Assessment Estimator'!$A$9:$V$100,I$2,FALSE))</f>
        <v xml:space="preserve"> </v>
      </c>
      <c r="J46" s="748" t="str">
        <f>IF(VLOOKUP($A46,'Pre-Assessment Estimator'!$A$9:$V$100,J$2,FALSE)=0,"",VLOOKUP($A46,'Pre-Assessment Estimator'!$A$9:$V$100,J$2,FALSE))</f>
        <v/>
      </c>
      <c r="K46" s="749"/>
      <c r="L46" s="750" t="str">
        <f>IF(VLOOKUP($A46,'Pre-Assessment Estimator'!$A$9:$V$100,L$2,FALSE)=0,"",VLOOKUP($A46,'Pre-Assessment Estimator'!$A$9:$V$100,L$2,FALSE))</f>
        <v/>
      </c>
      <c r="M46" s="747" t="str">
        <f>IF(VLOOKUP($A46,'Pre-Assessment Estimator'!$A$9:$V$100,M$2,FALSE)=0,"",VLOOKUP($A46,'Pre-Assessment Estimator'!$A$9:$V$100,M$2,FALSE))</f>
        <v/>
      </c>
      <c r="N46" s="747" t="str">
        <f>IF(VLOOKUP($A46,'Pre-Assessment Estimator'!$A$9:$V$100,N$2,FALSE)=0,"",VLOOKUP($A46,'Pre-Assessment Estimator'!$A$9:$V$100,N$2,FALSE))</f>
        <v/>
      </c>
      <c r="O46" s="747" t="str">
        <f>IF(VLOOKUP($A46,'Pre-Assessment Estimator'!$A$9:$V$100,O$2,FALSE)=0,"",VLOOKUP($A46,'Pre-Assessment Estimator'!$A$9:$V$100,O$2,FALSE))</f>
        <v/>
      </c>
      <c r="P46" s="748" t="str">
        <f>IF(VLOOKUP($A46,'Pre-Assessment Estimator'!$A$9:$V$100,P$2,FALSE)=0,"",VLOOKUP($A46,'Pre-Assessment Estimator'!$A$9:$V$100,P$2,FALSE))</f>
        <v/>
      </c>
      <c r="Q46" s="751"/>
      <c r="R46" s="750" t="str">
        <f>IF(VLOOKUP($A46,'Pre-Assessment Estimator'!$A$9:$V$100,R$2,FALSE)=0,"",VLOOKUP($A46,'Pre-Assessment Estimator'!$A$9:$V$100,R$2,FALSE))</f>
        <v/>
      </c>
      <c r="S46" s="747" t="str">
        <f>IF(VLOOKUP($A46,'Pre-Assessment Estimator'!$A$9:$V$100,S$2,FALSE)=0,"",VLOOKUP($A46,'Pre-Assessment Estimator'!$A$9:$V$100,S$2,FALSE))</f>
        <v/>
      </c>
      <c r="T46" s="747" t="str">
        <f>IF(VLOOKUP($A46,'Pre-Assessment Estimator'!$A$9:$V$100,T$2,FALSE)=0,"",VLOOKUP($A46,'Pre-Assessment Estimator'!$A$9:$V$100,T$2,FALSE))</f>
        <v/>
      </c>
      <c r="U46" s="747" t="str">
        <f>IF(VLOOKUP($A46,'Pre-Assessment Estimator'!$A$9:$V$100,U$2,FALSE)=0,"",VLOOKUP($A46,'Pre-Assessment Estimator'!$A$9:$V$100,U$2,FALSE))</f>
        <v/>
      </c>
      <c r="V46" s="491" t="str">
        <f>IF(VLOOKUP($A46,'Pre-Assessment Estimator'!$A$9:$V$100,V$2,FALSE)=0,"",VLOOKUP($A46,'Pre-Assessment Estimator'!$A$9:$V$100,V$2,FALSE))</f>
        <v/>
      </c>
      <c r="W46" s="880"/>
      <c r="X46" s="747" t="str">
        <f>IF(VLOOKUP($A46,'Pre-Assessment Estimator'!$A$9:$X$100,X$2,FALSE)=0,"",VLOOKUP($A46,'Pre-Assessment Estimator'!$A$9:$X$100,X$2,FALSE))</f>
        <v>N/A</v>
      </c>
      <c r="AB46" s="519">
        <f t="shared" si="0"/>
        <v>1</v>
      </c>
      <c r="AC46" s="103">
        <f>VLOOKUP(I46,'Assessment Details'!$L$45:$M$48,2,FALSE)</f>
        <v>4</v>
      </c>
      <c r="AD46" s="103" t="e">
        <f>VLOOKUP(N46,'Assessment Details'!$L$45:$M$48,2,FALSE)</f>
        <v>#N/A</v>
      </c>
      <c r="AE46" s="103" t="e">
        <f>VLOOKUP(T46,'Assessment Details'!$L$45:$M$48,2,FALSE)</f>
        <v>#N/A</v>
      </c>
    </row>
    <row r="47" spans="1:31" x14ac:dyDescent="0.25">
      <c r="A47" s="399">
        <v>39</v>
      </c>
      <c r="B47" s="439" t="s">
        <v>71</v>
      </c>
      <c r="C47" s="743" t="str">
        <f>Tra_04</f>
        <v>Tra 04 Maximum car parking capacity</v>
      </c>
      <c r="D47" s="744">
        <f>VLOOKUP($A47,'Pre-Assessment Estimator'!$A$9:$V$100,D$2,FALSE)</f>
        <v>2</v>
      </c>
      <c r="E47" s="744">
        <f>VLOOKUP($A47,'Pre-Assessment Estimator'!$A$9:$V$100,E$2,FALSE)</f>
        <v>0</v>
      </c>
      <c r="F47" s="745">
        <f>VLOOKUP($A47,'Pre-Assessment Estimator'!$A$9:$V$100,F$2,FALSE)</f>
        <v>0</v>
      </c>
      <c r="G47" s="752" t="str">
        <f>VLOOKUP($A47,'Pre-Assessment Estimator'!$A$9:$V$100,G$2,FALSE)</f>
        <v>N/A</v>
      </c>
      <c r="H47" s="747" t="str">
        <f>IF(VLOOKUP($A47,'Pre-Assessment Estimator'!$A$9:$V$100,H$2,FALSE)=0,"",VLOOKUP($A47,'Pre-Assessment Estimator'!$A$9:$V$100,H$2,FALSE))</f>
        <v/>
      </c>
      <c r="I47" s="747" t="str">
        <f>IF(VLOOKUP($A47,'Pre-Assessment Estimator'!$A$9:$V$100,I$2,FALSE)=0,"",VLOOKUP($A47,'Pre-Assessment Estimator'!$A$9:$V$100,I$2,FALSE))</f>
        <v/>
      </c>
      <c r="J47" s="748" t="str">
        <f>IF(VLOOKUP($A47,'Pre-Assessment Estimator'!$A$9:$V$100,J$2,FALSE)=0,"",VLOOKUP($A47,'Pre-Assessment Estimator'!$A$9:$V$100,J$2,FALSE))</f>
        <v/>
      </c>
      <c r="K47" s="749"/>
      <c r="L47" s="750" t="str">
        <f>IF(VLOOKUP($A47,'Pre-Assessment Estimator'!$A$9:$V$100,L$2,FALSE)=0,"",VLOOKUP($A47,'Pre-Assessment Estimator'!$A$9:$V$100,L$2,FALSE))</f>
        <v/>
      </c>
      <c r="M47" s="747" t="str">
        <f>IF(VLOOKUP($A47,'Pre-Assessment Estimator'!$A$9:$V$100,M$2,FALSE)=0,"",VLOOKUP($A47,'Pre-Assessment Estimator'!$A$9:$V$100,M$2,FALSE))</f>
        <v/>
      </c>
      <c r="N47" s="747" t="str">
        <f>IF(VLOOKUP($A47,'Pre-Assessment Estimator'!$A$9:$V$100,N$2,FALSE)=0,"",VLOOKUP($A47,'Pre-Assessment Estimator'!$A$9:$V$100,N$2,FALSE))</f>
        <v xml:space="preserve"> </v>
      </c>
      <c r="O47" s="747" t="str">
        <f>IF(VLOOKUP($A47,'Pre-Assessment Estimator'!$A$9:$V$100,O$2,FALSE)=0,"",VLOOKUP($A47,'Pre-Assessment Estimator'!$A$9:$V$100,O$2,FALSE))</f>
        <v/>
      </c>
      <c r="P47" s="748" t="str">
        <f>IF(VLOOKUP($A47,'Pre-Assessment Estimator'!$A$9:$V$100,P$2,FALSE)=0,"",VLOOKUP($A47,'Pre-Assessment Estimator'!$A$9:$V$100,P$2,FALSE))</f>
        <v/>
      </c>
      <c r="Q47" s="751"/>
      <c r="R47" s="750" t="str">
        <f>IF(VLOOKUP($A47,'Pre-Assessment Estimator'!$A$9:$V$100,R$2,FALSE)=0,"",VLOOKUP($A47,'Pre-Assessment Estimator'!$A$9:$V$100,R$2,FALSE))</f>
        <v/>
      </c>
      <c r="S47" s="747" t="str">
        <f>IF(VLOOKUP($A47,'Pre-Assessment Estimator'!$A$9:$V$100,S$2,FALSE)=0,"",VLOOKUP($A47,'Pre-Assessment Estimator'!$A$9:$V$100,S$2,FALSE))</f>
        <v/>
      </c>
      <c r="T47" s="747" t="str">
        <f>IF(VLOOKUP($A47,'Pre-Assessment Estimator'!$A$9:$V$100,T$2,FALSE)=0,"",VLOOKUP($A47,'Pre-Assessment Estimator'!$A$9:$V$100,T$2,FALSE))</f>
        <v/>
      </c>
      <c r="U47" s="747" t="str">
        <f>IF(VLOOKUP($A47,'Pre-Assessment Estimator'!$A$9:$V$100,U$2,FALSE)=0,"",VLOOKUP($A47,'Pre-Assessment Estimator'!$A$9:$V$100,U$2,FALSE))</f>
        <v/>
      </c>
      <c r="V47" s="491" t="str">
        <f>IF(VLOOKUP($A47,'Pre-Assessment Estimator'!$A$9:$V$100,V$2,FALSE)=0,"",VLOOKUP($A47,'Pre-Assessment Estimator'!$A$9:$V$100,V$2,FALSE))</f>
        <v/>
      </c>
      <c r="W47" s="880"/>
      <c r="X47" s="747" t="str">
        <f>IF(VLOOKUP($A47,'Pre-Assessment Estimator'!$A$9:$X$100,X$2,FALSE)=0,"",VLOOKUP($A47,'Pre-Assessment Estimator'!$A$9:$X$100,X$2,FALSE))</f>
        <v>N/A</v>
      </c>
      <c r="AB47" s="519">
        <f t="shared" si="0"/>
        <v>1</v>
      </c>
      <c r="AC47" s="520" t="e">
        <f>VLOOKUP(I47,'Assessment Details'!$L$45:$M$48,2,FALSE)</f>
        <v>#N/A</v>
      </c>
      <c r="AD47" s="520">
        <f>VLOOKUP(N47,'Assessment Details'!$L$45:$M$48,2,FALSE)</f>
        <v>4</v>
      </c>
      <c r="AE47" s="520" t="e">
        <f>VLOOKUP(T47,'Assessment Details'!$L$45:$M$48,2,FALSE)</f>
        <v>#N/A</v>
      </c>
    </row>
    <row r="48" spans="1:31" x14ac:dyDescent="0.25">
      <c r="A48" s="399">
        <v>40</v>
      </c>
      <c r="B48" s="439" t="s">
        <v>71</v>
      </c>
      <c r="C48" s="743" t="str">
        <f>Tra_05</f>
        <v>Tra 05 Travel plan</v>
      </c>
      <c r="D48" s="744">
        <f>VLOOKUP($A48,'Pre-Assessment Estimator'!$A$9:$V$100,D$2,FALSE)</f>
        <v>1</v>
      </c>
      <c r="E48" s="744">
        <f>VLOOKUP($A48,'Pre-Assessment Estimator'!$A$9:$V$100,E$2,FALSE)</f>
        <v>0</v>
      </c>
      <c r="F48" s="745">
        <f>VLOOKUP($A48,'Pre-Assessment Estimator'!$A$9:$V$100,F$2,FALSE)</f>
        <v>0</v>
      </c>
      <c r="G48" s="752" t="str">
        <f>VLOOKUP($A48,'Pre-Assessment Estimator'!$A$9:$V$100,G$2,FALSE)</f>
        <v>N/A</v>
      </c>
      <c r="H48" s="747" t="str">
        <f>IF(VLOOKUP($A48,'Pre-Assessment Estimator'!$A$9:$V$100,H$2,FALSE)=0,"",VLOOKUP($A48,'Pre-Assessment Estimator'!$A$9:$V$100,H$2,FALSE))</f>
        <v/>
      </c>
      <c r="I48" s="747" t="str">
        <f>IF(VLOOKUP($A48,'Pre-Assessment Estimator'!$A$9:$V$100,I$2,FALSE)=0,"",VLOOKUP($A48,'Pre-Assessment Estimator'!$A$9:$V$100,I$2,FALSE))</f>
        <v xml:space="preserve"> </v>
      </c>
      <c r="J48" s="748" t="str">
        <f>IF(VLOOKUP($A48,'Pre-Assessment Estimator'!$A$9:$V$100,J$2,FALSE)=0,"",VLOOKUP($A48,'Pre-Assessment Estimator'!$A$9:$V$100,J$2,FALSE))</f>
        <v/>
      </c>
      <c r="K48" s="749"/>
      <c r="L48" s="750" t="str">
        <f>IF(VLOOKUP($A48,'Pre-Assessment Estimator'!$A$9:$V$100,L$2,FALSE)=0,"",VLOOKUP($A48,'Pre-Assessment Estimator'!$A$9:$V$100,L$2,FALSE))</f>
        <v/>
      </c>
      <c r="M48" s="747" t="str">
        <f>IF(VLOOKUP($A48,'Pre-Assessment Estimator'!$A$9:$V$100,M$2,FALSE)=0,"",VLOOKUP($A48,'Pre-Assessment Estimator'!$A$9:$V$100,M$2,FALSE))</f>
        <v/>
      </c>
      <c r="N48" s="747" t="str">
        <f>IF(VLOOKUP($A48,'Pre-Assessment Estimator'!$A$9:$V$100,N$2,FALSE)=0,"",VLOOKUP($A48,'Pre-Assessment Estimator'!$A$9:$V$100,N$2,FALSE))</f>
        <v/>
      </c>
      <c r="O48" s="747" t="str">
        <f>IF(VLOOKUP($A48,'Pre-Assessment Estimator'!$A$9:$V$100,O$2,FALSE)=0,"",VLOOKUP($A48,'Pre-Assessment Estimator'!$A$9:$V$100,O$2,FALSE))</f>
        <v/>
      </c>
      <c r="P48" s="748" t="str">
        <f>IF(VLOOKUP($A48,'Pre-Assessment Estimator'!$A$9:$V$100,P$2,FALSE)=0,"",VLOOKUP($A48,'Pre-Assessment Estimator'!$A$9:$V$100,P$2,FALSE))</f>
        <v/>
      </c>
      <c r="Q48" s="751"/>
      <c r="R48" s="750" t="str">
        <f>IF(VLOOKUP($A48,'Pre-Assessment Estimator'!$A$9:$V$100,R$2,FALSE)=0,"",VLOOKUP($A48,'Pre-Assessment Estimator'!$A$9:$V$100,R$2,FALSE))</f>
        <v/>
      </c>
      <c r="S48" s="747" t="str">
        <f>IF(VLOOKUP($A48,'Pre-Assessment Estimator'!$A$9:$V$100,S$2,FALSE)=0,"",VLOOKUP($A48,'Pre-Assessment Estimator'!$A$9:$V$100,S$2,FALSE))</f>
        <v/>
      </c>
      <c r="T48" s="747" t="str">
        <f>IF(VLOOKUP($A48,'Pre-Assessment Estimator'!$A$9:$V$100,T$2,FALSE)=0,"",VLOOKUP($A48,'Pre-Assessment Estimator'!$A$9:$V$100,T$2,FALSE))</f>
        <v/>
      </c>
      <c r="U48" s="747" t="str">
        <f>IF(VLOOKUP($A48,'Pre-Assessment Estimator'!$A$9:$V$100,U$2,FALSE)=0,"",VLOOKUP($A48,'Pre-Assessment Estimator'!$A$9:$V$100,U$2,FALSE))</f>
        <v/>
      </c>
      <c r="V48" s="491" t="str">
        <f>IF(VLOOKUP($A48,'Pre-Assessment Estimator'!$A$9:$V$100,V$2,FALSE)=0,"",VLOOKUP($A48,'Pre-Assessment Estimator'!$A$9:$V$100,V$2,FALSE))</f>
        <v/>
      </c>
      <c r="W48" s="880"/>
      <c r="X48" s="747" t="str">
        <f>IF(VLOOKUP($A48,'Pre-Assessment Estimator'!$A$9:$X$100,X$2,FALSE)=0,"",VLOOKUP($A48,'Pre-Assessment Estimator'!$A$9:$X$100,X$2,FALSE))</f>
        <v>N/A</v>
      </c>
      <c r="AB48" s="519">
        <f t="shared" si="0"/>
        <v>1</v>
      </c>
      <c r="AC48" s="520">
        <f>VLOOKUP(I48,'Assessment Details'!$L$45:$M$48,2,FALSE)</f>
        <v>4</v>
      </c>
      <c r="AD48" s="520" t="e">
        <f>VLOOKUP(N48,'Assessment Details'!$L$45:$M$48,2,FALSE)</f>
        <v>#N/A</v>
      </c>
      <c r="AE48" s="520" t="e">
        <f>VLOOKUP(T48,'Assessment Details'!$L$45:$M$48,2,FALSE)</f>
        <v>#N/A</v>
      </c>
    </row>
    <row r="49" spans="1:31" x14ac:dyDescent="0.25">
      <c r="A49" s="399">
        <v>41</v>
      </c>
      <c r="B49" s="439" t="s">
        <v>71</v>
      </c>
      <c r="C49" s="743" t="str">
        <f>Tra_06</f>
        <v>Tra 06 Home office</v>
      </c>
      <c r="D49" s="744">
        <f>VLOOKUP($A49,'Pre-Assessment Estimator'!$A$9:$V$100,D$2,FALSE)</f>
        <v>0</v>
      </c>
      <c r="E49" s="744">
        <f>VLOOKUP($A49,'Pre-Assessment Estimator'!$A$9:$V$100,E$2,FALSE)</f>
        <v>0</v>
      </c>
      <c r="F49" s="745">
        <f>VLOOKUP($A49,'Pre-Assessment Estimator'!$A$9:$V$100,F$2,FALSE)</f>
        <v>0</v>
      </c>
      <c r="G49" s="752" t="str">
        <f>VLOOKUP($A49,'Pre-Assessment Estimator'!$A$9:$V$100,G$2,FALSE)</f>
        <v>N/A</v>
      </c>
      <c r="H49" s="747" t="str">
        <f>IF(VLOOKUP($A49,'Pre-Assessment Estimator'!$A$9:$V$100,H$2,FALSE)=0,"",VLOOKUP($A49,'Pre-Assessment Estimator'!$A$9:$V$100,H$2,FALSE))</f>
        <v/>
      </c>
      <c r="I49" s="747" t="str">
        <f>IF(VLOOKUP($A49,'Pre-Assessment Estimator'!$A$9:$V$100,I$2,FALSE)=0,"",VLOOKUP($A49,'Pre-Assessment Estimator'!$A$9:$V$100,I$2,FALSE))</f>
        <v/>
      </c>
      <c r="J49" s="748" t="str">
        <f>IF(VLOOKUP($A49,'Pre-Assessment Estimator'!$A$9:$V$100,J$2,FALSE)=0,"",VLOOKUP($A49,'Pre-Assessment Estimator'!$A$9:$V$100,J$2,FALSE))</f>
        <v/>
      </c>
      <c r="K49" s="749"/>
      <c r="L49" s="750" t="str">
        <f>IF(VLOOKUP($A49,'Pre-Assessment Estimator'!$A$9:$V$100,L$2,FALSE)=0,"",VLOOKUP($A49,'Pre-Assessment Estimator'!$A$9:$V$100,L$2,FALSE))</f>
        <v/>
      </c>
      <c r="M49" s="747" t="str">
        <f>IF(VLOOKUP($A49,'Pre-Assessment Estimator'!$A$9:$V$100,M$2,FALSE)=0,"",VLOOKUP($A49,'Pre-Assessment Estimator'!$A$9:$V$100,M$2,FALSE))</f>
        <v/>
      </c>
      <c r="N49" s="747" t="str">
        <f>IF(VLOOKUP($A49,'Pre-Assessment Estimator'!$A$9:$V$100,N$2,FALSE)=0,"",VLOOKUP($A49,'Pre-Assessment Estimator'!$A$9:$V$100,N$2,FALSE))</f>
        <v/>
      </c>
      <c r="O49" s="747" t="str">
        <f>IF(VLOOKUP($A49,'Pre-Assessment Estimator'!$A$9:$V$100,O$2,FALSE)=0,"",VLOOKUP($A49,'Pre-Assessment Estimator'!$A$9:$V$100,O$2,FALSE))</f>
        <v/>
      </c>
      <c r="P49" s="748" t="str">
        <f>IF(VLOOKUP($A49,'Pre-Assessment Estimator'!$A$9:$V$100,P$2,FALSE)=0,"",VLOOKUP($A49,'Pre-Assessment Estimator'!$A$9:$V$100,P$2,FALSE))</f>
        <v/>
      </c>
      <c r="Q49" s="751"/>
      <c r="R49" s="750" t="str">
        <f>IF(VLOOKUP($A49,'Pre-Assessment Estimator'!$A$9:$V$100,R$2,FALSE)=0,"",VLOOKUP($A49,'Pre-Assessment Estimator'!$A$9:$V$100,R$2,FALSE))</f>
        <v/>
      </c>
      <c r="S49" s="747" t="str">
        <f>IF(VLOOKUP($A49,'Pre-Assessment Estimator'!$A$9:$V$100,S$2,FALSE)=0,"",VLOOKUP($A49,'Pre-Assessment Estimator'!$A$9:$V$100,S$2,FALSE))</f>
        <v/>
      </c>
      <c r="T49" s="747" t="str">
        <f>IF(VLOOKUP($A49,'Pre-Assessment Estimator'!$A$9:$V$100,T$2,FALSE)=0,"",VLOOKUP($A49,'Pre-Assessment Estimator'!$A$9:$V$100,T$2,FALSE))</f>
        <v/>
      </c>
      <c r="U49" s="747" t="str">
        <f>IF(VLOOKUP($A49,'Pre-Assessment Estimator'!$A$9:$V$100,U$2,FALSE)=0,"",VLOOKUP($A49,'Pre-Assessment Estimator'!$A$9:$V$100,U$2,FALSE))</f>
        <v/>
      </c>
      <c r="V49" s="491" t="str">
        <f>IF(VLOOKUP($A49,'Pre-Assessment Estimator'!$A$9:$V$100,V$2,FALSE)=0,"",VLOOKUP($A49,'Pre-Assessment Estimator'!$A$9:$V$100,V$2,FALSE))</f>
        <v/>
      </c>
      <c r="W49" s="880"/>
      <c r="X49" s="747" t="str">
        <f>IF(VLOOKUP($A49,'Pre-Assessment Estimator'!$A$9:$X$100,X$2,FALSE)=0,"",VLOOKUP($A49,'Pre-Assessment Estimator'!$A$9:$X$100,X$2,FALSE))</f>
        <v>N/A</v>
      </c>
      <c r="AB49" s="519">
        <f t="shared" si="0"/>
        <v>2</v>
      </c>
      <c r="AC49" s="103" t="e">
        <f>VLOOKUP(I49,'Assessment Details'!$L$45:$M$48,2,FALSE)</f>
        <v>#N/A</v>
      </c>
      <c r="AD49" s="103" t="e">
        <f>VLOOKUP(N49,'Assessment Details'!$L$45:$M$48,2,FALSE)</f>
        <v>#N/A</v>
      </c>
      <c r="AE49" s="103" t="e">
        <f>VLOOKUP(T49,'Assessment Details'!$L$45:$M$48,2,FALSE)</f>
        <v>#N/A</v>
      </c>
    </row>
    <row r="50" spans="1:31" ht="15.75" thickBot="1" x14ac:dyDescent="0.3">
      <c r="A50" s="399">
        <v>42</v>
      </c>
      <c r="B50" s="439" t="s">
        <v>71</v>
      </c>
      <c r="C50" s="753" t="s">
        <v>110</v>
      </c>
      <c r="D50" s="754">
        <f>VLOOKUP($A50,'Pre-Assessment Estimator'!$A$9:$V$100,D$2,FALSE)</f>
        <v>9</v>
      </c>
      <c r="E50" s="754">
        <f>SUM(E44:E49)</f>
        <v>0</v>
      </c>
      <c r="F50" s="755">
        <f>VLOOKUP($A50,'Pre-Assessment Estimator'!$A$9:$V$100,F$2,FALSE)</f>
        <v>0</v>
      </c>
      <c r="G50" s="747"/>
      <c r="H50" s="747" t="str">
        <f>IF(VLOOKUP($A50,'Pre-Assessment Estimator'!$A$9:$V$100,H$2,FALSE)=0,"",VLOOKUP($A50,'Pre-Assessment Estimator'!$A$9:$V$100,H$2,FALSE))</f>
        <v/>
      </c>
      <c r="I50" s="744" t="str">
        <f>IF(VLOOKUP($A50,'Pre-Assessment Estimator'!$A$9:$V$100,I$2,FALSE)=0,"",VLOOKUP($A50,'Pre-Assessment Estimator'!$A$9:$V$100,I$2,FALSE))</f>
        <v/>
      </c>
      <c r="J50" s="748" t="str">
        <f>IF(VLOOKUP($A50,'Pre-Assessment Estimator'!$A$9:$V$100,J$2,FALSE)=0,"",VLOOKUP($A50,'Pre-Assessment Estimator'!$A$9:$V$100,J$2,FALSE))</f>
        <v/>
      </c>
      <c r="K50" s="749"/>
      <c r="L50" s="756" t="str">
        <f>IF(VLOOKUP($A50,'Pre-Assessment Estimator'!$A$9:$V$100,L$2,FALSE)=0,"",VLOOKUP($A50,'Pre-Assessment Estimator'!$A$9:$V$100,L$2,FALSE))</f>
        <v/>
      </c>
      <c r="M50" s="747" t="str">
        <f>IF(VLOOKUP($A50,'Pre-Assessment Estimator'!$A$9:$V$100,M$2,FALSE)=0,"",VLOOKUP($A50,'Pre-Assessment Estimator'!$A$9:$V$100,M$2,FALSE))</f>
        <v/>
      </c>
      <c r="N50" s="744" t="str">
        <f>IF(VLOOKUP($A50,'Pre-Assessment Estimator'!$A$9:$V$100,N$2,FALSE)=0,"",VLOOKUP($A50,'Pre-Assessment Estimator'!$A$9:$V$100,N$2,FALSE))</f>
        <v/>
      </c>
      <c r="O50" s="747" t="str">
        <f>IF(VLOOKUP($A50,'Pre-Assessment Estimator'!$A$9:$V$100,O$2,FALSE)=0,"",VLOOKUP($A50,'Pre-Assessment Estimator'!$A$9:$V$100,O$2,FALSE))</f>
        <v/>
      </c>
      <c r="P50" s="748" t="str">
        <f>IF(VLOOKUP($A50,'Pre-Assessment Estimator'!$A$9:$V$100,P$2,FALSE)=0,"",VLOOKUP($A50,'Pre-Assessment Estimator'!$A$9:$V$100,P$2,FALSE))</f>
        <v/>
      </c>
      <c r="Q50" s="751"/>
      <c r="R50" s="756" t="str">
        <f>IF(VLOOKUP($A50,'Pre-Assessment Estimator'!$A$9:$V$100,R$2,FALSE)=0,"",VLOOKUP($A50,'Pre-Assessment Estimator'!$A$9:$V$100,R$2,FALSE))</f>
        <v/>
      </c>
      <c r="S50" s="747" t="str">
        <f>IF(VLOOKUP($A50,'Pre-Assessment Estimator'!$A$9:$V$100,S$2,FALSE)=0,"",VLOOKUP($A50,'Pre-Assessment Estimator'!$A$9:$V$100,S$2,FALSE))</f>
        <v/>
      </c>
      <c r="T50" s="744" t="str">
        <f>IF(VLOOKUP($A50,'Pre-Assessment Estimator'!$A$9:$V$100,T$2,FALSE)=0,"",VLOOKUP($A50,'Pre-Assessment Estimator'!$A$9:$V$100,T$2,FALSE))</f>
        <v/>
      </c>
      <c r="U50" s="747" t="str">
        <f>IF(VLOOKUP($A50,'Pre-Assessment Estimator'!$A$9:$V$100,U$2,FALSE)=0,"",VLOOKUP($A50,'Pre-Assessment Estimator'!$A$9:$V$100,U$2,FALSE))</f>
        <v/>
      </c>
      <c r="V50" s="491" t="str">
        <f>IF(VLOOKUP($A50,'Pre-Assessment Estimator'!$A$9:$V$100,V$2,FALSE)=0,"",VLOOKUP($A50,'Pre-Assessment Estimator'!$A$9:$V$100,V$2,FALSE))</f>
        <v/>
      </c>
      <c r="W50" s="880"/>
      <c r="X50" s="747" t="str">
        <f>IF(VLOOKUP($A50,'Pre-Assessment Estimator'!$A$9:$X$100,X$2,FALSE)=0,"",VLOOKUP($A50,'Pre-Assessment Estimator'!$A$9:$X$100,X$2,FALSE))</f>
        <v/>
      </c>
      <c r="AB50" s="519">
        <f t="shared" si="0"/>
        <v>1</v>
      </c>
      <c r="AC50" s="333">
        <v>0</v>
      </c>
      <c r="AD50" s="333">
        <v>0</v>
      </c>
      <c r="AE50" s="333">
        <v>0</v>
      </c>
    </row>
    <row r="51" spans="1:31" x14ac:dyDescent="0.25">
      <c r="A51" s="399">
        <v>43</v>
      </c>
      <c r="B51" s="439" t="s">
        <v>71</v>
      </c>
      <c r="C51" s="757"/>
      <c r="D51" s="758"/>
      <c r="E51" s="758"/>
      <c r="F51" s="758"/>
      <c r="G51" s="758"/>
      <c r="H51" s="757"/>
      <c r="I51" s="758"/>
      <c r="J51" s="757"/>
      <c r="K51" s="749"/>
      <c r="L51" s="758"/>
      <c r="M51" s="757"/>
      <c r="N51" s="758"/>
      <c r="O51" s="757"/>
      <c r="P51" s="757"/>
      <c r="Q51" s="751"/>
      <c r="R51" s="758"/>
      <c r="S51" s="757"/>
      <c r="T51" s="758"/>
      <c r="U51" s="757"/>
      <c r="V51" s="440"/>
      <c r="W51" s="881"/>
      <c r="X51" s="757"/>
      <c r="Y51" s="522"/>
      <c r="Z51" s="522"/>
      <c r="AA51" s="522"/>
      <c r="AB51" s="519">
        <f t="shared" si="0"/>
        <v>1</v>
      </c>
      <c r="AC51" s="335">
        <v>0</v>
      </c>
      <c r="AD51" s="335">
        <v>0</v>
      </c>
      <c r="AE51" s="335">
        <v>0</v>
      </c>
    </row>
    <row r="52" spans="1:31" ht="18.75" x14ac:dyDescent="0.25">
      <c r="A52" s="399">
        <v>44</v>
      </c>
      <c r="B52" s="399" t="s">
        <v>63</v>
      </c>
      <c r="C52" s="759" t="s">
        <v>63</v>
      </c>
      <c r="D52" s="739"/>
      <c r="E52" s="739"/>
      <c r="F52" s="739"/>
      <c r="G52" s="739"/>
      <c r="H52" s="740"/>
      <c r="I52" s="739"/>
      <c r="J52" s="740"/>
      <c r="K52" s="749"/>
      <c r="L52" s="739"/>
      <c r="M52" s="740"/>
      <c r="N52" s="739"/>
      <c r="O52" s="740"/>
      <c r="P52" s="740"/>
      <c r="Q52" s="751"/>
      <c r="R52" s="739"/>
      <c r="S52" s="740"/>
      <c r="T52" s="739"/>
      <c r="U52" s="740"/>
      <c r="V52" s="544"/>
      <c r="W52" s="879"/>
      <c r="X52" s="883"/>
      <c r="AB52" s="519">
        <f t="shared" si="0"/>
        <v>1</v>
      </c>
      <c r="AC52" s="331">
        <v>0</v>
      </c>
      <c r="AD52" s="331">
        <v>0</v>
      </c>
      <c r="AE52" s="331">
        <v>0</v>
      </c>
    </row>
    <row r="53" spans="1:31" x14ac:dyDescent="0.25">
      <c r="A53" s="399">
        <v>45</v>
      </c>
      <c r="B53" s="439" t="s">
        <v>63</v>
      </c>
      <c r="C53" s="743" t="str">
        <f>Wat_01</f>
        <v>Wat 01 Water consumption</v>
      </c>
      <c r="D53" s="744">
        <f>VLOOKUP($A53,'Pre-Assessment Estimator'!$A$9:$V$100,D$2,FALSE)</f>
        <v>5</v>
      </c>
      <c r="E53" s="744">
        <f>VLOOKUP($A53,'Pre-Assessment Estimator'!$A$9:$V$100,E$2,FALSE)</f>
        <v>0</v>
      </c>
      <c r="F53" s="745">
        <f>VLOOKUP($A53,'Pre-Assessment Estimator'!$A$9:$V$100,F$2,FALSE)</f>
        <v>0</v>
      </c>
      <c r="G53" s="746" t="str">
        <f>VLOOKUP($A53,'Pre-Assessment Estimator'!$A$9:$V$100,G$2,FALSE)</f>
        <v>Very Good</v>
      </c>
      <c r="H53" s="747" t="str">
        <f>IF(VLOOKUP($A53,'Pre-Assessment Estimator'!$A$9:$V$100,H$2,FALSE)=0,"",VLOOKUP($A53,'Pre-Assessment Estimator'!$A$9:$V$100,H$2,FALSE))</f>
        <v/>
      </c>
      <c r="I53" s="747" t="str">
        <f>IF(VLOOKUP($A53,'Pre-Assessment Estimator'!$A$9:$V$100,I$2,FALSE)=0,"",VLOOKUP($A53,'Pre-Assessment Estimator'!$A$9:$V$100,I$2,FALSE))</f>
        <v/>
      </c>
      <c r="J53" s="748" t="str">
        <f>IF(VLOOKUP($A53,'Pre-Assessment Estimator'!$A$9:$V$100,J$2,FALSE)=0,"",VLOOKUP($A53,'Pre-Assessment Estimator'!$A$9:$V$100,J$2,FALSE))</f>
        <v/>
      </c>
      <c r="K53" s="749"/>
      <c r="L53" s="750" t="str">
        <f>IF(VLOOKUP($A53,'Pre-Assessment Estimator'!$A$9:$V$100,L$2,FALSE)=0,"",VLOOKUP($A53,'Pre-Assessment Estimator'!$A$9:$V$100,L$2,FALSE))</f>
        <v/>
      </c>
      <c r="M53" s="747" t="str">
        <f>IF(VLOOKUP($A53,'Pre-Assessment Estimator'!$A$9:$V$100,M$2,FALSE)=0,"",VLOOKUP($A53,'Pre-Assessment Estimator'!$A$9:$V$100,M$2,FALSE))</f>
        <v/>
      </c>
      <c r="N53" s="747" t="str">
        <f>IF(VLOOKUP($A53,'Pre-Assessment Estimator'!$A$9:$V$100,N$2,FALSE)=0,"",VLOOKUP($A53,'Pre-Assessment Estimator'!$A$9:$V$100,N$2,FALSE))</f>
        <v/>
      </c>
      <c r="O53" s="747" t="str">
        <f>IF(VLOOKUP($A53,'Pre-Assessment Estimator'!$A$9:$V$100,O$2,FALSE)=0,"",VLOOKUP($A53,'Pre-Assessment Estimator'!$A$9:$V$100,O$2,FALSE))</f>
        <v/>
      </c>
      <c r="P53" s="748" t="str">
        <f>IF(VLOOKUP($A53,'Pre-Assessment Estimator'!$A$9:$V$100,P$2,FALSE)=0,"",VLOOKUP($A53,'Pre-Assessment Estimator'!$A$9:$V$100,P$2,FALSE))</f>
        <v/>
      </c>
      <c r="Q53" s="751"/>
      <c r="R53" s="750" t="str">
        <f>IF(VLOOKUP($A53,'Pre-Assessment Estimator'!$A$9:$V$100,R$2,FALSE)=0,"",VLOOKUP($A53,'Pre-Assessment Estimator'!$A$9:$V$100,R$2,FALSE))</f>
        <v/>
      </c>
      <c r="S53" s="747" t="str">
        <f>IF(VLOOKUP($A53,'Pre-Assessment Estimator'!$A$9:$V$100,S$2,FALSE)=0,"",VLOOKUP($A53,'Pre-Assessment Estimator'!$A$9:$V$100,S$2,FALSE))</f>
        <v/>
      </c>
      <c r="T53" s="747" t="str">
        <f>IF(VLOOKUP($A53,'Pre-Assessment Estimator'!$A$9:$V$100,T$2,FALSE)=0,"",VLOOKUP($A53,'Pre-Assessment Estimator'!$A$9:$V$100,T$2,FALSE))</f>
        <v/>
      </c>
      <c r="U53" s="747" t="str">
        <f>IF(VLOOKUP($A53,'Pre-Assessment Estimator'!$A$9:$V$100,U$2,FALSE)=0,"",VLOOKUP($A53,'Pre-Assessment Estimator'!$A$9:$V$100,U$2,FALSE))</f>
        <v/>
      </c>
      <c r="V53" s="491" t="str">
        <f>IF(VLOOKUP($A53,'Pre-Assessment Estimator'!$A$9:$V$100,V$2,FALSE)=0,"",VLOOKUP($A53,'Pre-Assessment Estimator'!$A$9:$V$100,V$2,FALSE))</f>
        <v/>
      </c>
      <c r="W53" s="880"/>
      <c r="X53" s="747" t="str">
        <f>IF(VLOOKUP($A53,'Pre-Assessment Estimator'!$A$9:$X$100,X$2,FALSE)=0,"",VLOOKUP($A53,'Pre-Assessment Estimator'!$A$9:$X$100,X$2,FALSE))</f>
        <v>No</v>
      </c>
      <c r="AB53" s="519">
        <f t="shared" si="0"/>
        <v>1</v>
      </c>
      <c r="AC53" s="520" t="e">
        <f>VLOOKUP(I53,'Assessment Details'!$L$45:$M$48,2,FALSE)</f>
        <v>#N/A</v>
      </c>
      <c r="AD53" s="520" t="e">
        <f>VLOOKUP(N53,'Assessment Details'!$L$45:$M$48,2,FALSE)</f>
        <v>#N/A</v>
      </c>
      <c r="AE53" s="520" t="e">
        <f>VLOOKUP(T53,'Assessment Details'!$L$45:$M$48,2,FALSE)</f>
        <v>#N/A</v>
      </c>
    </row>
    <row r="54" spans="1:31" x14ac:dyDescent="0.25">
      <c r="A54" s="399">
        <v>46</v>
      </c>
      <c r="B54" s="439" t="s">
        <v>63</v>
      </c>
      <c r="C54" s="743" t="str">
        <f>Wat_02</f>
        <v>Wat 02 Water monitoring</v>
      </c>
      <c r="D54" s="744">
        <f>VLOOKUP($A54,'Pre-Assessment Estimator'!$A$9:$V$100,D$2,FALSE)</f>
        <v>1</v>
      </c>
      <c r="E54" s="744">
        <f>VLOOKUP($A54,'Pre-Assessment Estimator'!$A$9:$V$100,E$2,FALSE)</f>
        <v>0</v>
      </c>
      <c r="F54" s="745">
        <f>VLOOKUP($A54,'Pre-Assessment Estimator'!$A$9:$V$100,F$2,FALSE)</f>
        <v>0</v>
      </c>
      <c r="G54" s="752" t="str">
        <f>VLOOKUP($A54,'Pre-Assessment Estimator'!$A$9:$V$100,G$2,FALSE)</f>
        <v>N/A</v>
      </c>
      <c r="H54" s="747" t="str">
        <f>IF(VLOOKUP($A54,'Pre-Assessment Estimator'!$A$9:$V$100,H$2,FALSE)=0,"",VLOOKUP($A54,'Pre-Assessment Estimator'!$A$9:$V$100,H$2,FALSE))</f>
        <v/>
      </c>
      <c r="I54" s="747" t="str">
        <f>IF(VLOOKUP($A54,'Pre-Assessment Estimator'!$A$9:$V$100,I$2,FALSE)=0,"",VLOOKUP($A54,'Pre-Assessment Estimator'!$A$9:$V$100,I$2,FALSE))</f>
        <v/>
      </c>
      <c r="J54" s="748" t="str">
        <f>IF(VLOOKUP($A54,'Pre-Assessment Estimator'!$A$9:$V$100,J$2,FALSE)=0,"",VLOOKUP($A54,'Pre-Assessment Estimator'!$A$9:$V$100,J$2,FALSE))</f>
        <v/>
      </c>
      <c r="K54" s="749"/>
      <c r="L54" s="750" t="str">
        <f>IF(VLOOKUP($A54,'Pre-Assessment Estimator'!$A$9:$V$100,L$2,FALSE)=0,"",VLOOKUP($A54,'Pre-Assessment Estimator'!$A$9:$V$100,L$2,FALSE))</f>
        <v/>
      </c>
      <c r="M54" s="747" t="str">
        <f>IF(VLOOKUP($A54,'Pre-Assessment Estimator'!$A$9:$V$100,M$2,FALSE)=0,"",VLOOKUP($A54,'Pre-Assessment Estimator'!$A$9:$V$100,M$2,FALSE))</f>
        <v/>
      </c>
      <c r="N54" s="747" t="str">
        <f>IF(VLOOKUP($A54,'Pre-Assessment Estimator'!$A$9:$V$100,N$2,FALSE)=0,"",VLOOKUP($A54,'Pre-Assessment Estimator'!$A$9:$V$100,N$2,FALSE))</f>
        <v/>
      </c>
      <c r="O54" s="747" t="str">
        <f>IF(VLOOKUP($A54,'Pre-Assessment Estimator'!$A$9:$V$100,O$2,FALSE)=0,"",VLOOKUP($A54,'Pre-Assessment Estimator'!$A$9:$V$100,O$2,FALSE))</f>
        <v/>
      </c>
      <c r="P54" s="748" t="str">
        <f>IF(VLOOKUP($A54,'Pre-Assessment Estimator'!$A$9:$V$100,P$2,FALSE)=0,"",VLOOKUP($A54,'Pre-Assessment Estimator'!$A$9:$V$100,P$2,FALSE))</f>
        <v/>
      </c>
      <c r="Q54" s="751"/>
      <c r="R54" s="750" t="str">
        <f>IF(VLOOKUP($A54,'Pre-Assessment Estimator'!$A$9:$V$100,R$2,FALSE)=0,"",VLOOKUP($A54,'Pre-Assessment Estimator'!$A$9:$V$100,R$2,FALSE))</f>
        <v/>
      </c>
      <c r="S54" s="747" t="str">
        <f>IF(VLOOKUP($A54,'Pre-Assessment Estimator'!$A$9:$V$100,S$2,FALSE)=0,"",VLOOKUP($A54,'Pre-Assessment Estimator'!$A$9:$V$100,S$2,FALSE))</f>
        <v/>
      </c>
      <c r="T54" s="747" t="str">
        <f>IF(VLOOKUP($A54,'Pre-Assessment Estimator'!$A$9:$V$100,T$2,FALSE)=0,"",VLOOKUP($A54,'Pre-Assessment Estimator'!$A$9:$V$100,T$2,FALSE))</f>
        <v/>
      </c>
      <c r="U54" s="747" t="str">
        <f>IF(VLOOKUP($A54,'Pre-Assessment Estimator'!$A$9:$V$100,U$2,FALSE)=0,"",VLOOKUP($A54,'Pre-Assessment Estimator'!$A$9:$V$100,U$2,FALSE))</f>
        <v/>
      </c>
      <c r="V54" s="491" t="str">
        <f>IF(VLOOKUP($A54,'Pre-Assessment Estimator'!$A$9:$V$100,V$2,FALSE)=0,"",VLOOKUP($A54,'Pre-Assessment Estimator'!$A$9:$V$100,V$2,FALSE))</f>
        <v/>
      </c>
      <c r="W54" s="880"/>
      <c r="X54" s="747" t="str">
        <f>IF(VLOOKUP($A54,'Pre-Assessment Estimator'!$A$9:$X$100,X$2,FALSE)=0,"",VLOOKUP($A54,'Pre-Assessment Estimator'!$A$9:$X$100,X$2,FALSE))</f>
        <v>No</v>
      </c>
      <c r="AB54" s="519">
        <f t="shared" si="0"/>
        <v>1</v>
      </c>
      <c r="AC54" s="520" t="e">
        <f>VLOOKUP(I54,'Assessment Details'!$L$45:$M$48,2,FALSE)</f>
        <v>#N/A</v>
      </c>
      <c r="AD54" s="520" t="e">
        <f>VLOOKUP(N54,'Assessment Details'!$L$45:$M$48,2,FALSE)</f>
        <v>#N/A</v>
      </c>
      <c r="AE54" s="520" t="e">
        <f>VLOOKUP(T54,'Assessment Details'!$L$45:$M$48,2,FALSE)</f>
        <v>#N/A</v>
      </c>
    </row>
    <row r="55" spans="1:31" x14ac:dyDescent="0.25">
      <c r="A55" s="399">
        <v>47</v>
      </c>
      <c r="B55" s="439" t="s">
        <v>63</v>
      </c>
      <c r="C55" s="743" t="str">
        <f>Wat_03</f>
        <v>Wat 03 Water leak detection and prevention</v>
      </c>
      <c r="D55" s="744">
        <f>VLOOKUP($A55,'Pre-Assessment Estimator'!$A$9:$V$100,D$2,FALSE)</f>
        <v>2</v>
      </c>
      <c r="E55" s="744">
        <f>VLOOKUP($A55,'Pre-Assessment Estimator'!$A$9:$V$100,E$2,FALSE)</f>
        <v>0</v>
      </c>
      <c r="F55" s="745">
        <f>VLOOKUP($A55,'Pre-Assessment Estimator'!$A$9:$V$100,F$2,FALSE)</f>
        <v>0</v>
      </c>
      <c r="G55" s="752" t="str">
        <f>VLOOKUP($A55,'Pre-Assessment Estimator'!$A$9:$V$100,G$2,FALSE)</f>
        <v>N/A</v>
      </c>
      <c r="H55" s="747" t="str">
        <f>IF(VLOOKUP($A55,'Pre-Assessment Estimator'!$A$9:$V$100,H$2,FALSE)=0,"",VLOOKUP($A55,'Pre-Assessment Estimator'!$A$9:$V$100,H$2,FALSE))</f>
        <v/>
      </c>
      <c r="I55" s="747" t="str">
        <f>IF(VLOOKUP($A55,'Pre-Assessment Estimator'!$A$9:$V$100,I$2,FALSE)=0,"",VLOOKUP($A55,'Pre-Assessment Estimator'!$A$9:$V$100,I$2,FALSE))</f>
        <v/>
      </c>
      <c r="J55" s="748" t="str">
        <f>IF(VLOOKUP($A55,'Pre-Assessment Estimator'!$A$9:$V$100,J$2,FALSE)=0,"",VLOOKUP($A55,'Pre-Assessment Estimator'!$A$9:$V$100,J$2,FALSE))</f>
        <v/>
      </c>
      <c r="K55" s="749"/>
      <c r="L55" s="750" t="str">
        <f>IF(VLOOKUP($A55,'Pre-Assessment Estimator'!$A$9:$V$100,L$2,FALSE)=0,"",VLOOKUP($A55,'Pre-Assessment Estimator'!$A$9:$V$100,L$2,FALSE))</f>
        <v/>
      </c>
      <c r="M55" s="747" t="str">
        <f>IF(VLOOKUP($A55,'Pre-Assessment Estimator'!$A$9:$V$100,M$2,FALSE)=0,"",VLOOKUP($A55,'Pre-Assessment Estimator'!$A$9:$V$100,M$2,FALSE))</f>
        <v/>
      </c>
      <c r="N55" s="747" t="str">
        <f>IF(VLOOKUP($A55,'Pre-Assessment Estimator'!$A$9:$V$100,N$2,FALSE)=0,"",VLOOKUP($A55,'Pre-Assessment Estimator'!$A$9:$V$100,N$2,FALSE))</f>
        <v/>
      </c>
      <c r="O55" s="747" t="str">
        <f>IF(VLOOKUP($A55,'Pre-Assessment Estimator'!$A$9:$V$100,O$2,FALSE)=0,"",VLOOKUP($A55,'Pre-Assessment Estimator'!$A$9:$V$100,O$2,FALSE))</f>
        <v/>
      </c>
      <c r="P55" s="748" t="str">
        <f>IF(VLOOKUP($A55,'Pre-Assessment Estimator'!$A$9:$V$100,P$2,FALSE)=0,"",VLOOKUP($A55,'Pre-Assessment Estimator'!$A$9:$V$100,P$2,FALSE))</f>
        <v/>
      </c>
      <c r="Q55" s="751"/>
      <c r="R55" s="750" t="str">
        <f>IF(VLOOKUP($A55,'Pre-Assessment Estimator'!$A$9:$V$100,R$2,FALSE)=0,"",VLOOKUP($A55,'Pre-Assessment Estimator'!$A$9:$V$100,R$2,FALSE))</f>
        <v/>
      </c>
      <c r="S55" s="747" t="str">
        <f>IF(VLOOKUP($A55,'Pre-Assessment Estimator'!$A$9:$V$100,S$2,FALSE)=0,"",VLOOKUP($A55,'Pre-Assessment Estimator'!$A$9:$V$100,S$2,FALSE))</f>
        <v/>
      </c>
      <c r="T55" s="747" t="str">
        <f>IF(VLOOKUP($A55,'Pre-Assessment Estimator'!$A$9:$V$100,T$2,FALSE)=0,"",VLOOKUP($A55,'Pre-Assessment Estimator'!$A$9:$V$100,T$2,FALSE))</f>
        <v/>
      </c>
      <c r="U55" s="747" t="str">
        <f>IF(VLOOKUP($A55,'Pre-Assessment Estimator'!$A$9:$V$100,U$2,FALSE)=0,"",VLOOKUP($A55,'Pre-Assessment Estimator'!$A$9:$V$100,U$2,FALSE))</f>
        <v/>
      </c>
      <c r="V55" s="491" t="str">
        <f>IF(VLOOKUP($A55,'Pre-Assessment Estimator'!$A$9:$V$100,V$2,FALSE)=0,"",VLOOKUP($A55,'Pre-Assessment Estimator'!$A$9:$V$100,V$2,FALSE))</f>
        <v/>
      </c>
      <c r="W55" s="880"/>
      <c r="X55" s="747" t="str">
        <f>IF(VLOOKUP($A55,'Pre-Assessment Estimator'!$A$9:$X$100,X$2,FALSE)=0,"",VLOOKUP($A55,'Pre-Assessment Estimator'!$A$9:$X$100,X$2,FALSE))</f>
        <v>No</v>
      </c>
      <c r="AB55" s="519">
        <f t="shared" si="0"/>
        <v>1</v>
      </c>
      <c r="AC55" s="103" t="e">
        <f>VLOOKUP(I55,'Assessment Details'!$L$45:$M$48,2,FALSE)</f>
        <v>#N/A</v>
      </c>
      <c r="AD55" s="103" t="e">
        <f>VLOOKUP(N55,'Assessment Details'!$L$45:$M$48,2,FALSE)</f>
        <v>#N/A</v>
      </c>
      <c r="AE55" s="103" t="e">
        <f>VLOOKUP(T55,'Assessment Details'!$L$45:$M$48,2,FALSE)</f>
        <v>#N/A</v>
      </c>
    </row>
    <row r="56" spans="1:31" x14ac:dyDescent="0.25">
      <c r="A56" s="399">
        <v>48</v>
      </c>
      <c r="B56" s="439" t="s">
        <v>63</v>
      </c>
      <c r="C56" s="743" t="str">
        <f>Wat_04</f>
        <v>Wat 04 Water efficient equipment</v>
      </c>
      <c r="D56" s="744">
        <f>VLOOKUP($A56,'Pre-Assessment Estimator'!$A$9:$V$100,D$2,FALSE)</f>
        <v>0</v>
      </c>
      <c r="E56" s="744">
        <f>VLOOKUP($A56,'Pre-Assessment Estimator'!$A$9:$V$100,E$2,FALSE)</f>
        <v>0</v>
      </c>
      <c r="F56" s="745">
        <f>VLOOKUP($A56,'Pre-Assessment Estimator'!$A$9:$V$100,F$2,FALSE)</f>
        <v>0</v>
      </c>
      <c r="G56" s="752" t="str">
        <f>VLOOKUP($A56,'Pre-Assessment Estimator'!$A$9:$V$100,G$2,FALSE)</f>
        <v>N/A</v>
      </c>
      <c r="H56" s="747" t="str">
        <f>IF(VLOOKUP($A56,'Pre-Assessment Estimator'!$A$9:$V$100,H$2,FALSE)=0,"",VLOOKUP($A56,'Pre-Assessment Estimator'!$A$9:$V$100,H$2,FALSE))</f>
        <v/>
      </c>
      <c r="I56" s="747" t="str">
        <f>IF(VLOOKUP($A56,'Pre-Assessment Estimator'!$A$9:$V$100,I$2,FALSE)=0,"",VLOOKUP($A56,'Pre-Assessment Estimator'!$A$9:$V$100,I$2,FALSE))</f>
        <v/>
      </c>
      <c r="J56" s="748" t="str">
        <f>IF(VLOOKUP($A56,'Pre-Assessment Estimator'!$A$9:$V$100,J$2,FALSE)=0,"",VLOOKUP($A56,'Pre-Assessment Estimator'!$A$9:$V$100,J$2,FALSE))</f>
        <v/>
      </c>
      <c r="K56" s="749"/>
      <c r="L56" s="750" t="str">
        <f>IF(VLOOKUP($A56,'Pre-Assessment Estimator'!$A$9:$V$100,L$2,FALSE)=0,"",VLOOKUP($A56,'Pre-Assessment Estimator'!$A$9:$V$100,L$2,FALSE))</f>
        <v/>
      </c>
      <c r="M56" s="747" t="str">
        <f>IF(VLOOKUP($A56,'Pre-Assessment Estimator'!$A$9:$V$100,M$2,FALSE)=0,"",VLOOKUP($A56,'Pre-Assessment Estimator'!$A$9:$V$100,M$2,FALSE))</f>
        <v/>
      </c>
      <c r="N56" s="747" t="str">
        <f>IF(VLOOKUP($A56,'Pre-Assessment Estimator'!$A$9:$V$100,N$2,FALSE)=0,"",VLOOKUP($A56,'Pre-Assessment Estimator'!$A$9:$V$100,N$2,FALSE))</f>
        <v/>
      </c>
      <c r="O56" s="747" t="str">
        <f>IF(VLOOKUP($A56,'Pre-Assessment Estimator'!$A$9:$V$100,O$2,FALSE)=0,"",VLOOKUP($A56,'Pre-Assessment Estimator'!$A$9:$V$100,O$2,FALSE))</f>
        <v/>
      </c>
      <c r="P56" s="748" t="str">
        <f>IF(VLOOKUP($A56,'Pre-Assessment Estimator'!$A$9:$V$100,P$2,FALSE)=0,"",VLOOKUP($A56,'Pre-Assessment Estimator'!$A$9:$V$100,P$2,FALSE))</f>
        <v/>
      </c>
      <c r="Q56" s="751"/>
      <c r="R56" s="750" t="str">
        <f>IF(VLOOKUP($A56,'Pre-Assessment Estimator'!$A$9:$V$100,R$2,FALSE)=0,"",VLOOKUP($A56,'Pre-Assessment Estimator'!$A$9:$V$100,R$2,FALSE))</f>
        <v/>
      </c>
      <c r="S56" s="747" t="str">
        <f>IF(VLOOKUP($A56,'Pre-Assessment Estimator'!$A$9:$V$100,S$2,FALSE)=0,"",VLOOKUP($A56,'Pre-Assessment Estimator'!$A$9:$V$100,S$2,FALSE))</f>
        <v/>
      </c>
      <c r="T56" s="747" t="str">
        <f>IF(VLOOKUP($A56,'Pre-Assessment Estimator'!$A$9:$V$100,T$2,FALSE)=0,"",VLOOKUP($A56,'Pre-Assessment Estimator'!$A$9:$V$100,T$2,FALSE))</f>
        <v/>
      </c>
      <c r="U56" s="747" t="str">
        <f>IF(VLOOKUP($A56,'Pre-Assessment Estimator'!$A$9:$V$100,U$2,FALSE)=0,"",VLOOKUP($A56,'Pre-Assessment Estimator'!$A$9:$V$100,U$2,FALSE))</f>
        <v/>
      </c>
      <c r="V56" s="491" t="str">
        <f>IF(VLOOKUP($A56,'Pre-Assessment Estimator'!$A$9:$V$100,V$2,FALSE)=0,"",VLOOKUP($A56,'Pre-Assessment Estimator'!$A$9:$V$100,V$2,FALSE))</f>
        <v/>
      </c>
      <c r="W56" s="880"/>
      <c r="X56" s="747" t="str">
        <f>IF(VLOOKUP($A56,'Pre-Assessment Estimator'!$A$9:$X$100,X$2,FALSE)=0,"",VLOOKUP($A56,'Pre-Assessment Estimator'!$A$9:$X$100,X$2,FALSE))</f>
        <v>N/A</v>
      </c>
      <c r="AB56" s="519">
        <f t="shared" si="0"/>
        <v>2</v>
      </c>
      <c r="AC56" s="103" t="e">
        <f>VLOOKUP(I56,'Assessment Details'!$L$45:$M$48,2,FALSE)</f>
        <v>#N/A</v>
      </c>
      <c r="AD56" s="103" t="e">
        <f>VLOOKUP(N56,'Assessment Details'!$L$45:$M$48,2,FALSE)</f>
        <v>#N/A</v>
      </c>
      <c r="AE56" s="103" t="e">
        <f>VLOOKUP(T56,'Assessment Details'!$L$45:$M$48,2,FALSE)</f>
        <v>#N/A</v>
      </c>
    </row>
    <row r="57" spans="1:31" ht="15.75" thickBot="1" x14ac:dyDescent="0.3">
      <c r="A57" s="399">
        <v>49</v>
      </c>
      <c r="B57" s="439" t="s">
        <v>63</v>
      </c>
      <c r="C57" s="753" t="s">
        <v>111</v>
      </c>
      <c r="D57" s="754">
        <f>VLOOKUP($A57,'Pre-Assessment Estimator'!$A$9:$V$100,D$2,FALSE)</f>
        <v>8</v>
      </c>
      <c r="E57" s="754">
        <f>SUM(E53:E56)</f>
        <v>0</v>
      </c>
      <c r="F57" s="755">
        <f>VLOOKUP($A57,'Pre-Assessment Estimator'!$A$9:$V$100,F$2,FALSE)</f>
        <v>0</v>
      </c>
      <c r="G57" s="747"/>
      <c r="H57" s="747" t="str">
        <f>IF(VLOOKUP($A57,'Pre-Assessment Estimator'!$A$9:$V$100,H$2,FALSE)=0,"",VLOOKUP($A57,'Pre-Assessment Estimator'!$A$9:$V$100,H$2,FALSE))</f>
        <v/>
      </c>
      <c r="I57" s="744" t="str">
        <f>IF(VLOOKUP($A57,'Pre-Assessment Estimator'!$A$9:$V$100,I$2,FALSE)=0,"",VLOOKUP($A57,'Pre-Assessment Estimator'!$A$9:$V$100,I$2,FALSE))</f>
        <v/>
      </c>
      <c r="J57" s="748" t="str">
        <f>IF(VLOOKUP($A57,'Pre-Assessment Estimator'!$A$9:$V$100,J$2,FALSE)=0,"",VLOOKUP($A57,'Pre-Assessment Estimator'!$A$9:$V$100,J$2,FALSE))</f>
        <v/>
      </c>
      <c r="K57" s="749"/>
      <c r="L57" s="756" t="str">
        <f>IF(VLOOKUP($A57,'Pre-Assessment Estimator'!$A$9:$V$100,L$2,FALSE)=0,"",VLOOKUP($A57,'Pre-Assessment Estimator'!$A$9:$V$100,L$2,FALSE))</f>
        <v/>
      </c>
      <c r="M57" s="747" t="str">
        <f>IF(VLOOKUP($A57,'Pre-Assessment Estimator'!$A$9:$V$100,M$2,FALSE)=0,"",VLOOKUP($A57,'Pre-Assessment Estimator'!$A$9:$V$100,M$2,FALSE))</f>
        <v/>
      </c>
      <c r="N57" s="744" t="str">
        <f>IF(VLOOKUP($A57,'Pre-Assessment Estimator'!$A$9:$V$100,N$2,FALSE)=0,"",VLOOKUP($A57,'Pre-Assessment Estimator'!$A$9:$V$100,N$2,FALSE))</f>
        <v/>
      </c>
      <c r="O57" s="747" t="str">
        <f>IF(VLOOKUP($A57,'Pre-Assessment Estimator'!$A$9:$V$100,O$2,FALSE)=0,"",VLOOKUP($A57,'Pre-Assessment Estimator'!$A$9:$V$100,O$2,FALSE))</f>
        <v/>
      </c>
      <c r="P57" s="748" t="str">
        <f>IF(VLOOKUP($A57,'Pre-Assessment Estimator'!$A$9:$V$100,P$2,FALSE)=0,"",VLOOKUP($A57,'Pre-Assessment Estimator'!$A$9:$V$100,P$2,FALSE))</f>
        <v/>
      </c>
      <c r="Q57" s="751"/>
      <c r="R57" s="756" t="str">
        <f>IF(VLOOKUP($A57,'Pre-Assessment Estimator'!$A$9:$V$100,R$2,FALSE)=0,"",VLOOKUP($A57,'Pre-Assessment Estimator'!$A$9:$V$100,R$2,FALSE))</f>
        <v/>
      </c>
      <c r="S57" s="747" t="str">
        <f>IF(VLOOKUP($A57,'Pre-Assessment Estimator'!$A$9:$V$100,S$2,FALSE)=0,"",VLOOKUP($A57,'Pre-Assessment Estimator'!$A$9:$V$100,S$2,FALSE))</f>
        <v/>
      </c>
      <c r="T57" s="744" t="str">
        <f>IF(VLOOKUP($A57,'Pre-Assessment Estimator'!$A$9:$V$100,T$2,FALSE)=0,"",VLOOKUP($A57,'Pre-Assessment Estimator'!$A$9:$V$100,T$2,FALSE))</f>
        <v/>
      </c>
      <c r="U57" s="747" t="str">
        <f>IF(VLOOKUP($A57,'Pre-Assessment Estimator'!$A$9:$V$100,U$2,FALSE)=0,"",VLOOKUP($A57,'Pre-Assessment Estimator'!$A$9:$V$100,U$2,FALSE))</f>
        <v/>
      </c>
      <c r="V57" s="491" t="str">
        <f>IF(VLOOKUP($A57,'Pre-Assessment Estimator'!$A$9:$V$100,V$2,FALSE)=0,"",VLOOKUP($A57,'Pre-Assessment Estimator'!$A$9:$V$100,V$2,FALSE))</f>
        <v/>
      </c>
      <c r="W57" s="880"/>
      <c r="X57" s="747" t="str">
        <f>IF(VLOOKUP($A57,'Pre-Assessment Estimator'!$A$9:$X$100,X$2,FALSE)=0,"",VLOOKUP($A57,'Pre-Assessment Estimator'!$A$9:$X$100,X$2,FALSE))</f>
        <v/>
      </c>
      <c r="AB57" s="519">
        <f t="shared" si="0"/>
        <v>1</v>
      </c>
      <c r="AC57" s="333">
        <v>0</v>
      </c>
      <c r="AD57" s="333">
        <v>0</v>
      </c>
      <c r="AE57" s="333">
        <v>0</v>
      </c>
    </row>
    <row r="58" spans="1:31" x14ac:dyDescent="0.25">
      <c r="A58" s="399">
        <v>50</v>
      </c>
      <c r="B58" s="439" t="s">
        <v>63</v>
      </c>
      <c r="C58" s="757"/>
      <c r="D58" s="758"/>
      <c r="E58" s="758"/>
      <c r="F58" s="758"/>
      <c r="G58" s="758"/>
      <c r="H58" s="757"/>
      <c r="I58" s="758"/>
      <c r="J58" s="757"/>
      <c r="K58" s="749"/>
      <c r="L58" s="758"/>
      <c r="M58" s="757"/>
      <c r="N58" s="758"/>
      <c r="O58" s="757"/>
      <c r="P58" s="757"/>
      <c r="Q58" s="751"/>
      <c r="R58" s="758"/>
      <c r="S58" s="757"/>
      <c r="T58" s="758"/>
      <c r="U58" s="757"/>
      <c r="V58" s="440"/>
      <c r="W58" s="881"/>
      <c r="X58" s="757"/>
      <c r="Y58" s="522"/>
      <c r="Z58" s="522"/>
      <c r="AA58" s="522"/>
      <c r="AB58" s="519">
        <f t="shared" si="0"/>
        <v>1</v>
      </c>
      <c r="AC58" s="335">
        <v>0</v>
      </c>
      <c r="AD58" s="335">
        <v>0</v>
      </c>
      <c r="AE58" s="335">
        <v>0</v>
      </c>
    </row>
    <row r="59" spans="1:31" ht="18.75" x14ac:dyDescent="0.25">
      <c r="A59" s="399">
        <v>51</v>
      </c>
      <c r="B59" s="439" t="s">
        <v>72</v>
      </c>
      <c r="C59" s="759" t="s">
        <v>72</v>
      </c>
      <c r="D59" s="739"/>
      <c r="E59" s="739"/>
      <c r="F59" s="739"/>
      <c r="G59" s="739"/>
      <c r="H59" s="740"/>
      <c r="I59" s="739"/>
      <c r="J59" s="740"/>
      <c r="K59" s="749"/>
      <c r="L59" s="739"/>
      <c r="M59" s="740"/>
      <c r="N59" s="739"/>
      <c r="O59" s="740"/>
      <c r="P59" s="740"/>
      <c r="Q59" s="751"/>
      <c r="R59" s="739"/>
      <c r="S59" s="740"/>
      <c r="T59" s="739"/>
      <c r="U59" s="740"/>
      <c r="V59" s="544"/>
      <c r="W59" s="879"/>
      <c r="X59" s="883"/>
      <c r="AB59" s="519">
        <f t="shared" si="0"/>
        <v>1</v>
      </c>
      <c r="AC59" s="331">
        <v>0</v>
      </c>
      <c r="AD59" s="331">
        <v>0</v>
      </c>
      <c r="AE59" s="331">
        <v>0</v>
      </c>
    </row>
    <row r="60" spans="1:31" x14ac:dyDescent="0.25">
      <c r="A60" s="399">
        <v>52</v>
      </c>
      <c r="B60" s="439" t="s">
        <v>72</v>
      </c>
      <c r="C60" s="743" t="str">
        <f>Mat_01</f>
        <v>Mat 01 Life cycle impacts</v>
      </c>
      <c r="D60" s="744">
        <f>VLOOKUP($A60,'Pre-Assessment Estimator'!$A$9:$V$100,D$2,FALSE)</f>
        <v>7</v>
      </c>
      <c r="E60" s="744">
        <f>VLOOKUP($A60,'Pre-Assessment Estimator'!$A$9:$V$100,E$2,FALSE)</f>
        <v>0</v>
      </c>
      <c r="F60" s="745">
        <f>VLOOKUP($A60,'Pre-Assessment Estimator'!$A$9:$V$100,F$2,FALSE)</f>
        <v>0</v>
      </c>
      <c r="G60" s="746" t="str">
        <f>VLOOKUP($A60,'Pre-Assessment Estimator'!$A$9:$V$100,G$2,FALSE)</f>
        <v>Unclassified</v>
      </c>
      <c r="H60" s="747" t="str">
        <f>IF(VLOOKUP($A60,'Pre-Assessment Estimator'!$A$9:$V$100,H$2,FALSE)=0,"",VLOOKUP($A60,'Pre-Assessment Estimator'!$A$9:$V$100,H$2,FALSE))</f>
        <v/>
      </c>
      <c r="I60" s="747" t="str">
        <f>IF(VLOOKUP($A60,'Pre-Assessment Estimator'!$A$9:$V$100,I$2,FALSE)=0,"",VLOOKUP($A60,'Pre-Assessment Estimator'!$A$9:$V$100,I$2,FALSE))</f>
        <v/>
      </c>
      <c r="J60" s="748" t="str">
        <f>IF(VLOOKUP($A60,'Pre-Assessment Estimator'!$A$9:$V$100,J$2,FALSE)=0,"",VLOOKUP($A60,'Pre-Assessment Estimator'!$A$9:$V$100,J$2,FALSE))</f>
        <v/>
      </c>
      <c r="K60" s="749"/>
      <c r="L60" s="750" t="str">
        <f>IF(VLOOKUP($A60,'Pre-Assessment Estimator'!$A$9:$V$100,L$2,FALSE)=0,"",VLOOKUP($A60,'Pre-Assessment Estimator'!$A$9:$V$100,L$2,FALSE))</f>
        <v/>
      </c>
      <c r="M60" s="747" t="str">
        <f>IF(VLOOKUP($A60,'Pre-Assessment Estimator'!$A$9:$V$100,M$2,FALSE)=0,"",VLOOKUP($A60,'Pre-Assessment Estimator'!$A$9:$V$100,M$2,FALSE))</f>
        <v/>
      </c>
      <c r="N60" s="747" t="str">
        <f>IF(VLOOKUP($A60,'Pre-Assessment Estimator'!$A$9:$V$100,N$2,FALSE)=0,"",VLOOKUP($A60,'Pre-Assessment Estimator'!$A$9:$V$100,N$2,FALSE))</f>
        <v/>
      </c>
      <c r="O60" s="747" t="str">
        <f>IF(VLOOKUP($A60,'Pre-Assessment Estimator'!$A$9:$V$100,O$2,FALSE)=0,"",VLOOKUP($A60,'Pre-Assessment Estimator'!$A$9:$V$100,O$2,FALSE))</f>
        <v/>
      </c>
      <c r="P60" s="748" t="str">
        <f>IF(VLOOKUP($A60,'Pre-Assessment Estimator'!$A$9:$V$100,P$2,FALSE)=0,"",VLOOKUP($A60,'Pre-Assessment Estimator'!$A$9:$V$100,P$2,FALSE))</f>
        <v/>
      </c>
      <c r="Q60" s="751"/>
      <c r="R60" s="750" t="str">
        <f>IF(VLOOKUP($A60,'Pre-Assessment Estimator'!$A$9:$V$100,R$2,FALSE)=0,"",VLOOKUP($A60,'Pre-Assessment Estimator'!$A$9:$V$100,R$2,FALSE))</f>
        <v/>
      </c>
      <c r="S60" s="747" t="str">
        <f>IF(VLOOKUP($A60,'Pre-Assessment Estimator'!$A$9:$V$100,S$2,FALSE)=0,"",VLOOKUP($A60,'Pre-Assessment Estimator'!$A$9:$V$100,S$2,FALSE))</f>
        <v/>
      </c>
      <c r="T60" s="747" t="str">
        <f>IF(VLOOKUP($A60,'Pre-Assessment Estimator'!$A$9:$V$100,T$2,FALSE)=0,"",VLOOKUP($A60,'Pre-Assessment Estimator'!$A$9:$V$100,T$2,FALSE))</f>
        <v/>
      </c>
      <c r="U60" s="747" t="str">
        <f>IF(VLOOKUP($A60,'Pre-Assessment Estimator'!$A$9:$V$100,U$2,FALSE)=0,"",VLOOKUP($A60,'Pre-Assessment Estimator'!$A$9:$V$100,U$2,FALSE))</f>
        <v/>
      </c>
      <c r="V60" s="491" t="str">
        <f>IF(VLOOKUP($A60,'Pre-Assessment Estimator'!$A$9:$V$100,V$2,FALSE)=0,"",VLOOKUP($A60,'Pre-Assessment Estimator'!$A$9:$V$100,V$2,FALSE))</f>
        <v/>
      </c>
      <c r="W60" s="880"/>
      <c r="X60" s="747" t="str">
        <f>IF(VLOOKUP($A60,'Pre-Assessment Estimator'!$A$9:$X$100,X$2,FALSE)=0,"",VLOOKUP($A60,'Pre-Assessment Estimator'!$A$9:$X$100,X$2,FALSE))</f>
        <v>N/A</v>
      </c>
      <c r="AB60" s="519">
        <f t="shared" si="0"/>
        <v>1</v>
      </c>
      <c r="AC60" s="520" t="e">
        <f>VLOOKUP(I60,'Assessment Details'!$L$45:$M$48,2,FALSE)</f>
        <v>#N/A</v>
      </c>
      <c r="AD60" s="520" t="e">
        <f>VLOOKUP(N60,'Assessment Details'!$L$45:$M$48,2,FALSE)</f>
        <v>#N/A</v>
      </c>
      <c r="AE60" s="520" t="e">
        <f>VLOOKUP(T60,'Assessment Details'!$L$45:$M$48,2,FALSE)</f>
        <v>#N/A</v>
      </c>
    </row>
    <row r="61" spans="1:31" x14ac:dyDescent="0.25">
      <c r="A61" s="399">
        <v>53</v>
      </c>
      <c r="B61" s="439" t="s">
        <v>72</v>
      </c>
      <c r="C61" s="743" t="str">
        <f>Mat01_Crit1</f>
        <v>Mat 01 Life cycle impacts  - Criteria 1</v>
      </c>
      <c r="D61" s="744" t="str">
        <f>VLOOKUP($A61,'Pre-Assessment Estimator'!$A$9:$V$100,D$2,FALSE)</f>
        <v>Yes/No</v>
      </c>
      <c r="E61" s="744">
        <f>VLOOKUP($A61,'Pre-Assessment Estimator'!$A$9:$V$100,E$2,FALSE)</f>
        <v>0</v>
      </c>
      <c r="F61" s="745" t="str">
        <f>VLOOKUP($A61,'Pre-Assessment Estimator'!$A$9:$V$100,F$2,FALSE)</f>
        <v>-</v>
      </c>
      <c r="G61" s="760" t="str">
        <f>VLOOKUP($A61,'Pre-Assessment Estimator'!$A$9:$V$100,G$2,FALSE)</f>
        <v>Unclassified</v>
      </c>
      <c r="H61" s="747" t="str">
        <f>IF(VLOOKUP($A61,'Pre-Assessment Estimator'!$A$9:$V$100,H$2,FALSE)=0,"",VLOOKUP($A61,'Pre-Assessment Estimator'!$A$9:$V$100,H$2,FALSE))</f>
        <v/>
      </c>
      <c r="I61" s="747" t="str">
        <f>IF(VLOOKUP($A61,'Pre-Assessment Estimator'!$A$9:$V$100,I$2,FALSE)=0,"",VLOOKUP($A61,'Pre-Assessment Estimator'!$A$9:$V$100,I$2,FALSE))</f>
        <v/>
      </c>
      <c r="J61" s="748" t="str">
        <f>IF(VLOOKUP($A61,'Pre-Assessment Estimator'!$A$9:$V$100,J$2,FALSE)=0,"",VLOOKUP($A61,'Pre-Assessment Estimator'!$A$9:$V$100,J$2,FALSE))</f>
        <v/>
      </c>
      <c r="K61" s="749"/>
      <c r="L61" s="750" t="str">
        <f>IF(VLOOKUP($A61,'Pre-Assessment Estimator'!$A$9:$V$100,L$2,FALSE)=0,"",VLOOKUP($A61,'Pre-Assessment Estimator'!$A$9:$V$100,L$2,FALSE))</f>
        <v/>
      </c>
      <c r="M61" s="747" t="str">
        <f>IF(VLOOKUP($A61,'Pre-Assessment Estimator'!$A$9:$V$100,M$2,FALSE)=0,"",VLOOKUP($A61,'Pre-Assessment Estimator'!$A$9:$V$100,M$2,FALSE))</f>
        <v/>
      </c>
      <c r="N61" s="747" t="str">
        <f>IF(VLOOKUP($A61,'Pre-Assessment Estimator'!$A$9:$V$100,N$2,FALSE)=0,"",VLOOKUP($A61,'Pre-Assessment Estimator'!$A$9:$V$100,N$2,FALSE))</f>
        <v/>
      </c>
      <c r="O61" s="747" t="str">
        <f>IF(VLOOKUP($A61,'Pre-Assessment Estimator'!$A$9:$V$100,O$2,FALSE)=0,"",VLOOKUP($A61,'Pre-Assessment Estimator'!$A$9:$V$100,O$2,FALSE))</f>
        <v/>
      </c>
      <c r="P61" s="748" t="str">
        <f>IF(VLOOKUP($A61,'Pre-Assessment Estimator'!$A$9:$V$100,P$2,FALSE)=0,"",VLOOKUP($A61,'Pre-Assessment Estimator'!$A$9:$V$100,P$2,FALSE))</f>
        <v/>
      </c>
      <c r="Q61" s="751"/>
      <c r="R61" s="750" t="str">
        <f>IF(VLOOKUP($A61,'Pre-Assessment Estimator'!$A$9:$V$100,R$2,FALSE)=0,"",VLOOKUP($A61,'Pre-Assessment Estimator'!$A$9:$V$100,R$2,FALSE))</f>
        <v/>
      </c>
      <c r="S61" s="747" t="str">
        <f>IF(VLOOKUP($A61,'Pre-Assessment Estimator'!$A$9:$V$100,S$2,FALSE)=0,"",VLOOKUP($A61,'Pre-Assessment Estimator'!$A$9:$V$100,S$2,FALSE))</f>
        <v/>
      </c>
      <c r="T61" s="747" t="str">
        <f>IF(VLOOKUP($A61,'Pre-Assessment Estimator'!$A$9:$V$100,T$2,FALSE)=0,"",VLOOKUP($A61,'Pre-Assessment Estimator'!$A$9:$V$100,T$2,FALSE))</f>
        <v/>
      </c>
      <c r="U61" s="747" t="str">
        <f>IF(VLOOKUP($A61,'Pre-Assessment Estimator'!$A$9:$V$100,U$2,FALSE)=0,"",VLOOKUP($A61,'Pre-Assessment Estimator'!$A$9:$V$100,U$2,FALSE))</f>
        <v/>
      </c>
      <c r="V61" s="491" t="str">
        <f>IF(VLOOKUP($A61,'Pre-Assessment Estimator'!$A$9:$V$100,V$2,FALSE)=0,"",VLOOKUP($A61,'Pre-Assessment Estimator'!$A$9:$V$100,V$2,FALSE))</f>
        <v/>
      </c>
      <c r="W61" s="880"/>
      <c r="X61" s="747" t="str">
        <f>IF(VLOOKUP($A61,'Pre-Assessment Estimator'!$A$9:$X$100,X$2,FALSE)=0,"",VLOOKUP($A61,'Pre-Assessment Estimator'!$A$9:$X$100,X$2,FALSE))</f>
        <v>N/A</v>
      </c>
      <c r="AB61" s="519">
        <f t="shared" si="0"/>
        <v>1</v>
      </c>
      <c r="AC61" s="103" t="e">
        <f>VLOOKUP(I61,'Assessment Details'!$L$45:$M$48,2,FALSE)</f>
        <v>#N/A</v>
      </c>
      <c r="AD61" s="103" t="e">
        <f>VLOOKUP(N61,'Assessment Details'!$L$45:$M$48,2,FALSE)</f>
        <v>#N/A</v>
      </c>
      <c r="AE61" s="103" t="e">
        <f>VLOOKUP(T61,'Assessment Details'!$L$45:$M$48,2,FALSE)</f>
        <v>#N/A</v>
      </c>
    </row>
    <row r="62" spans="1:31" x14ac:dyDescent="0.25">
      <c r="A62" s="399">
        <v>54</v>
      </c>
      <c r="B62" s="439" t="s">
        <v>72</v>
      </c>
      <c r="C62" s="743" t="str">
        <f>Mat_03</f>
        <v>Mat 03 Responsible sourcing of materials</v>
      </c>
      <c r="D62" s="744">
        <f>VLOOKUP($A62,'Pre-Assessment Estimator'!$A$9:$V$100,D$2,FALSE)</f>
        <v>3</v>
      </c>
      <c r="E62" s="744">
        <f>VLOOKUP($A62,'Pre-Assessment Estimator'!$A$9:$V$100,E$2,FALSE)</f>
        <v>0</v>
      </c>
      <c r="F62" s="745">
        <f>VLOOKUP($A62,'Pre-Assessment Estimator'!$A$9:$V$100,F$2,FALSE)</f>
        <v>0</v>
      </c>
      <c r="G62" s="752" t="str">
        <f>VLOOKUP($A62,'Pre-Assessment Estimator'!$A$9:$V$100,G$2,FALSE)</f>
        <v>Unclassified</v>
      </c>
      <c r="H62" s="747" t="str">
        <f>IF(VLOOKUP($A62,'Pre-Assessment Estimator'!$A$9:$V$100,H$2,FALSE)=0,"",VLOOKUP($A62,'Pre-Assessment Estimator'!$A$9:$V$100,H$2,FALSE))</f>
        <v/>
      </c>
      <c r="I62" s="747" t="str">
        <f>IF(VLOOKUP($A62,'Pre-Assessment Estimator'!$A$9:$V$100,I$2,FALSE)=0,"",VLOOKUP($A62,'Pre-Assessment Estimator'!$A$9:$V$100,I$2,FALSE))</f>
        <v/>
      </c>
      <c r="J62" s="748" t="str">
        <f>IF(VLOOKUP($A62,'Pre-Assessment Estimator'!$A$9:$V$100,J$2,FALSE)=0,"",VLOOKUP($A62,'Pre-Assessment Estimator'!$A$9:$V$100,J$2,FALSE))</f>
        <v/>
      </c>
      <c r="K62" s="749"/>
      <c r="L62" s="750" t="str">
        <f>IF(VLOOKUP($A62,'Pre-Assessment Estimator'!$A$9:$V$100,L$2,FALSE)=0,"",VLOOKUP($A62,'Pre-Assessment Estimator'!$A$9:$V$100,L$2,FALSE))</f>
        <v/>
      </c>
      <c r="M62" s="747" t="str">
        <f>IF(VLOOKUP($A62,'Pre-Assessment Estimator'!$A$9:$V$100,M$2,FALSE)=0,"",VLOOKUP($A62,'Pre-Assessment Estimator'!$A$9:$V$100,M$2,FALSE))</f>
        <v/>
      </c>
      <c r="N62" s="747" t="str">
        <f>IF(VLOOKUP($A62,'Pre-Assessment Estimator'!$A$9:$V$100,N$2,FALSE)=0,"",VLOOKUP($A62,'Pre-Assessment Estimator'!$A$9:$V$100,N$2,FALSE))</f>
        <v/>
      </c>
      <c r="O62" s="747" t="str">
        <f>IF(VLOOKUP($A62,'Pre-Assessment Estimator'!$A$9:$V$100,O$2,FALSE)=0,"",VLOOKUP($A62,'Pre-Assessment Estimator'!$A$9:$V$100,O$2,FALSE))</f>
        <v/>
      </c>
      <c r="P62" s="748" t="str">
        <f>IF(VLOOKUP($A62,'Pre-Assessment Estimator'!$A$9:$V$100,P$2,FALSE)=0,"",VLOOKUP($A62,'Pre-Assessment Estimator'!$A$9:$V$100,P$2,FALSE))</f>
        <v/>
      </c>
      <c r="Q62" s="751"/>
      <c r="R62" s="750" t="str">
        <f>IF(VLOOKUP($A62,'Pre-Assessment Estimator'!$A$9:$V$100,R$2,FALSE)=0,"",VLOOKUP($A62,'Pre-Assessment Estimator'!$A$9:$V$100,R$2,FALSE))</f>
        <v/>
      </c>
      <c r="S62" s="747" t="str">
        <f>IF(VLOOKUP($A62,'Pre-Assessment Estimator'!$A$9:$V$100,S$2,FALSE)=0,"",VLOOKUP($A62,'Pre-Assessment Estimator'!$A$9:$V$100,S$2,FALSE))</f>
        <v/>
      </c>
      <c r="T62" s="747" t="str">
        <f>IF(VLOOKUP($A62,'Pre-Assessment Estimator'!$A$9:$V$100,T$2,FALSE)=0,"",VLOOKUP($A62,'Pre-Assessment Estimator'!$A$9:$V$100,T$2,FALSE))</f>
        <v/>
      </c>
      <c r="U62" s="747" t="str">
        <f>IF(VLOOKUP($A62,'Pre-Assessment Estimator'!$A$9:$V$100,U$2,FALSE)=0,"",VLOOKUP($A62,'Pre-Assessment Estimator'!$A$9:$V$100,U$2,FALSE))</f>
        <v/>
      </c>
      <c r="V62" s="491" t="str">
        <f>IF(VLOOKUP($A62,'Pre-Assessment Estimator'!$A$9:$V$100,V$2,FALSE)=0,"",VLOOKUP($A62,'Pre-Assessment Estimator'!$A$9:$V$100,V$2,FALSE))</f>
        <v/>
      </c>
      <c r="W62" s="880"/>
      <c r="X62" s="747" t="str">
        <f>IF(VLOOKUP($A62,'Pre-Assessment Estimator'!$A$9:$X$100,X$2,FALSE)=0,"",VLOOKUP($A62,'Pre-Assessment Estimator'!$A$9:$X$100,X$2,FALSE))</f>
        <v>N/A</v>
      </c>
      <c r="AB62" s="519">
        <f t="shared" si="0"/>
        <v>1</v>
      </c>
      <c r="AC62" s="103" t="e">
        <f>VLOOKUP(I62,'Assessment Details'!$L$45:$M$48,2,FALSE)</f>
        <v>#N/A</v>
      </c>
      <c r="AD62" s="103" t="e">
        <f>VLOOKUP(N62,'Assessment Details'!$L$45:$M$48,2,FALSE)</f>
        <v>#N/A</v>
      </c>
      <c r="AE62" s="103" t="e">
        <f>VLOOKUP(T62,'Assessment Details'!$L$45:$M$48,2,FALSE)</f>
        <v>#N/A</v>
      </c>
    </row>
    <row r="63" spans="1:31" x14ac:dyDescent="0.25">
      <c r="A63" s="399">
        <v>55</v>
      </c>
      <c r="B63" s="439" t="s">
        <v>72</v>
      </c>
      <c r="C63" s="743" t="str">
        <f>Mat03_Crit1</f>
        <v>Mat 03 Responsible sourcing of mat.  - Crit 1.</v>
      </c>
      <c r="D63" s="744" t="str">
        <f>VLOOKUP($A63,'Pre-Assessment Estimator'!$A$9:$V$100,D$2,FALSE)</f>
        <v>Yes/No</v>
      </c>
      <c r="E63" s="744">
        <f>VLOOKUP($A63,'Pre-Assessment Estimator'!$A$9:$V$100,E$2,FALSE)</f>
        <v>0</v>
      </c>
      <c r="F63" s="745" t="str">
        <f>VLOOKUP($A63,'Pre-Assessment Estimator'!$A$9:$V$100,F$2,FALSE)</f>
        <v>-</v>
      </c>
      <c r="G63" s="752" t="str">
        <f>VLOOKUP($A63,'Pre-Assessment Estimator'!$A$9:$V$100,G$2,FALSE)</f>
        <v>Unclassified</v>
      </c>
      <c r="H63" s="747" t="str">
        <f>IF(VLOOKUP($A63,'Pre-Assessment Estimator'!$A$9:$V$100,H$2,FALSE)=0,"",VLOOKUP($A63,'Pre-Assessment Estimator'!$A$9:$V$100,H$2,FALSE))</f>
        <v/>
      </c>
      <c r="I63" s="747" t="str">
        <f>IF(VLOOKUP($A63,'Pre-Assessment Estimator'!$A$9:$V$100,I$2,FALSE)=0,"",VLOOKUP($A63,'Pre-Assessment Estimator'!$A$9:$V$100,I$2,FALSE))</f>
        <v/>
      </c>
      <c r="J63" s="748" t="str">
        <f>IF(VLOOKUP($A63,'Pre-Assessment Estimator'!$A$9:$V$100,J$2,FALSE)=0,"",VLOOKUP($A63,'Pre-Assessment Estimator'!$A$9:$V$100,J$2,FALSE))</f>
        <v/>
      </c>
      <c r="K63" s="749"/>
      <c r="L63" s="750" t="str">
        <f>IF(VLOOKUP($A63,'Pre-Assessment Estimator'!$A$9:$V$100,L$2,FALSE)=0,"",VLOOKUP($A63,'Pre-Assessment Estimator'!$A$9:$V$100,L$2,FALSE))</f>
        <v/>
      </c>
      <c r="M63" s="747" t="str">
        <f>IF(VLOOKUP($A63,'Pre-Assessment Estimator'!$A$9:$V$100,M$2,FALSE)=0,"",VLOOKUP($A63,'Pre-Assessment Estimator'!$A$9:$V$100,M$2,FALSE))</f>
        <v/>
      </c>
      <c r="N63" s="747" t="str">
        <f>IF(VLOOKUP($A63,'Pre-Assessment Estimator'!$A$9:$V$100,N$2,FALSE)=0,"",VLOOKUP($A63,'Pre-Assessment Estimator'!$A$9:$V$100,N$2,FALSE))</f>
        <v/>
      </c>
      <c r="O63" s="747" t="str">
        <f>IF(VLOOKUP($A63,'Pre-Assessment Estimator'!$A$9:$V$100,O$2,FALSE)=0,"",VLOOKUP($A63,'Pre-Assessment Estimator'!$A$9:$V$100,O$2,FALSE))</f>
        <v/>
      </c>
      <c r="P63" s="748" t="str">
        <f>IF(VLOOKUP($A63,'Pre-Assessment Estimator'!$A$9:$V$100,P$2,FALSE)=0,"",VLOOKUP($A63,'Pre-Assessment Estimator'!$A$9:$V$100,P$2,FALSE))</f>
        <v/>
      </c>
      <c r="Q63" s="751"/>
      <c r="R63" s="750" t="str">
        <f>IF(VLOOKUP($A63,'Pre-Assessment Estimator'!$A$9:$V$100,R$2,FALSE)=0,"",VLOOKUP($A63,'Pre-Assessment Estimator'!$A$9:$V$100,R$2,FALSE))</f>
        <v/>
      </c>
      <c r="S63" s="747" t="str">
        <f>IF(VLOOKUP($A63,'Pre-Assessment Estimator'!$A$9:$V$100,S$2,FALSE)=0,"",VLOOKUP($A63,'Pre-Assessment Estimator'!$A$9:$V$100,S$2,FALSE))</f>
        <v/>
      </c>
      <c r="T63" s="747" t="str">
        <f>IF(VLOOKUP($A63,'Pre-Assessment Estimator'!$A$9:$V$100,T$2,FALSE)=0,"",VLOOKUP($A63,'Pre-Assessment Estimator'!$A$9:$V$100,T$2,FALSE))</f>
        <v/>
      </c>
      <c r="U63" s="747" t="str">
        <f>IF(VLOOKUP($A63,'Pre-Assessment Estimator'!$A$9:$V$100,U$2,FALSE)=0,"",VLOOKUP($A63,'Pre-Assessment Estimator'!$A$9:$V$100,U$2,FALSE))</f>
        <v/>
      </c>
      <c r="V63" s="491" t="str">
        <f>IF(VLOOKUP($A63,'Pre-Assessment Estimator'!$A$9:$V$100,V$2,FALSE)=0,"",VLOOKUP($A63,'Pre-Assessment Estimator'!$A$9:$V$100,V$2,FALSE))</f>
        <v/>
      </c>
      <c r="W63" s="880"/>
      <c r="X63" s="747" t="str">
        <f>IF(VLOOKUP($A63,'Pre-Assessment Estimator'!$A$9:$X$100,X$2,FALSE)=0,"",VLOOKUP($A63,'Pre-Assessment Estimator'!$A$9:$X$100,X$2,FALSE))</f>
        <v>N/A</v>
      </c>
      <c r="AB63" s="519">
        <f t="shared" si="0"/>
        <v>1</v>
      </c>
      <c r="AC63" s="103" t="e">
        <f>VLOOKUP(I63,'Assessment Details'!$L$45:$M$48,2,FALSE)</f>
        <v>#N/A</v>
      </c>
      <c r="AD63" s="103" t="e">
        <f>VLOOKUP(N63,'Assessment Details'!$L$45:$M$48,2,FALSE)</f>
        <v>#N/A</v>
      </c>
      <c r="AE63" s="103" t="e">
        <f>VLOOKUP(T63,'Assessment Details'!$L$45:$M$48,2,FALSE)</f>
        <v>#N/A</v>
      </c>
    </row>
    <row r="64" spans="1:31" x14ac:dyDescent="0.25">
      <c r="A64" s="399">
        <v>56</v>
      </c>
      <c r="B64" s="439" t="s">
        <v>72</v>
      </c>
      <c r="C64" s="743" t="str">
        <f>Mat_05</f>
        <v>Mat 05 Designing for robustness</v>
      </c>
      <c r="D64" s="744">
        <f>VLOOKUP($A64,'Pre-Assessment Estimator'!$A$9:$V$100,D$2,FALSE)</f>
        <v>1</v>
      </c>
      <c r="E64" s="744">
        <f>VLOOKUP($A64,'Pre-Assessment Estimator'!$A$9:$V$100,E$2,FALSE)</f>
        <v>0</v>
      </c>
      <c r="F64" s="745">
        <f>VLOOKUP($A64,'Pre-Assessment Estimator'!$A$9:$V$100,F$2,FALSE)</f>
        <v>0</v>
      </c>
      <c r="G64" s="746" t="str">
        <f>VLOOKUP($A64,'Pre-Assessment Estimator'!$A$9:$V$100,G$2,FALSE)</f>
        <v>N/A</v>
      </c>
      <c r="H64" s="747" t="str">
        <f>IF(VLOOKUP($A64,'Pre-Assessment Estimator'!$A$9:$V$100,H$2,FALSE)=0,"",VLOOKUP($A64,'Pre-Assessment Estimator'!$A$9:$V$100,H$2,FALSE))</f>
        <v/>
      </c>
      <c r="I64" s="747" t="str">
        <f>IF(VLOOKUP($A64,'Pre-Assessment Estimator'!$A$9:$V$100,I$2,FALSE)=0,"",VLOOKUP($A64,'Pre-Assessment Estimator'!$A$9:$V$100,I$2,FALSE))</f>
        <v/>
      </c>
      <c r="J64" s="748" t="str">
        <f>IF(VLOOKUP($A64,'Pre-Assessment Estimator'!$A$9:$V$100,J$2,FALSE)=0,"",VLOOKUP($A64,'Pre-Assessment Estimator'!$A$9:$V$100,J$2,FALSE))</f>
        <v/>
      </c>
      <c r="K64" s="749"/>
      <c r="L64" s="750" t="str">
        <f>IF(VLOOKUP($A64,'Pre-Assessment Estimator'!$A$9:$V$100,L$2,FALSE)=0,"",VLOOKUP($A64,'Pre-Assessment Estimator'!$A$9:$V$100,L$2,FALSE))</f>
        <v/>
      </c>
      <c r="M64" s="747" t="str">
        <f>IF(VLOOKUP($A64,'Pre-Assessment Estimator'!$A$9:$V$100,M$2,FALSE)=0,"",VLOOKUP($A64,'Pre-Assessment Estimator'!$A$9:$V$100,M$2,FALSE))</f>
        <v/>
      </c>
      <c r="N64" s="747" t="str">
        <f>IF(VLOOKUP($A64,'Pre-Assessment Estimator'!$A$9:$V$100,N$2,FALSE)=0,"",VLOOKUP($A64,'Pre-Assessment Estimator'!$A$9:$V$100,N$2,FALSE))</f>
        <v/>
      </c>
      <c r="O64" s="747" t="str">
        <f>IF(VLOOKUP($A64,'Pre-Assessment Estimator'!$A$9:$V$100,O$2,FALSE)=0,"",VLOOKUP($A64,'Pre-Assessment Estimator'!$A$9:$V$100,O$2,FALSE))</f>
        <v/>
      </c>
      <c r="P64" s="748" t="str">
        <f>IF(VLOOKUP($A64,'Pre-Assessment Estimator'!$A$9:$V$100,P$2,FALSE)=0,"",VLOOKUP($A64,'Pre-Assessment Estimator'!$A$9:$V$100,P$2,FALSE))</f>
        <v/>
      </c>
      <c r="Q64" s="751"/>
      <c r="R64" s="750" t="str">
        <f>IF(VLOOKUP($A64,'Pre-Assessment Estimator'!$A$9:$V$100,R$2,FALSE)=0,"",VLOOKUP($A64,'Pre-Assessment Estimator'!$A$9:$V$100,R$2,FALSE))</f>
        <v/>
      </c>
      <c r="S64" s="747" t="str">
        <f>IF(VLOOKUP($A64,'Pre-Assessment Estimator'!$A$9:$V$100,S$2,FALSE)=0,"",VLOOKUP($A64,'Pre-Assessment Estimator'!$A$9:$V$100,S$2,FALSE))</f>
        <v/>
      </c>
      <c r="T64" s="747" t="str">
        <f>IF(VLOOKUP($A64,'Pre-Assessment Estimator'!$A$9:$V$100,T$2,FALSE)=0,"",VLOOKUP($A64,'Pre-Assessment Estimator'!$A$9:$V$100,T$2,FALSE))</f>
        <v/>
      </c>
      <c r="U64" s="747" t="str">
        <f>IF(VLOOKUP($A64,'Pre-Assessment Estimator'!$A$9:$V$100,U$2,FALSE)=0,"",VLOOKUP($A64,'Pre-Assessment Estimator'!$A$9:$V$100,U$2,FALSE))</f>
        <v/>
      </c>
      <c r="V64" s="491" t="str">
        <f>IF(VLOOKUP($A64,'Pre-Assessment Estimator'!$A$9:$V$100,V$2,FALSE)=0,"",VLOOKUP($A64,'Pre-Assessment Estimator'!$A$9:$V$100,V$2,FALSE))</f>
        <v/>
      </c>
      <c r="W64" s="880"/>
      <c r="X64" s="747" t="str">
        <f>IF(VLOOKUP($A64,'Pre-Assessment Estimator'!$A$9:$X$100,X$2,FALSE)=0,"",VLOOKUP($A64,'Pre-Assessment Estimator'!$A$9:$X$100,X$2,FALSE))</f>
        <v>No</v>
      </c>
      <c r="AB64" s="519">
        <f t="shared" si="0"/>
        <v>1</v>
      </c>
      <c r="AC64" s="103" t="e">
        <f>VLOOKUP(I64,'Assessment Details'!$L$45:$M$48,2,FALSE)</f>
        <v>#N/A</v>
      </c>
      <c r="AD64" s="103" t="e">
        <f>VLOOKUP(N64,'Assessment Details'!$L$45:$M$48,2,FALSE)</f>
        <v>#N/A</v>
      </c>
      <c r="AE64" s="103" t="e">
        <f>VLOOKUP(T64,'Assessment Details'!$L$45:$M$48,2,FALSE)</f>
        <v>#N/A</v>
      </c>
    </row>
    <row r="65" spans="1:31" ht="15.75" thickBot="1" x14ac:dyDescent="0.3">
      <c r="A65" s="399">
        <v>57</v>
      </c>
      <c r="B65" s="439" t="s">
        <v>72</v>
      </c>
      <c r="C65" s="753" t="s">
        <v>112</v>
      </c>
      <c r="D65" s="754">
        <f>VLOOKUP($A65,'Pre-Assessment Estimator'!$A$9:$V$100,D$2,FALSE)</f>
        <v>11</v>
      </c>
      <c r="E65" s="754">
        <f>SUM(E60:E64)</f>
        <v>0</v>
      </c>
      <c r="F65" s="755">
        <f>VLOOKUP($A65,'Pre-Assessment Estimator'!$A$9:$V$100,F$2,FALSE)</f>
        <v>0</v>
      </c>
      <c r="G65" s="747"/>
      <c r="H65" s="747" t="str">
        <f>IF(VLOOKUP($A65,'Pre-Assessment Estimator'!$A$9:$V$100,H$2,FALSE)=0,"",VLOOKUP($A65,'Pre-Assessment Estimator'!$A$9:$V$100,H$2,FALSE))</f>
        <v/>
      </c>
      <c r="I65" s="744" t="str">
        <f>IF(VLOOKUP($A65,'Pre-Assessment Estimator'!$A$9:$V$100,I$2,FALSE)=0,"",VLOOKUP($A65,'Pre-Assessment Estimator'!$A$9:$V$100,I$2,FALSE))</f>
        <v/>
      </c>
      <c r="J65" s="748" t="str">
        <f>IF(VLOOKUP($A65,'Pre-Assessment Estimator'!$A$9:$V$100,J$2,FALSE)=0,"",VLOOKUP($A65,'Pre-Assessment Estimator'!$A$9:$V$100,J$2,FALSE))</f>
        <v/>
      </c>
      <c r="K65" s="749"/>
      <c r="L65" s="756" t="str">
        <f>IF(VLOOKUP($A65,'Pre-Assessment Estimator'!$A$9:$V$100,L$2,FALSE)=0,"",VLOOKUP($A65,'Pre-Assessment Estimator'!$A$9:$V$100,L$2,FALSE))</f>
        <v/>
      </c>
      <c r="M65" s="747" t="str">
        <f>IF(VLOOKUP($A65,'Pre-Assessment Estimator'!$A$9:$V$100,M$2,FALSE)=0,"",VLOOKUP($A65,'Pre-Assessment Estimator'!$A$9:$V$100,M$2,FALSE))</f>
        <v/>
      </c>
      <c r="N65" s="744" t="str">
        <f>IF(VLOOKUP($A65,'Pre-Assessment Estimator'!$A$9:$V$100,N$2,FALSE)=0,"",VLOOKUP($A65,'Pre-Assessment Estimator'!$A$9:$V$100,N$2,FALSE))</f>
        <v/>
      </c>
      <c r="O65" s="747" t="str">
        <f>IF(VLOOKUP($A65,'Pre-Assessment Estimator'!$A$9:$V$100,O$2,FALSE)=0,"",VLOOKUP($A65,'Pre-Assessment Estimator'!$A$9:$V$100,O$2,FALSE))</f>
        <v/>
      </c>
      <c r="P65" s="748" t="str">
        <f>IF(VLOOKUP($A65,'Pre-Assessment Estimator'!$A$9:$V$100,P$2,FALSE)=0,"",VLOOKUP($A65,'Pre-Assessment Estimator'!$A$9:$V$100,P$2,FALSE))</f>
        <v/>
      </c>
      <c r="Q65" s="751"/>
      <c r="R65" s="756" t="str">
        <f>IF(VLOOKUP($A65,'Pre-Assessment Estimator'!$A$9:$V$100,R$2,FALSE)=0,"",VLOOKUP($A65,'Pre-Assessment Estimator'!$A$9:$V$100,R$2,FALSE))</f>
        <v/>
      </c>
      <c r="S65" s="747" t="str">
        <f>IF(VLOOKUP($A65,'Pre-Assessment Estimator'!$A$9:$V$100,S$2,FALSE)=0,"",VLOOKUP($A65,'Pre-Assessment Estimator'!$A$9:$V$100,S$2,FALSE))</f>
        <v/>
      </c>
      <c r="T65" s="744" t="str">
        <f>IF(VLOOKUP($A65,'Pre-Assessment Estimator'!$A$9:$V$100,T$2,FALSE)=0,"",VLOOKUP($A65,'Pre-Assessment Estimator'!$A$9:$V$100,T$2,FALSE))</f>
        <v/>
      </c>
      <c r="U65" s="747" t="str">
        <f>IF(VLOOKUP($A65,'Pre-Assessment Estimator'!$A$9:$V$100,U$2,FALSE)=0,"",VLOOKUP($A65,'Pre-Assessment Estimator'!$A$9:$V$100,U$2,FALSE))</f>
        <v/>
      </c>
      <c r="V65" s="491" t="str">
        <f>IF(VLOOKUP($A65,'Pre-Assessment Estimator'!$A$9:$V$100,V$2,FALSE)=0,"",VLOOKUP($A65,'Pre-Assessment Estimator'!$A$9:$V$100,V$2,FALSE))</f>
        <v/>
      </c>
      <c r="W65" s="880"/>
      <c r="X65" s="747" t="str">
        <f>IF(VLOOKUP($A65,'Pre-Assessment Estimator'!$A$9:$X$100,X$2,FALSE)=0,"",VLOOKUP($A65,'Pre-Assessment Estimator'!$A$9:$X$100,X$2,FALSE))</f>
        <v/>
      </c>
      <c r="AB65" s="519">
        <f t="shared" si="0"/>
        <v>1</v>
      </c>
      <c r="AC65" s="333">
        <v>0</v>
      </c>
      <c r="AD65" s="333">
        <v>0</v>
      </c>
      <c r="AE65" s="333">
        <v>0</v>
      </c>
    </row>
    <row r="66" spans="1:31" x14ac:dyDescent="0.25">
      <c r="A66" s="399">
        <v>58</v>
      </c>
      <c r="B66" s="439" t="s">
        <v>72</v>
      </c>
      <c r="C66" s="757"/>
      <c r="D66" s="758"/>
      <c r="E66" s="758"/>
      <c r="F66" s="758"/>
      <c r="G66" s="758"/>
      <c r="H66" s="757"/>
      <c r="I66" s="758"/>
      <c r="J66" s="757"/>
      <c r="K66" s="749"/>
      <c r="L66" s="758"/>
      <c r="M66" s="757"/>
      <c r="N66" s="758"/>
      <c r="O66" s="757"/>
      <c r="P66" s="757"/>
      <c r="Q66" s="751"/>
      <c r="R66" s="758"/>
      <c r="S66" s="757"/>
      <c r="T66" s="758"/>
      <c r="U66" s="757"/>
      <c r="V66" s="440"/>
      <c r="W66" s="881"/>
      <c r="X66" s="757" t="str">
        <f>IF(VLOOKUP($A66,'Pre-Assessment Estimator'!$A$9:$X$100,X$2,FALSE)=0,"",VLOOKUP($A66,'Pre-Assessment Estimator'!$A$9:$X$100,X$2,FALSE))</f>
        <v/>
      </c>
      <c r="Y66" s="522"/>
      <c r="Z66" s="522"/>
      <c r="AA66" s="522"/>
      <c r="AB66" s="519">
        <f t="shared" si="0"/>
        <v>1</v>
      </c>
      <c r="AC66" s="335">
        <v>0</v>
      </c>
      <c r="AD66" s="335">
        <v>0</v>
      </c>
      <c r="AE66" s="335">
        <v>0</v>
      </c>
    </row>
    <row r="67" spans="1:31" ht="18.75" x14ac:dyDescent="0.25">
      <c r="A67" s="399">
        <v>59</v>
      </c>
      <c r="B67" s="439" t="s">
        <v>73</v>
      </c>
      <c r="C67" s="759" t="s">
        <v>73</v>
      </c>
      <c r="D67" s="739"/>
      <c r="E67" s="739"/>
      <c r="F67" s="739"/>
      <c r="G67" s="739"/>
      <c r="H67" s="740"/>
      <c r="I67" s="739"/>
      <c r="J67" s="740"/>
      <c r="K67" s="749"/>
      <c r="L67" s="739"/>
      <c r="M67" s="740"/>
      <c r="N67" s="739"/>
      <c r="O67" s="740"/>
      <c r="P67" s="740"/>
      <c r="Q67" s="751"/>
      <c r="R67" s="739"/>
      <c r="S67" s="740"/>
      <c r="T67" s="739"/>
      <c r="U67" s="740"/>
      <c r="V67" s="544"/>
      <c r="W67" s="879"/>
      <c r="X67" s="883" t="str">
        <f>IF(VLOOKUP($A67,'Pre-Assessment Estimator'!$A$9:$X$100,X$2,FALSE)=0,"",VLOOKUP($A67,'Pre-Assessment Estimator'!$A$9:$X$100,X$2,FALSE))</f>
        <v/>
      </c>
      <c r="AB67" s="519">
        <f t="shared" si="0"/>
        <v>1</v>
      </c>
      <c r="AC67" s="331">
        <v>0</v>
      </c>
      <c r="AD67" s="331">
        <v>0</v>
      </c>
      <c r="AE67" s="331">
        <v>0</v>
      </c>
    </row>
    <row r="68" spans="1:31" x14ac:dyDescent="0.25">
      <c r="A68" s="399">
        <v>60</v>
      </c>
      <c r="B68" s="439" t="s">
        <v>73</v>
      </c>
      <c r="C68" s="743" t="str">
        <f>Wst_01</f>
        <v>Wst 01 Construction waste management</v>
      </c>
      <c r="D68" s="744">
        <f>VLOOKUP($A68,'Pre-Assessment Estimator'!$A$9:$V$100,D$2,FALSE)</f>
        <v>3</v>
      </c>
      <c r="E68" s="744">
        <f>VLOOKUP($A68,'Pre-Assessment Estimator'!$A$9:$V$100,E$2,FALSE)</f>
        <v>0</v>
      </c>
      <c r="F68" s="745">
        <f>VLOOKUP($A68,'Pre-Assessment Estimator'!$A$9:$V$100,F$2,FALSE)</f>
        <v>0</v>
      </c>
      <c r="G68" s="746" t="str">
        <f>VLOOKUP($A68,'Pre-Assessment Estimator'!$A$9:$V$100,G$2,FALSE)</f>
        <v>Excellent</v>
      </c>
      <c r="H68" s="747" t="str">
        <f>IF(VLOOKUP($A68,'Pre-Assessment Estimator'!$A$9:$V$100,H$2,FALSE)=0,"",VLOOKUP($A68,'Pre-Assessment Estimator'!$A$9:$V$100,H$2,FALSE))</f>
        <v/>
      </c>
      <c r="I68" s="747" t="str">
        <f>IF(VLOOKUP($A68,'Pre-Assessment Estimator'!$A$9:$V$100,I$2,FALSE)=0,"",VLOOKUP($A68,'Pre-Assessment Estimator'!$A$9:$V$100,I$2,FALSE))</f>
        <v/>
      </c>
      <c r="J68" s="748" t="str">
        <f>IF(VLOOKUP($A68,'Pre-Assessment Estimator'!$A$9:$V$100,J$2,FALSE)=0,"",VLOOKUP($A68,'Pre-Assessment Estimator'!$A$9:$V$100,J$2,FALSE))</f>
        <v/>
      </c>
      <c r="K68" s="749"/>
      <c r="L68" s="750" t="str">
        <f>IF(VLOOKUP($A68,'Pre-Assessment Estimator'!$A$9:$V$100,L$2,FALSE)=0,"",VLOOKUP($A68,'Pre-Assessment Estimator'!$A$9:$V$100,L$2,FALSE))</f>
        <v/>
      </c>
      <c r="M68" s="747" t="str">
        <f>IF(VLOOKUP($A68,'Pre-Assessment Estimator'!$A$9:$V$100,M$2,FALSE)=0,"",VLOOKUP($A68,'Pre-Assessment Estimator'!$A$9:$V$100,M$2,FALSE))</f>
        <v/>
      </c>
      <c r="N68" s="747" t="str">
        <f>IF(VLOOKUP($A68,'Pre-Assessment Estimator'!$A$9:$V$100,N$2,FALSE)=0,"",VLOOKUP($A68,'Pre-Assessment Estimator'!$A$9:$V$100,N$2,FALSE))</f>
        <v/>
      </c>
      <c r="O68" s="747" t="str">
        <f>IF(VLOOKUP($A68,'Pre-Assessment Estimator'!$A$9:$V$100,O$2,FALSE)=0,"",VLOOKUP($A68,'Pre-Assessment Estimator'!$A$9:$V$100,O$2,FALSE))</f>
        <v/>
      </c>
      <c r="P68" s="748" t="str">
        <f>IF(VLOOKUP($A68,'Pre-Assessment Estimator'!$A$9:$V$100,P$2,FALSE)=0,"",VLOOKUP($A68,'Pre-Assessment Estimator'!$A$9:$V$100,P$2,FALSE))</f>
        <v/>
      </c>
      <c r="Q68" s="751"/>
      <c r="R68" s="750" t="str">
        <f>IF(VLOOKUP($A68,'Pre-Assessment Estimator'!$A$9:$V$100,R$2,FALSE)=0,"",VLOOKUP($A68,'Pre-Assessment Estimator'!$A$9:$V$100,R$2,FALSE))</f>
        <v/>
      </c>
      <c r="S68" s="747" t="str">
        <f>IF(VLOOKUP($A68,'Pre-Assessment Estimator'!$A$9:$V$100,S$2,FALSE)=0,"",VLOOKUP($A68,'Pre-Assessment Estimator'!$A$9:$V$100,S$2,FALSE))</f>
        <v/>
      </c>
      <c r="T68" s="747" t="str">
        <f>IF(VLOOKUP($A68,'Pre-Assessment Estimator'!$A$9:$V$100,T$2,FALSE)=0,"",VLOOKUP($A68,'Pre-Assessment Estimator'!$A$9:$V$100,T$2,FALSE))</f>
        <v/>
      </c>
      <c r="U68" s="747" t="str">
        <f>IF(VLOOKUP($A68,'Pre-Assessment Estimator'!$A$9:$V$100,U$2,FALSE)=0,"",VLOOKUP($A68,'Pre-Assessment Estimator'!$A$9:$V$100,U$2,FALSE))</f>
        <v/>
      </c>
      <c r="V68" s="491" t="str">
        <f>IF(VLOOKUP($A68,'Pre-Assessment Estimator'!$A$9:$V$100,V$2,FALSE)=0,"",VLOOKUP($A68,'Pre-Assessment Estimator'!$A$9:$V$100,V$2,FALSE))</f>
        <v/>
      </c>
      <c r="W68" s="880"/>
      <c r="X68" s="747" t="str">
        <f>IF(VLOOKUP($A68,'Pre-Assessment Estimator'!$A$9:$X$100,X$2,FALSE)=0,"",VLOOKUP($A68,'Pre-Assessment Estimator'!$A$9:$X$100,X$2,FALSE))</f>
        <v>N/A</v>
      </c>
      <c r="AB68" s="519">
        <f t="shared" si="0"/>
        <v>1</v>
      </c>
      <c r="AC68" s="520" t="e">
        <f>VLOOKUP(I68,'Assessment Details'!$L$45:$M$48,2,FALSE)</f>
        <v>#N/A</v>
      </c>
      <c r="AD68" s="520" t="e">
        <f>VLOOKUP(N68,'Assessment Details'!$L$45:$M$48,2,FALSE)</f>
        <v>#N/A</v>
      </c>
      <c r="AE68" s="520" t="e">
        <f>VLOOKUP(T68,'Assessment Details'!$L$45:$M$48,2,FALSE)</f>
        <v>#N/A</v>
      </c>
    </row>
    <row r="69" spans="1:31" x14ac:dyDescent="0.25">
      <c r="A69" s="399">
        <v>61</v>
      </c>
      <c r="B69" s="439" t="s">
        <v>73</v>
      </c>
      <c r="C69" s="743" t="str">
        <f>Wst_02</f>
        <v>Wst 02 Recycled aggregates</v>
      </c>
      <c r="D69" s="744">
        <f>VLOOKUP($A69,'Pre-Assessment Estimator'!$A$9:$V$100,D$2,FALSE)</f>
        <v>1</v>
      </c>
      <c r="E69" s="744">
        <f>VLOOKUP($A69,'Pre-Assessment Estimator'!$A$9:$V$100,E$2,FALSE)</f>
        <v>0</v>
      </c>
      <c r="F69" s="745">
        <f>VLOOKUP($A69,'Pre-Assessment Estimator'!$A$9:$V$100,F$2,FALSE)</f>
        <v>0</v>
      </c>
      <c r="G69" s="752" t="str">
        <f>VLOOKUP($A69,'Pre-Assessment Estimator'!$A$9:$V$100,G$2,FALSE)</f>
        <v>N/A</v>
      </c>
      <c r="H69" s="747" t="str">
        <f>IF(VLOOKUP($A69,'Pre-Assessment Estimator'!$A$9:$V$100,H$2,FALSE)=0,"",VLOOKUP($A69,'Pre-Assessment Estimator'!$A$9:$V$100,H$2,FALSE))</f>
        <v/>
      </c>
      <c r="I69" s="747" t="str">
        <f>IF(VLOOKUP($A69,'Pre-Assessment Estimator'!$A$9:$V$100,I$2,FALSE)=0,"",VLOOKUP($A69,'Pre-Assessment Estimator'!$A$9:$V$100,I$2,FALSE))</f>
        <v/>
      </c>
      <c r="J69" s="748" t="str">
        <f>IF(VLOOKUP($A69,'Pre-Assessment Estimator'!$A$9:$V$100,J$2,FALSE)=0,"",VLOOKUP($A69,'Pre-Assessment Estimator'!$A$9:$V$100,J$2,FALSE))</f>
        <v/>
      </c>
      <c r="K69" s="749"/>
      <c r="L69" s="750" t="str">
        <f>IF(VLOOKUP($A69,'Pre-Assessment Estimator'!$A$9:$V$100,L$2,FALSE)=0,"",VLOOKUP($A69,'Pre-Assessment Estimator'!$A$9:$V$100,L$2,FALSE))</f>
        <v/>
      </c>
      <c r="M69" s="747" t="str">
        <f>IF(VLOOKUP($A69,'Pre-Assessment Estimator'!$A$9:$V$100,M$2,FALSE)=0,"",VLOOKUP($A69,'Pre-Assessment Estimator'!$A$9:$V$100,M$2,FALSE))</f>
        <v/>
      </c>
      <c r="N69" s="747" t="str">
        <f>IF(VLOOKUP($A69,'Pre-Assessment Estimator'!$A$9:$V$100,N$2,FALSE)=0,"",VLOOKUP($A69,'Pre-Assessment Estimator'!$A$9:$V$100,N$2,FALSE))</f>
        <v/>
      </c>
      <c r="O69" s="747" t="str">
        <f>IF(VLOOKUP($A69,'Pre-Assessment Estimator'!$A$9:$V$100,O$2,FALSE)=0,"",VLOOKUP($A69,'Pre-Assessment Estimator'!$A$9:$V$100,O$2,FALSE))</f>
        <v/>
      </c>
      <c r="P69" s="748" t="str">
        <f>IF(VLOOKUP($A69,'Pre-Assessment Estimator'!$A$9:$V$100,P$2,FALSE)=0,"",VLOOKUP($A69,'Pre-Assessment Estimator'!$A$9:$V$100,P$2,FALSE))</f>
        <v/>
      </c>
      <c r="Q69" s="751"/>
      <c r="R69" s="750" t="str">
        <f>IF(VLOOKUP($A69,'Pre-Assessment Estimator'!$A$9:$V$100,R$2,FALSE)=0,"",VLOOKUP($A69,'Pre-Assessment Estimator'!$A$9:$V$100,R$2,FALSE))</f>
        <v/>
      </c>
      <c r="S69" s="747" t="str">
        <f>IF(VLOOKUP($A69,'Pre-Assessment Estimator'!$A$9:$V$100,S$2,FALSE)=0,"",VLOOKUP($A69,'Pre-Assessment Estimator'!$A$9:$V$100,S$2,FALSE))</f>
        <v/>
      </c>
      <c r="T69" s="747" t="str">
        <f>IF(VLOOKUP($A69,'Pre-Assessment Estimator'!$A$9:$V$100,T$2,FALSE)=0,"",VLOOKUP($A69,'Pre-Assessment Estimator'!$A$9:$V$100,T$2,FALSE))</f>
        <v/>
      </c>
      <c r="U69" s="747" t="str">
        <f>IF(VLOOKUP($A69,'Pre-Assessment Estimator'!$A$9:$V$100,U$2,FALSE)=0,"",VLOOKUP($A69,'Pre-Assessment Estimator'!$A$9:$V$100,U$2,FALSE))</f>
        <v/>
      </c>
      <c r="V69" s="491" t="str">
        <f>IF(VLOOKUP($A69,'Pre-Assessment Estimator'!$A$9:$V$100,V$2,FALSE)=0,"",VLOOKUP($A69,'Pre-Assessment Estimator'!$A$9:$V$100,V$2,FALSE))</f>
        <v/>
      </c>
      <c r="W69" s="880"/>
      <c r="X69" s="747" t="str">
        <f>IF(VLOOKUP($A69,'Pre-Assessment Estimator'!$A$9:$X$100,X$2,FALSE)=0,"",VLOOKUP($A69,'Pre-Assessment Estimator'!$A$9:$X$100,X$2,FALSE))</f>
        <v>N/A</v>
      </c>
      <c r="AB69" s="519">
        <f t="shared" si="0"/>
        <v>1</v>
      </c>
      <c r="AC69" s="520" t="e">
        <f>VLOOKUP(I69,'Assessment Details'!$L$45:$M$48,2,FALSE)</f>
        <v>#N/A</v>
      </c>
      <c r="AD69" s="520" t="e">
        <f>VLOOKUP(N69,'Assessment Details'!$L$45:$M$48,2,FALSE)</f>
        <v>#N/A</v>
      </c>
      <c r="AE69" s="520" t="e">
        <f>VLOOKUP(T69,'Assessment Details'!$L$45:$M$48,2,FALSE)</f>
        <v>#N/A</v>
      </c>
    </row>
    <row r="70" spans="1:31" x14ac:dyDescent="0.25">
      <c r="A70" s="399">
        <v>62</v>
      </c>
      <c r="B70" s="439" t="s">
        <v>73</v>
      </c>
      <c r="C70" s="743" t="str">
        <f>Wst_03</f>
        <v>Wst 03 Operational waste</v>
      </c>
      <c r="D70" s="744">
        <f>VLOOKUP($A70,'Pre-Assessment Estimator'!$A$9:$V$100,D$2,FALSE)</f>
        <v>1</v>
      </c>
      <c r="E70" s="744">
        <f>VLOOKUP($A70,'Pre-Assessment Estimator'!$A$9:$V$100,E$2,FALSE)</f>
        <v>0</v>
      </c>
      <c r="F70" s="745">
        <f>VLOOKUP($A70,'Pre-Assessment Estimator'!$A$9:$V$100,F$2,FALSE)</f>
        <v>0</v>
      </c>
      <c r="G70" s="746" t="str">
        <f>VLOOKUP($A70,'Pre-Assessment Estimator'!$A$9:$V$100,G$2,FALSE)</f>
        <v>Very Good</v>
      </c>
      <c r="H70" s="747" t="str">
        <f>IF(VLOOKUP($A70,'Pre-Assessment Estimator'!$A$9:$V$100,H$2,FALSE)=0,"",VLOOKUP($A70,'Pre-Assessment Estimator'!$A$9:$V$100,H$2,FALSE))</f>
        <v/>
      </c>
      <c r="I70" s="747" t="str">
        <f>IF(VLOOKUP($A70,'Pre-Assessment Estimator'!$A$9:$V$100,I$2,FALSE)=0,"",VLOOKUP($A70,'Pre-Assessment Estimator'!$A$9:$V$100,I$2,FALSE))</f>
        <v/>
      </c>
      <c r="J70" s="748" t="str">
        <f>IF(VLOOKUP($A70,'Pre-Assessment Estimator'!$A$9:$V$100,J$2,FALSE)=0,"",VLOOKUP($A70,'Pre-Assessment Estimator'!$A$9:$V$100,J$2,FALSE))</f>
        <v/>
      </c>
      <c r="K70" s="749"/>
      <c r="L70" s="750" t="str">
        <f>IF(VLOOKUP($A70,'Pre-Assessment Estimator'!$A$9:$V$100,L$2,FALSE)=0,"",VLOOKUP($A70,'Pre-Assessment Estimator'!$A$9:$V$100,L$2,FALSE))</f>
        <v/>
      </c>
      <c r="M70" s="747" t="str">
        <f>IF(VLOOKUP($A70,'Pre-Assessment Estimator'!$A$9:$V$100,M$2,FALSE)=0,"",VLOOKUP($A70,'Pre-Assessment Estimator'!$A$9:$V$100,M$2,FALSE))</f>
        <v/>
      </c>
      <c r="N70" s="747" t="str">
        <f>IF(VLOOKUP($A70,'Pre-Assessment Estimator'!$A$9:$V$100,N$2,FALSE)=0,"",VLOOKUP($A70,'Pre-Assessment Estimator'!$A$9:$V$100,N$2,FALSE))</f>
        <v/>
      </c>
      <c r="O70" s="747" t="str">
        <f>IF(VLOOKUP($A70,'Pre-Assessment Estimator'!$A$9:$V$100,O$2,FALSE)=0,"",VLOOKUP($A70,'Pre-Assessment Estimator'!$A$9:$V$100,O$2,FALSE))</f>
        <v/>
      </c>
      <c r="P70" s="748" t="str">
        <f>IF(VLOOKUP($A70,'Pre-Assessment Estimator'!$A$9:$V$100,P$2,FALSE)=0,"",VLOOKUP($A70,'Pre-Assessment Estimator'!$A$9:$V$100,P$2,FALSE))</f>
        <v/>
      </c>
      <c r="Q70" s="751"/>
      <c r="R70" s="750" t="str">
        <f>IF(VLOOKUP($A70,'Pre-Assessment Estimator'!$A$9:$V$100,R$2,FALSE)=0,"",VLOOKUP($A70,'Pre-Assessment Estimator'!$A$9:$V$100,R$2,FALSE))</f>
        <v/>
      </c>
      <c r="S70" s="747" t="str">
        <f>IF(VLOOKUP($A70,'Pre-Assessment Estimator'!$A$9:$V$100,S$2,FALSE)=0,"",VLOOKUP($A70,'Pre-Assessment Estimator'!$A$9:$V$100,S$2,FALSE))</f>
        <v/>
      </c>
      <c r="T70" s="747" t="str">
        <f>IF(VLOOKUP($A70,'Pre-Assessment Estimator'!$A$9:$V$100,T$2,FALSE)=0,"",VLOOKUP($A70,'Pre-Assessment Estimator'!$A$9:$V$100,T$2,FALSE))</f>
        <v/>
      </c>
      <c r="U70" s="747" t="str">
        <f>IF(VLOOKUP($A70,'Pre-Assessment Estimator'!$A$9:$V$100,U$2,FALSE)=0,"",VLOOKUP($A70,'Pre-Assessment Estimator'!$A$9:$V$100,U$2,FALSE))</f>
        <v/>
      </c>
      <c r="V70" s="491" t="str">
        <f>IF(VLOOKUP($A70,'Pre-Assessment Estimator'!$A$9:$V$100,V$2,FALSE)=0,"",VLOOKUP($A70,'Pre-Assessment Estimator'!$A$9:$V$100,V$2,FALSE))</f>
        <v/>
      </c>
      <c r="W70" s="880"/>
      <c r="X70" s="747" t="str">
        <f>IF(VLOOKUP($A70,'Pre-Assessment Estimator'!$A$9:$X$100,X$2,FALSE)=0,"",VLOOKUP($A70,'Pre-Assessment Estimator'!$A$9:$X$100,X$2,FALSE))</f>
        <v>No</v>
      </c>
      <c r="AB70" s="519">
        <f t="shared" si="0"/>
        <v>1</v>
      </c>
      <c r="AC70" s="103" t="e">
        <f>VLOOKUP(I70,'Assessment Details'!$L$45:$M$48,2,FALSE)</f>
        <v>#N/A</v>
      </c>
      <c r="AD70" s="103" t="e">
        <f>VLOOKUP(N70,'Assessment Details'!$L$45:$M$48,2,FALSE)</f>
        <v>#N/A</v>
      </c>
      <c r="AE70" s="103" t="e">
        <f>VLOOKUP(T70,'Assessment Details'!$L$45:$M$48,2,FALSE)</f>
        <v>#N/A</v>
      </c>
    </row>
    <row r="71" spans="1:31" x14ac:dyDescent="0.25">
      <c r="A71" s="399">
        <v>63</v>
      </c>
      <c r="B71" s="439" t="s">
        <v>73</v>
      </c>
      <c r="C71" s="743" t="str">
        <f>Wst_04</f>
        <v>Wst 04 Speculative floor and ceiling finishes</v>
      </c>
      <c r="D71" s="744">
        <f>VLOOKUP($A71,'Pre-Assessment Estimator'!$A$9:$V$100,D$2,FALSE)</f>
        <v>1</v>
      </c>
      <c r="E71" s="744">
        <f>VLOOKUP($A71,'Pre-Assessment Estimator'!$A$9:$V$100,E$2,FALSE)</f>
        <v>0</v>
      </c>
      <c r="F71" s="745">
        <f>VLOOKUP($A71,'Pre-Assessment Estimator'!$A$9:$V$100,F$2,FALSE)</f>
        <v>0</v>
      </c>
      <c r="G71" s="752" t="str">
        <f>VLOOKUP($A71,'Pre-Assessment Estimator'!$A$9:$V$100,G$2,FALSE)</f>
        <v>N/A</v>
      </c>
      <c r="H71" s="747" t="str">
        <f>IF(VLOOKUP($A71,'Pre-Assessment Estimator'!$A$9:$V$100,H$2,FALSE)=0,"",VLOOKUP($A71,'Pre-Assessment Estimator'!$A$9:$V$100,H$2,FALSE))</f>
        <v/>
      </c>
      <c r="I71" s="747" t="str">
        <f>IF(VLOOKUP($A71,'Pre-Assessment Estimator'!$A$9:$V$100,I$2,FALSE)=0,"",VLOOKUP($A71,'Pre-Assessment Estimator'!$A$9:$V$100,I$2,FALSE))</f>
        <v/>
      </c>
      <c r="J71" s="748" t="str">
        <f>IF(VLOOKUP($A71,'Pre-Assessment Estimator'!$A$9:$V$100,J$2,FALSE)=0,"",VLOOKUP($A71,'Pre-Assessment Estimator'!$A$9:$V$100,J$2,FALSE))</f>
        <v/>
      </c>
      <c r="K71" s="749"/>
      <c r="L71" s="750" t="str">
        <f>IF(VLOOKUP($A71,'Pre-Assessment Estimator'!$A$9:$V$100,L$2,FALSE)=0,"",VLOOKUP($A71,'Pre-Assessment Estimator'!$A$9:$V$100,L$2,FALSE))</f>
        <v/>
      </c>
      <c r="M71" s="747" t="str">
        <f>IF(VLOOKUP($A71,'Pre-Assessment Estimator'!$A$9:$V$100,M$2,FALSE)=0,"",VLOOKUP($A71,'Pre-Assessment Estimator'!$A$9:$V$100,M$2,FALSE))</f>
        <v/>
      </c>
      <c r="N71" s="747" t="str">
        <f>IF(VLOOKUP($A71,'Pre-Assessment Estimator'!$A$9:$V$100,N$2,FALSE)=0,"",VLOOKUP($A71,'Pre-Assessment Estimator'!$A$9:$V$100,N$2,FALSE))</f>
        <v/>
      </c>
      <c r="O71" s="747" t="str">
        <f>IF(VLOOKUP($A71,'Pre-Assessment Estimator'!$A$9:$V$100,O$2,FALSE)=0,"",VLOOKUP($A71,'Pre-Assessment Estimator'!$A$9:$V$100,O$2,FALSE))</f>
        <v/>
      </c>
      <c r="P71" s="748" t="str">
        <f>IF(VLOOKUP($A71,'Pre-Assessment Estimator'!$A$9:$V$100,P$2,FALSE)=0,"",VLOOKUP($A71,'Pre-Assessment Estimator'!$A$9:$V$100,P$2,FALSE))</f>
        <v/>
      </c>
      <c r="Q71" s="751"/>
      <c r="R71" s="750" t="str">
        <f>IF(VLOOKUP($A71,'Pre-Assessment Estimator'!$A$9:$V$100,R$2,FALSE)=0,"",VLOOKUP($A71,'Pre-Assessment Estimator'!$A$9:$V$100,R$2,FALSE))</f>
        <v/>
      </c>
      <c r="S71" s="747" t="str">
        <f>IF(VLOOKUP($A71,'Pre-Assessment Estimator'!$A$9:$V$100,S$2,FALSE)=0,"",VLOOKUP($A71,'Pre-Assessment Estimator'!$A$9:$V$100,S$2,FALSE))</f>
        <v/>
      </c>
      <c r="T71" s="747" t="str">
        <f>IF(VLOOKUP($A71,'Pre-Assessment Estimator'!$A$9:$V$100,T$2,FALSE)=0,"",VLOOKUP($A71,'Pre-Assessment Estimator'!$A$9:$V$100,T$2,FALSE))</f>
        <v xml:space="preserve"> </v>
      </c>
      <c r="U71" s="747" t="str">
        <f>IF(VLOOKUP($A71,'Pre-Assessment Estimator'!$A$9:$V$100,U$2,FALSE)=0,"",VLOOKUP($A71,'Pre-Assessment Estimator'!$A$9:$V$100,U$2,FALSE))</f>
        <v/>
      </c>
      <c r="V71" s="491" t="str">
        <f>IF(VLOOKUP($A71,'Pre-Assessment Estimator'!$A$9:$V$100,V$2,FALSE)=0,"",VLOOKUP($A71,'Pre-Assessment Estimator'!$A$9:$V$100,V$2,FALSE))</f>
        <v/>
      </c>
      <c r="W71" s="880"/>
      <c r="X71" s="747" t="str">
        <f>IF(VLOOKUP($A71,'Pre-Assessment Estimator'!$A$9:$X$100,X$2,FALSE)=0,"",VLOOKUP($A71,'Pre-Assessment Estimator'!$A$9:$X$100,X$2,FALSE))</f>
        <v>No</v>
      </c>
      <c r="AB71" s="519">
        <f t="shared" si="0"/>
        <v>1</v>
      </c>
      <c r="AC71" s="520" t="e">
        <f>VLOOKUP(I71,'Assessment Details'!$L$45:$M$48,2,FALSE)</f>
        <v>#N/A</v>
      </c>
      <c r="AD71" s="520" t="e">
        <f>VLOOKUP(N71,'Assessment Details'!$L$45:$M$48,2,FALSE)</f>
        <v>#N/A</v>
      </c>
      <c r="AE71" s="520">
        <f>VLOOKUP(T71,'Assessment Details'!$L$45:$M$48,2,FALSE)</f>
        <v>4</v>
      </c>
    </row>
    <row r="72" spans="1:31" ht="15.75" thickBot="1" x14ac:dyDescent="0.3">
      <c r="A72" s="399">
        <v>64</v>
      </c>
      <c r="B72" s="439" t="s">
        <v>73</v>
      </c>
      <c r="C72" s="753" t="s">
        <v>113</v>
      </c>
      <c r="D72" s="754">
        <f>VLOOKUP($A72,'Pre-Assessment Estimator'!$A$9:$V$100,D$2,FALSE)</f>
        <v>6</v>
      </c>
      <c r="E72" s="754">
        <f>SUM(E68:E71)</f>
        <v>0</v>
      </c>
      <c r="F72" s="755">
        <f>VLOOKUP($A72,'Pre-Assessment Estimator'!$A$9:$V$100,F$2,FALSE)</f>
        <v>0</v>
      </c>
      <c r="G72" s="747"/>
      <c r="H72" s="747" t="str">
        <f>IF(VLOOKUP($A72,'Pre-Assessment Estimator'!$A$9:$V$100,H$2,FALSE)=0,"",VLOOKUP($A72,'Pre-Assessment Estimator'!$A$9:$V$100,H$2,FALSE))</f>
        <v/>
      </c>
      <c r="I72" s="744" t="str">
        <f>IF(VLOOKUP($A72,'Pre-Assessment Estimator'!$A$9:$V$100,I$2,FALSE)=0,"",VLOOKUP($A72,'Pre-Assessment Estimator'!$A$9:$V$100,I$2,FALSE))</f>
        <v/>
      </c>
      <c r="J72" s="748" t="str">
        <f>IF(VLOOKUP($A72,'Pre-Assessment Estimator'!$A$9:$V$100,J$2,FALSE)=0,"",VLOOKUP($A72,'Pre-Assessment Estimator'!$A$9:$V$100,J$2,FALSE))</f>
        <v/>
      </c>
      <c r="K72" s="749"/>
      <c r="L72" s="756" t="str">
        <f>IF(VLOOKUP($A72,'Pre-Assessment Estimator'!$A$9:$V$100,L$2,FALSE)=0,"",VLOOKUP($A72,'Pre-Assessment Estimator'!$A$9:$V$100,L$2,FALSE))</f>
        <v/>
      </c>
      <c r="M72" s="747" t="str">
        <f>IF(VLOOKUP($A72,'Pre-Assessment Estimator'!$A$9:$V$100,M$2,FALSE)=0,"",VLOOKUP($A72,'Pre-Assessment Estimator'!$A$9:$V$100,M$2,FALSE))</f>
        <v/>
      </c>
      <c r="N72" s="744" t="str">
        <f>IF(VLOOKUP($A72,'Pre-Assessment Estimator'!$A$9:$V$100,N$2,FALSE)=0,"",VLOOKUP($A72,'Pre-Assessment Estimator'!$A$9:$V$100,N$2,FALSE))</f>
        <v/>
      </c>
      <c r="O72" s="747" t="str">
        <f>IF(VLOOKUP($A72,'Pre-Assessment Estimator'!$A$9:$V$100,O$2,FALSE)=0,"",VLOOKUP($A72,'Pre-Assessment Estimator'!$A$9:$V$100,O$2,FALSE))</f>
        <v/>
      </c>
      <c r="P72" s="748" t="str">
        <f>IF(VLOOKUP($A72,'Pre-Assessment Estimator'!$A$9:$V$100,P$2,FALSE)=0,"",VLOOKUP($A72,'Pre-Assessment Estimator'!$A$9:$V$100,P$2,FALSE))</f>
        <v/>
      </c>
      <c r="Q72" s="751"/>
      <c r="R72" s="756" t="str">
        <f>IF(VLOOKUP($A72,'Pre-Assessment Estimator'!$A$9:$V$100,R$2,FALSE)=0,"",VLOOKUP($A72,'Pre-Assessment Estimator'!$A$9:$V$100,R$2,FALSE))</f>
        <v/>
      </c>
      <c r="S72" s="747" t="str">
        <f>IF(VLOOKUP($A72,'Pre-Assessment Estimator'!$A$9:$V$100,S$2,FALSE)=0,"",VLOOKUP($A72,'Pre-Assessment Estimator'!$A$9:$V$100,S$2,FALSE))</f>
        <v/>
      </c>
      <c r="T72" s="744" t="str">
        <f>IF(VLOOKUP($A72,'Pre-Assessment Estimator'!$A$9:$V$100,T$2,FALSE)=0,"",VLOOKUP($A72,'Pre-Assessment Estimator'!$A$9:$V$100,T$2,FALSE))</f>
        <v/>
      </c>
      <c r="U72" s="747" t="str">
        <f>IF(VLOOKUP($A72,'Pre-Assessment Estimator'!$A$9:$V$100,U$2,FALSE)=0,"",VLOOKUP($A72,'Pre-Assessment Estimator'!$A$9:$V$100,U$2,FALSE))</f>
        <v/>
      </c>
      <c r="V72" s="491" t="str">
        <f>IF(VLOOKUP($A72,'Pre-Assessment Estimator'!$A$9:$V$100,V$2,FALSE)=0,"",VLOOKUP($A72,'Pre-Assessment Estimator'!$A$9:$V$100,V$2,FALSE))</f>
        <v/>
      </c>
      <c r="W72" s="880"/>
      <c r="X72" s="747" t="str">
        <f>IF(VLOOKUP($A72,'Pre-Assessment Estimator'!$A$9:$X$100,X$2,FALSE)=0,"",VLOOKUP($A72,'Pre-Assessment Estimator'!$A$9:$X$100,X$2,FALSE))</f>
        <v/>
      </c>
      <c r="AB72" s="519">
        <f t="shared" si="0"/>
        <v>1</v>
      </c>
      <c r="AC72" s="333">
        <v>0</v>
      </c>
      <c r="AD72" s="333">
        <v>0</v>
      </c>
      <c r="AE72" s="333">
        <v>0</v>
      </c>
    </row>
    <row r="73" spans="1:31" x14ac:dyDescent="0.25">
      <c r="A73" s="399">
        <v>65</v>
      </c>
      <c r="B73" s="439" t="s">
        <v>73</v>
      </c>
      <c r="C73" s="757"/>
      <c r="D73" s="758"/>
      <c r="E73" s="758"/>
      <c r="F73" s="758"/>
      <c r="G73" s="758"/>
      <c r="H73" s="757"/>
      <c r="I73" s="758"/>
      <c r="J73" s="757"/>
      <c r="K73" s="749"/>
      <c r="L73" s="758"/>
      <c r="M73" s="757"/>
      <c r="N73" s="758"/>
      <c r="O73" s="757"/>
      <c r="P73" s="757"/>
      <c r="Q73" s="751"/>
      <c r="R73" s="758"/>
      <c r="S73" s="757"/>
      <c r="T73" s="758"/>
      <c r="U73" s="757"/>
      <c r="V73" s="440"/>
      <c r="W73" s="881"/>
      <c r="X73" s="757" t="str">
        <f>IF(VLOOKUP($A73,'Pre-Assessment Estimator'!$A$9:$X$100,X$2,FALSE)=0,"",VLOOKUP($A73,'Pre-Assessment Estimator'!$A$9:$X$100,X$2,FALSE))</f>
        <v/>
      </c>
      <c r="Y73" s="522"/>
      <c r="Z73" s="522"/>
      <c r="AA73" s="522"/>
      <c r="AB73" s="519">
        <f t="shared" ref="AB73:AB100" si="1">IF(D73="",1,IF(D73=0,2,1))</f>
        <v>1</v>
      </c>
      <c r="AC73" s="335">
        <v>0</v>
      </c>
      <c r="AD73" s="335">
        <v>0</v>
      </c>
      <c r="AE73" s="335">
        <v>0</v>
      </c>
    </row>
    <row r="74" spans="1:31" ht="18.75" x14ac:dyDescent="0.25">
      <c r="A74" s="399">
        <v>66</v>
      </c>
      <c r="B74" s="439" t="s">
        <v>74</v>
      </c>
      <c r="C74" s="759" t="s">
        <v>502</v>
      </c>
      <c r="D74" s="739"/>
      <c r="E74" s="739"/>
      <c r="F74" s="739"/>
      <c r="G74" s="739"/>
      <c r="H74" s="740"/>
      <c r="I74" s="739"/>
      <c r="J74" s="740"/>
      <c r="K74" s="749"/>
      <c r="L74" s="739"/>
      <c r="M74" s="740"/>
      <c r="N74" s="739"/>
      <c r="O74" s="740"/>
      <c r="P74" s="740"/>
      <c r="Q74" s="751"/>
      <c r="R74" s="739"/>
      <c r="S74" s="740"/>
      <c r="T74" s="739"/>
      <c r="U74" s="740"/>
      <c r="V74" s="544"/>
      <c r="W74" s="879"/>
      <c r="X74" s="883" t="str">
        <f>IF(VLOOKUP($A74,'Pre-Assessment Estimator'!$A$9:$X$100,X$2,FALSE)=0,"",VLOOKUP($A74,'Pre-Assessment Estimator'!$A$9:$X$100,X$2,FALSE))</f>
        <v/>
      </c>
      <c r="AB74" s="519">
        <f t="shared" si="1"/>
        <v>1</v>
      </c>
      <c r="AC74" s="331">
        <v>0</v>
      </c>
      <c r="AD74" s="331">
        <v>0</v>
      </c>
      <c r="AE74" s="331">
        <v>0</v>
      </c>
    </row>
    <row r="75" spans="1:31" x14ac:dyDescent="0.25">
      <c r="A75" s="399">
        <v>67</v>
      </c>
      <c r="B75" s="439" t="s">
        <v>74</v>
      </c>
      <c r="C75" s="743" t="str">
        <f>LE_01</f>
        <v>LE 01 Site selection</v>
      </c>
      <c r="D75" s="744">
        <f>VLOOKUP($A75,'Pre-Assessment Estimator'!$A$9:$V$100,D$2,FALSE)</f>
        <v>3</v>
      </c>
      <c r="E75" s="744">
        <f>VLOOKUP($A75,'Pre-Assessment Estimator'!$A$9:$V$100,E$2,FALSE)</f>
        <v>0</v>
      </c>
      <c r="F75" s="745">
        <f>VLOOKUP($A75,'Pre-Assessment Estimator'!$A$9:$V$100,F$2,FALSE)</f>
        <v>0</v>
      </c>
      <c r="G75" s="746" t="str">
        <f>VLOOKUP($A75,'Pre-Assessment Estimator'!$A$9:$V$100,G$2,FALSE)</f>
        <v>N/A</v>
      </c>
      <c r="H75" s="747" t="str">
        <f>IF(VLOOKUP($A75,'Pre-Assessment Estimator'!$A$9:$V$100,H$2,FALSE)=0,"",VLOOKUP($A75,'Pre-Assessment Estimator'!$A$9:$V$100,H$2,FALSE))</f>
        <v/>
      </c>
      <c r="I75" s="747" t="str">
        <f>IF(VLOOKUP($A75,'Pre-Assessment Estimator'!$A$9:$V$100,I$2,FALSE)=0,"",VLOOKUP($A75,'Pre-Assessment Estimator'!$A$9:$V$100,I$2,FALSE))</f>
        <v/>
      </c>
      <c r="J75" s="748" t="str">
        <f>IF(VLOOKUP($A75,'Pre-Assessment Estimator'!$A$9:$V$100,J$2,FALSE)=0,"",VLOOKUP($A75,'Pre-Assessment Estimator'!$A$9:$V$100,J$2,FALSE))</f>
        <v/>
      </c>
      <c r="K75" s="749"/>
      <c r="L75" s="750" t="str">
        <f>IF(VLOOKUP($A75,'Pre-Assessment Estimator'!$A$9:$V$100,L$2,FALSE)=0,"",VLOOKUP($A75,'Pre-Assessment Estimator'!$A$9:$V$100,L$2,FALSE))</f>
        <v/>
      </c>
      <c r="M75" s="747" t="str">
        <f>IF(VLOOKUP($A75,'Pre-Assessment Estimator'!$A$9:$V$100,M$2,FALSE)=0,"",VLOOKUP($A75,'Pre-Assessment Estimator'!$A$9:$V$100,M$2,FALSE))</f>
        <v/>
      </c>
      <c r="N75" s="747" t="str">
        <f>IF(VLOOKUP($A75,'Pre-Assessment Estimator'!$A$9:$V$100,N$2,FALSE)=0,"",VLOOKUP($A75,'Pre-Assessment Estimator'!$A$9:$V$100,N$2,FALSE))</f>
        <v/>
      </c>
      <c r="O75" s="747" t="str">
        <f>IF(VLOOKUP($A75,'Pre-Assessment Estimator'!$A$9:$V$100,O$2,FALSE)=0,"",VLOOKUP($A75,'Pre-Assessment Estimator'!$A$9:$V$100,O$2,FALSE))</f>
        <v/>
      </c>
      <c r="P75" s="748" t="str">
        <f>IF(VLOOKUP($A75,'Pre-Assessment Estimator'!$A$9:$V$100,P$2,FALSE)=0,"",VLOOKUP($A75,'Pre-Assessment Estimator'!$A$9:$V$100,P$2,FALSE))</f>
        <v/>
      </c>
      <c r="Q75" s="751"/>
      <c r="R75" s="750" t="str">
        <f>IF(VLOOKUP($A75,'Pre-Assessment Estimator'!$A$9:$V$100,R$2,FALSE)=0,"",VLOOKUP($A75,'Pre-Assessment Estimator'!$A$9:$V$100,R$2,FALSE))</f>
        <v/>
      </c>
      <c r="S75" s="747" t="str">
        <f>IF(VLOOKUP($A75,'Pre-Assessment Estimator'!$A$9:$V$100,S$2,FALSE)=0,"",VLOOKUP($A75,'Pre-Assessment Estimator'!$A$9:$V$100,S$2,FALSE))</f>
        <v/>
      </c>
      <c r="T75" s="747" t="str">
        <f>IF(VLOOKUP($A75,'Pre-Assessment Estimator'!$A$9:$V$100,T$2,FALSE)=0,"",VLOOKUP($A75,'Pre-Assessment Estimator'!$A$9:$V$100,T$2,FALSE))</f>
        <v/>
      </c>
      <c r="U75" s="747" t="str">
        <f>IF(VLOOKUP($A75,'Pre-Assessment Estimator'!$A$9:$V$100,U$2,FALSE)=0,"",VLOOKUP($A75,'Pre-Assessment Estimator'!$A$9:$V$100,U$2,FALSE))</f>
        <v/>
      </c>
      <c r="V75" s="491" t="str">
        <f>IF(VLOOKUP($A75,'Pre-Assessment Estimator'!$A$9:$V$100,V$2,FALSE)=0,"",VLOOKUP($A75,'Pre-Assessment Estimator'!$A$9:$V$100,V$2,FALSE))</f>
        <v/>
      </c>
      <c r="W75" s="880"/>
      <c r="X75" s="747" t="str">
        <f>IF(VLOOKUP($A75,'Pre-Assessment Estimator'!$A$9:$X$100,X$2,FALSE)=0,"",VLOOKUP($A75,'Pre-Assessment Estimator'!$A$9:$X$100,X$2,FALSE))</f>
        <v>N/A</v>
      </c>
      <c r="AB75" s="519">
        <f t="shared" si="1"/>
        <v>1</v>
      </c>
      <c r="AC75" s="520" t="e">
        <f>VLOOKUP(I75,'Assessment Details'!$L$45:$M$48,2,FALSE)</f>
        <v>#N/A</v>
      </c>
      <c r="AD75" s="520" t="e">
        <f>VLOOKUP(N75,'Assessment Details'!$L$45:$M$48,2,FALSE)</f>
        <v>#N/A</v>
      </c>
      <c r="AE75" s="520" t="e">
        <f>VLOOKUP(T75,'Assessment Details'!$L$45:$M$48,2,FALSE)</f>
        <v>#N/A</v>
      </c>
    </row>
    <row r="76" spans="1:31" ht="30" x14ac:dyDescent="0.25">
      <c r="A76" s="399">
        <v>68</v>
      </c>
      <c r="B76" s="439" t="s">
        <v>74</v>
      </c>
      <c r="C76" s="743" t="str">
        <f>LE_02</f>
        <v>LE 02 Ecological value of site and protection of ecological features</v>
      </c>
      <c r="D76" s="744">
        <f>VLOOKUP($A76,'Pre-Assessment Estimator'!$A$9:$V$100,D$2,FALSE)</f>
        <v>2</v>
      </c>
      <c r="E76" s="744">
        <f>VLOOKUP($A76,'Pre-Assessment Estimator'!$A$9:$V$100,E$2,FALSE)</f>
        <v>0</v>
      </c>
      <c r="F76" s="745">
        <f>VLOOKUP($A76,'Pre-Assessment Estimator'!$A$9:$V$100,F$2,FALSE)</f>
        <v>0</v>
      </c>
      <c r="G76" s="746" t="str">
        <f>VLOOKUP($A76,'Pre-Assessment Estimator'!$A$9:$V$100,G$2,FALSE)</f>
        <v>N/A</v>
      </c>
      <c r="H76" s="747" t="str">
        <f>IF(VLOOKUP($A76,'Pre-Assessment Estimator'!$A$9:$V$100,H$2,FALSE)=0,"",VLOOKUP($A76,'Pre-Assessment Estimator'!$A$9:$V$100,H$2,FALSE))</f>
        <v/>
      </c>
      <c r="I76" s="747" t="str">
        <f>IF(VLOOKUP($A76,'Pre-Assessment Estimator'!$A$9:$V$100,I$2,FALSE)=0,"",VLOOKUP($A76,'Pre-Assessment Estimator'!$A$9:$V$100,I$2,FALSE))</f>
        <v xml:space="preserve"> </v>
      </c>
      <c r="J76" s="748" t="str">
        <f>IF(VLOOKUP($A76,'Pre-Assessment Estimator'!$A$9:$V$100,J$2,FALSE)=0,"",VLOOKUP($A76,'Pre-Assessment Estimator'!$A$9:$V$100,J$2,FALSE))</f>
        <v/>
      </c>
      <c r="K76" s="749"/>
      <c r="L76" s="750" t="str">
        <f>IF(VLOOKUP($A76,'Pre-Assessment Estimator'!$A$9:$V$100,L$2,FALSE)=0,"",VLOOKUP($A76,'Pre-Assessment Estimator'!$A$9:$V$100,L$2,FALSE))</f>
        <v/>
      </c>
      <c r="M76" s="747" t="str">
        <f>IF(VLOOKUP($A76,'Pre-Assessment Estimator'!$A$9:$V$100,M$2,FALSE)=0,"",VLOOKUP($A76,'Pre-Assessment Estimator'!$A$9:$V$100,M$2,FALSE))</f>
        <v/>
      </c>
      <c r="N76" s="747" t="str">
        <f>IF(VLOOKUP($A76,'Pre-Assessment Estimator'!$A$9:$V$100,N$2,FALSE)=0,"",VLOOKUP($A76,'Pre-Assessment Estimator'!$A$9:$V$100,N$2,FALSE))</f>
        <v/>
      </c>
      <c r="O76" s="747" t="str">
        <f>IF(VLOOKUP($A76,'Pre-Assessment Estimator'!$A$9:$V$100,O$2,FALSE)=0,"",VLOOKUP($A76,'Pre-Assessment Estimator'!$A$9:$V$100,O$2,FALSE))</f>
        <v/>
      </c>
      <c r="P76" s="748" t="str">
        <f>IF(VLOOKUP($A76,'Pre-Assessment Estimator'!$A$9:$V$100,P$2,FALSE)=0,"",VLOOKUP($A76,'Pre-Assessment Estimator'!$A$9:$V$100,P$2,FALSE))</f>
        <v/>
      </c>
      <c r="Q76" s="751"/>
      <c r="R76" s="750" t="str">
        <f>IF(VLOOKUP($A76,'Pre-Assessment Estimator'!$A$9:$V$100,R$2,FALSE)=0,"",VLOOKUP($A76,'Pre-Assessment Estimator'!$A$9:$V$100,R$2,FALSE))</f>
        <v/>
      </c>
      <c r="S76" s="747" t="str">
        <f>IF(VLOOKUP($A76,'Pre-Assessment Estimator'!$A$9:$V$100,S$2,FALSE)=0,"",VLOOKUP($A76,'Pre-Assessment Estimator'!$A$9:$V$100,S$2,FALSE))</f>
        <v/>
      </c>
      <c r="T76" s="747" t="str">
        <f>IF(VLOOKUP($A76,'Pre-Assessment Estimator'!$A$9:$V$100,T$2,FALSE)=0,"",VLOOKUP($A76,'Pre-Assessment Estimator'!$A$9:$V$100,T$2,FALSE))</f>
        <v xml:space="preserve"> </v>
      </c>
      <c r="U76" s="747" t="str">
        <f>IF(VLOOKUP($A76,'Pre-Assessment Estimator'!$A$9:$V$100,U$2,FALSE)=0,"",VLOOKUP($A76,'Pre-Assessment Estimator'!$A$9:$V$100,U$2,FALSE))</f>
        <v/>
      </c>
      <c r="V76" s="491" t="str">
        <f>IF(VLOOKUP($A76,'Pre-Assessment Estimator'!$A$9:$V$100,V$2,FALSE)=0,"",VLOOKUP($A76,'Pre-Assessment Estimator'!$A$9:$V$100,V$2,FALSE))</f>
        <v/>
      </c>
      <c r="W76" s="880"/>
      <c r="X76" s="747" t="str">
        <f>IF(VLOOKUP($A76,'Pre-Assessment Estimator'!$A$9:$X$100,X$2,FALSE)=0,"",VLOOKUP($A76,'Pre-Assessment Estimator'!$A$9:$X$100,X$2,FALSE))</f>
        <v>N/A</v>
      </c>
      <c r="AB76" s="519">
        <f t="shared" si="1"/>
        <v>1</v>
      </c>
      <c r="AC76" s="103">
        <f>VLOOKUP(I76,'Assessment Details'!$L$45:$M$48,2,FALSE)</f>
        <v>4</v>
      </c>
      <c r="AD76" s="103" t="e">
        <f>VLOOKUP(N76,'Assessment Details'!$L$45:$M$48,2,FALSE)</f>
        <v>#N/A</v>
      </c>
      <c r="AE76" s="103">
        <f>VLOOKUP(T76,'Assessment Details'!$L$45:$M$48,2,FALSE)</f>
        <v>4</v>
      </c>
    </row>
    <row r="77" spans="1:31" x14ac:dyDescent="0.25">
      <c r="A77" s="399">
        <v>69</v>
      </c>
      <c r="B77" s="439" t="s">
        <v>74</v>
      </c>
      <c r="C77" s="743" t="str">
        <f>LE_04</f>
        <v>LE 04 Enhancing site ecology</v>
      </c>
      <c r="D77" s="744">
        <f>VLOOKUP($A77,'Pre-Assessment Estimator'!$A$9:$V$100,D$2,FALSE)</f>
        <v>3</v>
      </c>
      <c r="E77" s="744">
        <f>VLOOKUP($A77,'Pre-Assessment Estimator'!$A$9:$V$100,E$2,FALSE)</f>
        <v>0</v>
      </c>
      <c r="F77" s="745">
        <f>VLOOKUP($A77,'Pre-Assessment Estimator'!$A$9:$V$100,F$2,FALSE)</f>
        <v>0</v>
      </c>
      <c r="G77" s="746" t="str">
        <f>VLOOKUP($A77,'Pre-Assessment Estimator'!$A$9:$V$100,G$2,FALSE)</f>
        <v>N/A</v>
      </c>
      <c r="H77" s="747" t="str">
        <f>IF(VLOOKUP($A77,'Pre-Assessment Estimator'!$A$9:$V$100,H$2,FALSE)=0,"",VLOOKUP($A77,'Pre-Assessment Estimator'!$A$9:$V$100,H$2,FALSE))</f>
        <v/>
      </c>
      <c r="I77" s="747" t="str">
        <f>IF(VLOOKUP($A77,'Pre-Assessment Estimator'!$A$9:$V$100,I$2,FALSE)=0,"",VLOOKUP($A77,'Pre-Assessment Estimator'!$A$9:$V$100,I$2,FALSE))</f>
        <v/>
      </c>
      <c r="J77" s="748" t="str">
        <f>IF(VLOOKUP($A77,'Pre-Assessment Estimator'!$A$9:$V$100,J$2,FALSE)=0,"",VLOOKUP($A77,'Pre-Assessment Estimator'!$A$9:$V$100,J$2,FALSE))</f>
        <v/>
      </c>
      <c r="K77" s="749"/>
      <c r="L77" s="750" t="str">
        <f>IF(VLOOKUP($A77,'Pre-Assessment Estimator'!$A$9:$V$100,L$2,FALSE)=0,"",VLOOKUP($A77,'Pre-Assessment Estimator'!$A$9:$V$100,L$2,FALSE))</f>
        <v/>
      </c>
      <c r="M77" s="747" t="str">
        <f>IF(VLOOKUP($A77,'Pre-Assessment Estimator'!$A$9:$V$100,M$2,FALSE)=0,"",VLOOKUP($A77,'Pre-Assessment Estimator'!$A$9:$V$100,M$2,FALSE))</f>
        <v/>
      </c>
      <c r="N77" s="747" t="str">
        <f>IF(VLOOKUP($A77,'Pre-Assessment Estimator'!$A$9:$V$100,N$2,FALSE)=0,"",VLOOKUP($A77,'Pre-Assessment Estimator'!$A$9:$V$100,N$2,FALSE))</f>
        <v/>
      </c>
      <c r="O77" s="747" t="str">
        <f>IF(VLOOKUP($A77,'Pre-Assessment Estimator'!$A$9:$V$100,O$2,FALSE)=0,"",VLOOKUP($A77,'Pre-Assessment Estimator'!$A$9:$V$100,O$2,FALSE))</f>
        <v/>
      </c>
      <c r="P77" s="748" t="str">
        <f>IF(VLOOKUP($A77,'Pre-Assessment Estimator'!$A$9:$V$100,P$2,FALSE)=0,"",VLOOKUP($A77,'Pre-Assessment Estimator'!$A$9:$V$100,P$2,FALSE))</f>
        <v/>
      </c>
      <c r="Q77" s="751"/>
      <c r="R77" s="750" t="str">
        <f>IF(VLOOKUP($A77,'Pre-Assessment Estimator'!$A$9:$V$100,R$2,FALSE)=0,"",VLOOKUP($A77,'Pre-Assessment Estimator'!$A$9:$V$100,R$2,FALSE))</f>
        <v/>
      </c>
      <c r="S77" s="747" t="str">
        <f>IF(VLOOKUP($A77,'Pre-Assessment Estimator'!$A$9:$V$100,S$2,FALSE)=0,"",VLOOKUP($A77,'Pre-Assessment Estimator'!$A$9:$V$100,S$2,FALSE))</f>
        <v/>
      </c>
      <c r="T77" s="747" t="str">
        <f>IF(VLOOKUP($A77,'Pre-Assessment Estimator'!$A$9:$V$100,T$2,FALSE)=0,"",VLOOKUP($A77,'Pre-Assessment Estimator'!$A$9:$V$100,T$2,FALSE))</f>
        <v/>
      </c>
      <c r="U77" s="747" t="str">
        <f>IF(VLOOKUP($A77,'Pre-Assessment Estimator'!$A$9:$V$100,U$2,FALSE)=0,"",VLOOKUP($A77,'Pre-Assessment Estimator'!$A$9:$V$100,U$2,FALSE))</f>
        <v/>
      </c>
      <c r="V77" s="491" t="str">
        <f>IF(VLOOKUP($A77,'Pre-Assessment Estimator'!$A$9:$V$100,V$2,FALSE)=0,"",VLOOKUP($A77,'Pre-Assessment Estimator'!$A$9:$V$100,V$2,FALSE))</f>
        <v/>
      </c>
      <c r="W77" s="880"/>
      <c r="X77" s="747" t="str">
        <f>IF(VLOOKUP($A77,'Pre-Assessment Estimator'!$A$9:$X$100,X$2,FALSE)=0,"",VLOOKUP($A77,'Pre-Assessment Estimator'!$A$9:$X$100,X$2,FALSE))</f>
        <v>N/A</v>
      </c>
      <c r="AB77" s="519">
        <f t="shared" si="1"/>
        <v>1</v>
      </c>
      <c r="AC77" s="103" t="e">
        <f>VLOOKUP(I77,'Assessment Details'!$L$45:$M$48,2,FALSE)</f>
        <v>#N/A</v>
      </c>
      <c r="AD77" s="103" t="e">
        <f>VLOOKUP(N77,'Assessment Details'!$L$45:$M$48,2,FALSE)</f>
        <v>#N/A</v>
      </c>
      <c r="AE77" s="103" t="e">
        <f>VLOOKUP(T77,'Assessment Details'!$L$45:$M$48,2,FALSE)</f>
        <v>#N/A</v>
      </c>
    </row>
    <row r="78" spans="1:31" x14ac:dyDescent="0.25">
      <c r="A78" s="399">
        <v>70</v>
      </c>
      <c r="B78" s="439" t="s">
        <v>74</v>
      </c>
      <c r="C78" s="743" t="str">
        <f>LE_05</f>
        <v>LE 05 Long term impact on biodiversity</v>
      </c>
      <c r="D78" s="744">
        <f>VLOOKUP($A78,'Pre-Assessment Estimator'!$A$9:$V$100,D$2,FALSE)</f>
        <v>2</v>
      </c>
      <c r="E78" s="744">
        <f>VLOOKUP($A78,'Pre-Assessment Estimator'!$A$9:$V$100,E$2,FALSE)</f>
        <v>0</v>
      </c>
      <c r="F78" s="745">
        <f>VLOOKUP($A78,'Pre-Assessment Estimator'!$A$9:$V$100,F$2,FALSE)</f>
        <v>0</v>
      </c>
      <c r="G78" s="746" t="str">
        <f>VLOOKUP($A78,'Pre-Assessment Estimator'!$A$9:$V$100,G$2,FALSE)</f>
        <v>N/A</v>
      </c>
      <c r="H78" s="747" t="str">
        <f>IF(VLOOKUP($A78,'Pre-Assessment Estimator'!$A$9:$V$100,H$2,FALSE)=0,"",VLOOKUP($A78,'Pre-Assessment Estimator'!$A$9:$V$100,H$2,FALSE))</f>
        <v/>
      </c>
      <c r="I78" s="747" t="str">
        <f>IF(VLOOKUP($A78,'Pre-Assessment Estimator'!$A$9:$V$100,I$2,FALSE)=0,"",VLOOKUP($A78,'Pre-Assessment Estimator'!$A$9:$V$100,I$2,FALSE))</f>
        <v/>
      </c>
      <c r="J78" s="748" t="str">
        <f>IF(VLOOKUP($A78,'Pre-Assessment Estimator'!$A$9:$V$100,J$2,FALSE)=0,"",VLOOKUP($A78,'Pre-Assessment Estimator'!$A$9:$V$100,J$2,FALSE))</f>
        <v/>
      </c>
      <c r="K78" s="749"/>
      <c r="L78" s="750" t="str">
        <f>IF(VLOOKUP($A78,'Pre-Assessment Estimator'!$A$9:$V$100,L$2,FALSE)=0,"",VLOOKUP($A78,'Pre-Assessment Estimator'!$A$9:$V$100,L$2,FALSE))</f>
        <v/>
      </c>
      <c r="M78" s="747" t="str">
        <f>IF(VLOOKUP($A78,'Pre-Assessment Estimator'!$A$9:$V$100,M$2,FALSE)=0,"",VLOOKUP($A78,'Pre-Assessment Estimator'!$A$9:$V$100,M$2,FALSE))</f>
        <v/>
      </c>
      <c r="N78" s="747" t="str">
        <f>IF(VLOOKUP($A78,'Pre-Assessment Estimator'!$A$9:$V$100,N$2,FALSE)=0,"",VLOOKUP($A78,'Pre-Assessment Estimator'!$A$9:$V$100,N$2,FALSE))</f>
        <v/>
      </c>
      <c r="O78" s="747" t="str">
        <f>IF(VLOOKUP($A78,'Pre-Assessment Estimator'!$A$9:$V$100,O$2,FALSE)=0,"",VLOOKUP($A78,'Pre-Assessment Estimator'!$A$9:$V$100,O$2,FALSE))</f>
        <v/>
      </c>
      <c r="P78" s="748" t="str">
        <f>IF(VLOOKUP($A78,'Pre-Assessment Estimator'!$A$9:$V$100,P$2,FALSE)=0,"",VLOOKUP($A78,'Pre-Assessment Estimator'!$A$9:$V$100,P$2,FALSE))</f>
        <v/>
      </c>
      <c r="Q78" s="751"/>
      <c r="R78" s="750" t="str">
        <f>IF(VLOOKUP($A78,'Pre-Assessment Estimator'!$A$9:$V$100,R$2,FALSE)=0,"",VLOOKUP($A78,'Pre-Assessment Estimator'!$A$9:$V$100,R$2,FALSE))</f>
        <v/>
      </c>
      <c r="S78" s="747" t="str">
        <f>IF(VLOOKUP($A78,'Pre-Assessment Estimator'!$A$9:$V$100,S$2,FALSE)=0,"",VLOOKUP($A78,'Pre-Assessment Estimator'!$A$9:$V$100,S$2,FALSE))</f>
        <v/>
      </c>
      <c r="T78" s="747" t="str">
        <f>IF(VLOOKUP($A78,'Pre-Assessment Estimator'!$A$9:$V$100,T$2,FALSE)=0,"",VLOOKUP($A78,'Pre-Assessment Estimator'!$A$9:$V$100,T$2,FALSE))</f>
        <v/>
      </c>
      <c r="U78" s="747" t="str">
        <f>IF(VLOOKUP($A78,'Pre-Assessment Estimator'!$A$9:$V$100,U$2,FALSE)=0,"",VLOOKUP($A78,'Pre-Assessment Estimator'!$A$9:$V$100,U$2,FALSE))</f>
        <v/>
      </c>
      <c r="V78" s="491" t="str">
        <f>IF(VLOOKUP($A78,'Pre-Assessment Estimator'!$A$9:$V$100,V$2,FALSE)=0,"",VLOOKUP($A78,'Pre-Assessment Estimator'!$A$9:$V$100,V$2,FALSE))</f>
        <v/>
      </c>
      <c r="W78" s="880"/>
      <c r="X78" s="747" t="str">
        <f>IF(VLOOKUP($A78,'Pre-Assessment Estimator'!$A$9:$X$100,X$2,FALSE)=0,"",VLOOKUP($A78,'Pre-Assessment Estimator'!$A$9:$X$100,X$2,FALSE))</f>
        <v>N/A</v>
      </c>
      <c r="AB78" s="519">
        <f t="shared" si="1"/>
        <v>1</v>
      </c>
      <c r="AC78" s="520" t="e">
        <f>VLOOKUP(I78,'Assessment Details'!$L$45:$M$48,2,FALSE)</f>
        <v>#N/A</v>
      </c>
      <c r="AD78" s="520" t="e">
        <f>VLOOKUP(N78,'Assessment Details'!$L$45:$M$48,2,FALSE)</f>
        <v>#N/A</v>
      </c>
      <c r="AE78" s="520" t="e">
        <f>VLOOKUP(T78,'Assessment Details'!$L$45:$M$48,2,FALSE)</f>
        <v>#N/A</v>
      </c>
    </row>
    <row r="79" spans="1:31" x14ac:dyDescent="0.25">
      <c r="A79" s="399">
        <v>71</v>
      </c>
      <c r="B79" s="439" t="s">
        <v>74</v>
      </c>
      <c r="C79" s="743" t="str">
        <f>LE_06</f>
        <v>LE 06 Building footprint</v>
      </c>
      <c r="D79" s="744">
        <f>VLOOKUP($A79,'Pre-Assessment Estimator'!$A$9:$V$100,D$2,FALSE)</f>
        <v>0</v>
      </c>
      <c r="E79" s="744">
        <f>VLOOKUP($A79,'Pre-Assessment Estimator'!$A$9:$V$100,E$2,FALSE)</f>
        <v>0</v>
      </c>
      <c r="F79" s="745">
        <f>VLOOKUP($A79,'Pre-Assessment Estimator'!$A$9:$V$100,F$2,FALSE)</f>
        <v>0</v>
      </c>
      <c r="G79" s="746" t="str">
        <f>VLOOKUP($A79,'Pre-Assessment Estimator'!$A$9:$V$100,G$2,FALSE)</f>
        <v>N/A</v>
      </c>
      <c r="H79" s="747" t="str">
        <f>IF(VLOOKUP($A79,'Pre-Assessment Estimator'!$A$9:$V$100,H$2,FALSE)=0,"",VLOOKUP($A79,'Pre-Assessment Estimator'!$A$9:$V$100,H$2,FALSE))</f>
        <v/>
      </c>
      <c r="I79" s="747" t="str">
        <f>IF(VLOOKUP($A79,'Pre-Assessment Estimator'!$A$9:$V$100,I$2,FALSE)=0,"",VLOOKUP($A79,'Pre-Assessment Estimator'!$A$9:$V$100,I$2,FALSE))</f>
        <v/>
      </c>
      <c r="J79" s="748" t="str">
        <f>IF(VLOOKUP($A79,'Pre-Assessment Estimator'!$A$9:$V$100,J$2,FALSE)=0,"",VLOOKUP($A79,'Pre-Assessment Estimator'!$A$9:$V$100,J$2,FALSE))</f>
        <v/>
      </c>
      <c r="K79" s="749"/>
      <c r="L79" s="750" t="str">
        <f>IF(VLOOKUP($A79,'Pre-Assessment Estimator'!$A$9:$V$100,L$2,FALSE)=0,"",VLOOKUP($A79,'Pre-Assessment Estimator'!$A$9:$V$100,L$2,FALSE))</f>
        <v/>
      </c>
      <c r="M79" s="747" t="str">
        <f>IF(VLOOKUP($A79,'Pre-Assessment Estimator'!$A$9:$V$100,M$2,FALSE)=0,"",VLOOKUP($A79,'Pre-Assessment Estimator'!$A$9:$V$100,M$2,FALSE))</f>
        <v/>
      </c>
      <c r="N79" s="747" t="str">
        <f>IF(VLOOKUP($A79,'Pre-Assessment Estimator'!$A$9:$V$100,N$2,FALSE)=0,"",VLOOKUP($A79,'Pre-Assessment Estimator'!$A$9:$V$100,N$2,FALSE))</f>
        <v/>
      </c>
      <c r="O79" s="747" t="str">
        <f>IF(VLOOKUP($A79,'Pre-Assessment Estimator'!$A$9:$V$100,O$2,FALSE)=0,"",VLOOKUP($A79,'Pre-Assessment Estimator'!$A$9:$V$100,O$2,FALSE))</f>
        <v/>
      </c>
      <c r="P79" s="748" t="str">
        <f>IF(VLOOKUP($A79,'Pre-Assessment Estimator'!$A$9:$V$100,P$2,FALSE)=0,"",VLOOKUP($A79,'Pre-Assessment Estimator'!$A$9:$V$100,P$2,FALSE))</f>
        <v/>
      </c>
      <c r="Q79" s="751"/>
      <c r="R79" s="750" t="str">
        <f>IF(VLOOKUP($A79,'Pre-Assessment Estimator'!$A$9:$V$100,R$2,FALSE)=0,"",VLOOKUP($A79,'Pre-Assessment Estimator'!$A$9:$V$100,R$2,FALSE))</f>
        <v/>
      </c>
      <c r="S79" s="747" t="str">
        <f>IF(VLOOKUP($A79,'Pre-Assessment Estimator'!$A$9:$V$100,S$2,FALSE)=0,"",VLOOKUP($A79,'Pre-Assessment Estimator'!$A$9:$V$100,S$2,FALSE))</f>
        <v/>
      </c>
      <c r="T79" s="747" t="str">
        <f>IF(VLOOKUP($A79,'Pre-Assessment Estimator'!$A$9:$V$100,T$2,FALSE)=0,"",VLOOKUP($A79,'Pre-Assessment Estimator'!$A$9:$V$100,T$2,FALSE))</f>
        <v/>
      </c>
      <c r="U79" s="747" t="str">
        <f>IF(VLOOKUP($A79,'Pre-Assessment Estimator'!$A$9:$V$100,U$2,FALSE)=0,"",VLOOKUP($A79,'Pre-Assessment Estimator'!$A$9:$V$100,U$2,FALSE))</f>
        <v/>
      </c>
      <c r="V79" s="491" t="str">
        <f>IF(VLOOKUP($A79,'Pre-Assessment Estimator'!$A$9:$V$100,V$2,FALSE)=0,"",VLOOKUP($A79,'Pre-Assessment Estimator'!$A$9:$V$100,V$2,FALSE))</f>
        <v/>
      </c>
      <c r="W79" s="880"/>
      <c r="X79" s="747" t="str">
        <f>IF(VLOOKUP($A79,'Pre-Assessment Estimator'!$A$9:$X$100,X$2,FALSE)=0,"",VLOOKUP($A79,'Pre-Assessment Estimator'!$A$9:$X$100,X$2,FALSE))</f>
        <v>N/A</v>
      </c>
      <c r="AB79" s="519">
        <f t="shared" si="1"/>
        <v>2</v>
      </c>
      <c r="AC79" s="103" t="e">
        <f>VLOOKUP(I79,'Assessment Details'!$L$45:$M$48,2,FALSE)</f>
        <v>#N/A</v>
      </c>
      <c r="AD79" s="103" t="e">
        <f>VLOOKUP(N79,'Assessment Details'!$L$45:$M$48,2,FALSE)</f>
        <v>#N/A</v>
      </c>
      <c r="AE79" s="103" t="e">
        <f>VLOOKUP(T79,'Assessment Details'!$L$45:$M$48,2,FALSE)</f>
        <v>#N/A</v>
      </c>
    </row>
    <row r="80" spans="1:31" ht="15.75" thickBot="1" x14ac:dyDescent="0.3">
      <c r="A80" s="399">
        <v>72</v>
      </c>
      <c r="B80" s="439" t="s">
        <v>74</v>
      </c>
      <c r="C80" s="753" t="s">
        <v>114</v>
      </c>
      <c r="D80" s="754">
        <f>VLOOKUP($A80,'Pre-Assessment Estimator'!$A$9:$V$100,D$2,FALSE)</f>
        <v>10</v>
      </c>
      <c r="E80" s="754">
        <f>SUM(E75:E79)</f>
        <v>0</v>
      </c>
      <c r="F80" s="755">
        <f>VLOOKUP($A80,'Pre-Assessment Estimator'!$A$9:$V$100,F$2,FALSE)</f>
        <v>0</v>
      </c>
      <c r="G80" s="747"/>
      <c r="H80" s="747" t="str">
        <f>IF(VLOOKUP($A80,'Pre-Assessment Estimator'!$A$9:$V$100,H$2,FALSE)=0,"",VLOOKUP($A80,'Pre-Assessment Estimator'!$A$9:$V$100,H$2,FALSE))</f>
        <v/>
      </c>
      <c r="I80" s="744" t="str">
        <f>IF(VLOOKUP($A80,'Pre-Assessment Estimator'!$A$9:$V$100,I$2,FALSE)=0,"",VLOOKUP($A80,'Pre-Assessment Estimator'!$A$9:$V$100,I$2,FALSE))</f>
        <v/>
      </c>
      <c r="J80" s="748" t="str">
        <f>IF(VLOOKUP($A80,'Pre-Assessment Estimator'!$A$9:$V$100,J$2,FALSE)=0,"",VLOOKUP($A80,'Pre-Assessment Estimator'!$A$9:$V$100,J$2,FALSE))</f>
        <v/>
      </c>
      <c r="K80" s="749"/>
      <c r="L80" s="756" t="str">
        <f>IF(VLOOKUP($A80,'Pre-Assessment Estimator'!$A$9:$V$100,L$2,FALSE)=0,"",VLOOKUP($A80,'Pre-Assessment Estimator'!$A$9:$V$100,L$2,FALSE))</f>
        <v/>
      </c>
      <c r="M80" s="747" t="str">
        <f>IF(VLOOKUP($A80,'Pre-Assessment Estimator'!$A$9:$V$100,M$2,FALSE)=0,"",VLOOKUP($A80,'Pre-Assessment Estimator'!$A$9:$V$100,M$2,FALSE))</f>
        <v/>
      </c>
      <c r="N80" s="744" t="str">
        <f>IF(VLOOKUP($A80,'Pre-Assessment Estimator'!$A$9:$V$100,N$2,FALSE)=0,"",VLOOKUP($A80,'Pre-Assessment Estimator'!$A$9:$V$100,N$2,FALSE))</f>
        <v/>
      </c>
      <c r="O80" s="747" t="str">
        <f>IF(VLOOKUP($A80,'Pre-Assessment Estimator'!$A$9:$V$100,O$2,FALSE)=0,"",VLOOKUP($A80,'Pre-Assessment Estimator'!$A$9:$V$100,O$2,FALSE))</f>
        <v/>
      </c>
      <c r="P80" s="748" t="str">
        <f>IF(VLOOKUP($A80,'Pre-Assessment Estimator'!$A$9:$V$100,P$2,FALSE)=0,"",VLOOKUP($A80,'Pre-Assessment Estimator'!$A$9:$V$100,P$2,FALSE))</f>
        <v/>
      </c>
      <c r="Q80" s="751"/>
      <c r="R80" s="756" t="str">
        <f>IF(VLOOKUP($A80,'Pre-Assessment Estimator'!$A$9:$V$100,R$2,FALSE)=0,"",VLOOKUP($A80,'Pre-Assessment Estimator'!$A$9:$V$100,R$2,FALSE))</f>
        <v/>
      </c>
      <c r="S80" s="747" t="str">
        <f>IF(VLOOKUP($A80,'Pre-Assessment Estimator'!$A$9:$V$100,S$2,FALSE)=0,"",VLOOKUP($A80,'Pre-Assessment Estimator'!$A$9:$V$100,S$2,FALSE))</f>
        <v/>
      </c>
      <c r="T80" s="744" t="str">
        <f>IF(VLOOKUP($A80,'Pre-Assessment Estimator'!$A$9:$V$100,T$2,FALSE)=0,"",VLOOKUP($A80,'Pre-Assessment Estimator'!$A$9:$V$100,T$2,FALSE))</f>
        <v/>
      </c>
      <c r="U80" s="747" t="str">
        <f>IF(VLOOKUP($A80,'Pre-Assessment Estimator'!$A$9:$V$100,U$2,FALSE)=0,"",VLOOKUP($A80,'Pre-Assessment Estimator'!$A$9:$V$100,U$2,FALSE))</f>
        <v/>
      </c>
      <c r="V80" s="491" t="str">
        <f>IF(VLOOKUP($A80,'Pre-Assessment Estimator'!$A$9:$V$100,V$2,FALSE)=0,"",VLOOKUP($A80,'Pre-Assessment Estimator'!$A$9:$V$100,V$2,FALSE))</f>
        <v/>
      </c>
      <c r="W80" s="880"/>
      <c r="X80" s="747" t="str">
        <f>IF(VLOOKUP($A80,'Pre-Assessment Estimator'!$A$9:$X$100,X$2,FALSE)=0,"",VLOOKUP($A80,'Pre-Assessment Estimator'!$A$9:$X$100,X$2,FALSE))</f>
        <v/>
      </c>
      <c r="AB80" s="519">
        <f t="shared" si="1"/>
        <v>1</v>
      </c>
      <c r="AC80" s="333">
        <v>0</v>
      </c>
      <c r="AD80" s="333">
        <v>0</v>
      </c>
      <c r="AE80" s="333">
        <v>0</v>
      </c>
    </row>
    <row r="81" spans="1:31" x14ac:dyDescent="0.25">
      <c r="A81" s="399">
        <v>73</v>
      </c>
      <c r="B81" s="439" t="s">
        <v>74</v>
      </c>
      <c r="C81" s="757"/>
      <c r="D81" s="758"/>
      <c r="E81" s="758"/>
      <c r="F81" s="758"/>
      <c r="G81" s="758"/>
      <c r="H81" s="757"/>
      <c r="I81" s="758"/>
      <c r="J81" s="757"/>
      <c r="K81" s="749"/>
      <c r="L81" s="758"/>
      <c r="M81" s="757"/>
      <c r="N81" s="758"/>
      <c r="O81" s="757"/>
      <c r="P81" s="757"/>
      <c r="Q81" s="751"/>
      <c r="R81" s="758"/>
      <c r="S81" s="757"/>
      <c r="T81" s="758"/>
      <c r="U81" s="757"/>
      <c r="V81" s="440"/>
      <c r="W81" s="881"/>
      <c r="X81" s="757" t="str">
        <f>IF(VLOOKUP($A81,'Pre-Assessment Estimator'!$A$9:$X$100,X$2,FALSE)=0,"",VLOOKUP($A81,'Pre-Assessment Estimator'!$A$9:$X$100,X$2,FALSE))</f>
        <v/>
      </c>
      <c r="Y81" s="522"/>
      <c r="Z81" s="522"/>
      <c r="AA81" s="522"/>
      <c r="AB81" s="519">
        <f t="shared" si="1"/>
        <v>1</v>
      </c>
      <c r="AC81" s="335">
        <v>0</v>
      </c>
      <c r="AD81" s="335">
        <v>0</v>
      </c>
      <c r="AE81" s="335">
        <v>0</v>
      </c>
    </row>
    <row r="82" spans="1:31" ht="18.75" x14ac:dyDescent="0.25">
      <c r="A82" s="399">
        <v>74</v>
      </c>
      <c r="B82" s="439" t="s">
        <v>75</v>
      </c>
      <c r="C82" s="759" t="s">
        <v>75</v>
      </c>
      <c r="D82" s="739"/>
      <c r="E82" s="739"/>
      <c r="F82" s="739"/>
      <c r="G82" s="739"/>
      <c r="H82" s="740"/>
      <c r="I82" s="739"/>
      <c r="J82" s="740"/>
      <c r="K82" s="749"/>
      <c r="L82" s="739"/>
      <c r="M82" s="740"/>
      <c r="N82" s="739"/>
      <c r="O82" s="740"/>
      <c r="P82" s="740"/>
      <c r="Q82" s="751"/>
      <c r="R82" s="739"/>
      <c r="S82" s="740"/>
      <c r="T82" s="739"/>
      <c r="U82" s="740"/>
      <c r="V82" s="544"/>
      <c r="W82" s="879"/>
      <c r="X82" s="883" t="str">
        <f>IF(VLOOKUP($A82,'Pre-Assessment Estimator'!$A$9:$X$100,X$2,FALSE)=0,"",VLOOKUP($A82,'Pre-Assessment Estimator'!$A$9:$X$100,X$2,FALSE))</f>
        <v/>
      </c>
      <c r="AB82" s="519">
        <f t="shared" si="1"/>
        <v>1</v>
      </c>
      <c r="AC82" s="331">
        <v>0</v>
      </c>
      <c r="AD82" s="331">
        <v>0</v>
      </c>
      <c r="AE82" s="331">
        <v>0</v>
      </c>
    </row>
    <row r="83" spans="1:31" x14ac:dyDescent="0.25">
      <c r="A83" s="399">
        <v>75</v>
      </c>
      <c r="B83" s="439" t="s">
        <v>75</v>
      </c>
      <c r="C83" s="743" t="str">
        <f>Pol_01</f>
        <v>POL 01 Impacts of refrigerants</v>
      </c>
      <c r="D83" s="744">
        <f>VLOOKUP($A83,'Pre-Assessment Estimator'!$A$9:$V$100,D$2,FALSE)</f>
        <v>3</v>
      </c>
      <c r="E83" s="744">
        <f>VLOOKUP($A83,'Pre-Assessment Estimator'!$A$9:$V$100,E$2,FALSE)</f>
        <v>0</v>
      </c>
      <c r="F83" s="745">
        <f>VLOOKUP($A83,'Pre-Assessment Estimator'!$A$9:$V$100,F$2,FALSE)</f>
        <v>0</v>
      </c>
      <c r="G83" s="746" t="str">
        <f>VLOOKUP($A83,'Pre-Assessment Estimator'!$A$9:$V$100,G$2,FALSE)</f>
        <v>N/A</v>
      </c>
      <c r="H83" s="747" t="str">
        <f>IF(VLOOKUP($A83,'Pre-Assessment Estimator'!$A$9:$V$100,H$2,FALSE)=0,"",VLOOKUP($A83,'Pre-Assessment Estimator'!$A$9:$V$100,H$2,FALSE))</f>
        <v/>
      </c>
      <c r="I83" s="747" t="str">
        <f>IF(VLOOKUP($A83,'Pre-Assessment Estimator'!$A$9:$V$100,I$2,FALSE)=0,"",VLOOKUP($A83,'Pre-Assessment Estimator'!$A$9:$V$100,I$2,FALSE))</f>
        <v/>
      </c>
      <c r="J83" s="748" t="str">
        <f>IF(VLOOKUP($A83,'Pre-Assessment Estimator'!$A$9:$V$100,J$2,FALSE)=0,"",VLOOKUP($A83,'Pre-Assessment Estimator'!$A$9:$V$100,J$2,FALSE))</f>
        <v/>
      </c>
      <c r="K83" s="749"/>
      <c r="L83" s="750" t="str">
        <f>IF(VLOOKUP($A83,'Pre-Assessment Estimator'!$A$9:$V$100,L$2,FALSE)=0,"",VLOOKUP($A83,'Pre-Assessment Estimator'!$A$9:$V$100,L$2,FALSE))</f>
        <v/>
      </c>
      <c r="M83" s="747" t="str">
        <f>IF(VLOOKUP($A83,'Pre-Assessment Estimator'!$A$9:$V$100,M$2,FALSE)=0,"",VLOOKUP($A83,'Pre-Assessment Estimator'!$A$9:$V$100,M$2,FALSE))</f>
        <v/>
      </c>
      <c r="N83" s="747" t="str">
        <f>IF(VLOOKUP($A83,'Pre-Assessment Estimator'!$A$9:$V$100,N$2,FALSE)=0,"",VLOOKUP($A83,'Pre-Assessment Estimator'!$A$9:$V$100,N$2,FALSE))</f>
        <v/>
      </c>
      <c r="O83" s="747" t="str">
        <f>IF(VLOOKUP($A83,'Pre-Assessment Estimator'!$A$9:$V$100,O$2,FALSE)=0,"",VLOOKUP($A83,'Pre-Assessment Estimator'!$A$9:$V$100,O$2,FALSE))</f>
        <v/>
      </c>
      <c r="P83" s="748" t="str">
        <f>IF(VLOOKUP($A83,'Pre-Assessment Estimator'!$A$9:$V$100,P$2,FALSE)=0,"",VLOOKUP($A83,'Pre-Assessment Estimator'!$A$9:$V$100,P$2,FALSE))</f>
        <v/>
      </c>
      <c r="Q83" s="751"/>
      <c r="R83" s="750" t="str">
        <f>IF(VLOOKUP($A83,'Pre-Assessment Estimator'!$A$9:$V$100,R$2,FALSE)=0,"",VLOOKUP($A83,'Pre-Assessment Estimator'!$A$9:$V$100,R$2,FALSE))</f>
        <v/>
      </c>
      <c r="S83" s="747" t="str">
        <f>IF(VLOOKUP($A83,'Pre-Assessment Estimator'!$A$9:$V$100,S$2,FALSE)=0,"",VLOOKUP($A83,'Pre-Assessment Estimator'!$A$9:$V$100,S$2,FALSE))</f>
        <v/>
      </c>
      <c r="T83" s="747" t="str">
        <f>IF(VLOOKUP($A83,'Pre-Assessment Estimator'!$A$9:$V$100,T$2,FALSE)=0,"",VLOOKUP($A83,'Pre-Assessment Estimator'!$A$9:$V$100,T$2,FALSE))</f>
        <v/>
      </c>
      <c r="U83" s="747" t="str">
        <f>IF(VLOOKUP($A83,'Pre-Assessment Estimator'!$A$9:$V$100,U$2,FALSE)=0,"",VLOOKUP($A83,'Pre-Assessment Estimator'!$A$9:$V$100,U$2,FALSE))</f>
        <v/>
      </c>
      <c r="V83" s="491" t="str">
        <f>IF(VLOOKUP($A83,'Pre-Assessment Estimator'!$A$9:$V$100,V$2,FALSE)=0,"",VLOOKUP($A83,'Pre-Assessment Estimator'!$A$9:$V$100,V$2,FALSE))</f>
        <v/>
      </c>
      <c r="W83" s="880"/>
      <c r="X83" s="747" t="str">
        <f>IF(VLOOKUP($A83,'Pre-Assessment Estimator'!$A$9:$X$100,X$2,FALSE)=0,"",VLOOKUP($A83,'Pre-Assessment Estimator'!$A$9:$X$100,X$2,FALSE))</f>
        <v>No</v>
      </c>
      <c r="AB83" s="519">
        <f t="shared" si="1"/>
        <v>1</v>
      </c>
      <c r="AC83" s="103" t="e">
        <f>VLOOKUP(I83,'Assessment Details'!$L$45:$M$48,2,FALSE)</f>
        <v>#N/A</v>
      </c>
      <c r="AD83" s="103" t="e">
        <f>VLOOKUP(N83,'Assessment Details'!$L$45:$M$48,2,FALSE)</f>
        <v>#N/A</v>
      </c>
      <c r="AE83" s="103" t="e">
        <f>VLOOKUP(T83,'Assessment Details'!$L$45:$M$48,2,FALSE)</f>
        <v>#N/A</v>
      </c>
    </row>
    <row r="84" spans="1:31" x14ac:dyDescent="0.25">
      <c r="A84" s="399">
        <v>76</v>
      </c>
      <c r="B84" s="439" t="s">
        <v>75</v>
      </c>
      <c r="C84" s="743" t="str">
        <f>Pol_02</f>
        <v>POL 02 NOx emissions</v>
      </c>
      <c r="D84" s="744">
        <f>VLOOKUP($A84,'Pre-Assessment Estimator'!$A$9:$V$100,D$2,FALSE)</f>
        <v>3</v>
      </c>
      <c r="E84" s="744">
        <f>VLOOKUP($A84,'Pre-Assessment Estimator'!$A$9:$V$100,E$2,FALSE)</f>
        <v>0</v>
      </c>
      <c r="F84" s="745">
        <f>VLOOKUP($A84,'Pre-Assessment Estimator'!$A$9:$V$100,F$2,FALSE)</f>
        <v>0</v>
      </c>
      <c r="G84" s="746" t="str">
        <f>VLOOKUP($A84,'Pre-Assessment Estimator'!$A$9:$V$100,G$2,FALSE)</f>
        <v>N/A</v>
      </c>
      <c r="H84" s="747" t="str">
        <f>IF(VLOOKUP($A84,'Pre-Assessment Estimator'!$A$9:$V$100,H$2,FALSE)=0,"",VLOOKUP($A84,'Pre-Assessment Estimator'!$A$9:$V$100,H$2,FALSE))</f>
        <v/>
      </c>
      <c r="I84" s="747" t="str">
        <f>IF(VLOOKUP($A84,'Pre-Assessment Estimator'!$A$9:$V$100,I$2,FALSE)=0,"",VLOOKUP($A84,'Pre-Assessment Estimator'!$A$9:$V$100,I$2,FALSE))</f>
        <v/>
      </c>
      <c r="J84" s="748" t="str">
        <f>IF(VLOOKUP($A84,'Pre-Assessment Estimator'!$A$9:$V$100,J$2,FALSE)=0,"",VLOOKUP($A84,'Pre-Assessment Estimator'!$A$9:$V$100,J$2,FALSE))</f>
        <v/>
      </c>
      <c r="K84" s="749"/>
      <c r="L84" s="750" t="str">
        <f>IF(VLOOKUP($A84,'Pre-Assessment Estimator'!$A$9:$V$100,L$2,FALSE)=0,"",VLOOKUP($A84,'Pre-Assessment Estimator'!$A$9:$V$100,L$2,FALSE))</f>
        <v/>
      </c>
      <c r="M84" s="747" t="str">
        <f>IF(VLOOKUP($A84,'Pre-Assessment Estimator'!$A$9:$V$100,M$2,FALSE)=0,"",VLOOKUP($A84,'Pre-Assessment Estimator'!$A$9:$V$100,M$2,FALSE))</f>
        <v/>
      </c>
      <c r="N84" s="747" t="str">
        <f>IF(VLOOKUP($A84,'Pre-Assessment Estimator'!$A$9:$V$100,N$2,FALSE)=0,"",VLOOKUP($A84,'Pre-Assessment Estimator'!$A$9:$V$100,N$2,FALSE))</f>
        <v/>
      </c>
      <c r="O84" s="747" t="str">
        <f>IF(VLOOKUP($A84,'Pre-Assessment Estimator'!$A$9:$V$100,O$2,FALSE)=0,"",VLOOKUP($A84,'Pre-Assessment Estimator'!$A$9:$V$100,O$2,FALSE))</f>
        <v/>
      </c>
      <c r="P84" s="748" t="str">
        <f>IF(VLOOKUP($A84,'Pre-Assessment Estimator'!$A$9:$V$100,P$2,FALSE)=0,"",VLOOKUP($A84,'Pre-Assessment Estimator'!$A$9:$V$100,P$2,FALSE))</f>
        <v/>
      </c>
      <c r="Q84" s="751"/>
      <c r="R84" s="750" t="str">
        <f>IF(VLOOKUP($A84,'Pre-Assessment Estimator'!$A$9:$V$100,R$2,FALSE)=0,"",VLOOKUP($A84,'Pre-Assessment Estimator'!$A$9:$V$100,R$2,FALSE))</f>
        <v/>
      </c>
      <c r="S84" s="747" t="str">
        <f>IF(VLOOKUP($A84,'Pre-Assessment Estimator'!$A$9:$V$100,S$2,FALSE)=0,"",VLOOKUP($A84,'Pre-Assessment Estimator'!$A$9:$V$100,S$2,FALSE))</f>
        <v/>
      </c>
      <c r="T84" s="747" t="str">
        <f>IF(VLOOKUP($A84,'Pre-Assessment Estimator'!$A$9:$V$100,T$2,FALSE)=0,"",VLOOKUP($A84,'Pre-Assessment Estimator'!$A$9:$V$100,T$2,FALSE))</f>
        <v/>
      </c>
      <c r="U84" s="747" t="str">
        <f>IF(VLOOKUP($A84,'Pre-Assessment Estimator'!$A$9:$V$100,U$2,FALSE)=0,"",VLOOKUP($A84,'Pre-Assessment Estimator'!$A$9:$V$100,U$2,FALSE))</f>
        <v/>
      </c>
      <c r="V84" s="491" t="str">
        <f>IF(VLOOKUP($A84,'Pre-Assessment Estimator'!$A$9:$V$100,V$2,FALSE)=0,"",VLOOKUP($A84,'Pre-Assessment Estimator'!$A$9:$V$100,V$2,FALSE))</f>
        <v/>
      </c>
      <c r="W84" s="880"/>
      <c r="X84" s="747" t="str">
        <f>IF(VLOOKUP($A84,'Pre-Assessment Estimator'!$A$9:$X$100,X$2,FALSE)=0,"",VLOOKUP($A84,'Pre-Assessment Estimator'!$A$9:$X$100,X$2,FALSE))</f>
        <v>No</v>
      </c>
      <c r="AB84" s="519">
        <f t="shared" si="1"/>
        <v>1</v>
      </c>
      <c r="AC84" s="103" t="e">
        <f>VLOOKUP(I84,'Assessment Details'!$L$45:$M$48,2,FALSE)</f>
        <v>#N/A</v>
      </c>
      <c r="AD84" s="103" t="e">
        <f>VLOOKUP(N84,'Assessment Details'!$L$45:$M$48,2,FALSE)</f>
        <v>#N/A</v>
      </c>
      <c r="AE84" s="103" t="e">
        <f>VLOOKUP(T84,'Assessment Details'!$L$45:$M$48,2,FALSE)</f>
        <v>#N/A</v>
      </c>
    </row>
    <row r="85" spans="1:31" x14ac:dyDescent="0.25">
      <c r="A85" s="399">
        <v>77</v>
      </c>
      <c r="B85" s="439" t="s">
        <v>75</v>
      </c>
      <c r="C85" s="743" t="str">
        <f>Pol_03</f>
        <v>POL 03 Surface water run-off</v>
      </c>
      <c r="D85" s="744">
        <f>VLOOKUP($A85,'Pre-Assessment Estimator'!$A$9:$V$100,D$2,FALSE)</f>
        <v>5</v>
      </c>
      <c r="E85" s="744">
        <f>VLOOKUP($A85,'Pre-Assessment Estimator'!$A$9:$V$100,E$2,FALSE)</f>
        <v>0</v>
      </c>
      <c r="F85" s="745">
        <f>VLOOKUP($A85,'Pre-Assessment Estimator'!$A$9:$V$100,F$2,FALSE)</f>
        <v>0</v>
      </c>
      <c r="G85" s="746" t="str">
        <f>VLOOKUP($A85,'Pre-Assessment Estimator'!$A$9:$V$100,G$2,FALSE)</f>
        <v>N/A</v>
      </c>
      <c r="H85" s="747" t="str">
        <f>IF(VLOOKUP($A85,'Pre-Assessment Estimator'!$A$9:$V$100,H$2,FALSE)=0,"",VLOOKUP($A85,'Pre-Assessment Estimator'!$A$9:$V$100,H$2,FALSE))</f>
        <v/>
      </c>
      <c r="I85" s="747" t="str">
        <f>IF(VLOOKUP($A85,'Pre-Assessment Estimator'!$A$9:$V$100,I$2,FALSE)=0,"",VLOOKUP($A85,'Pre-Assessment Estimator'!$A$9:$V$100,I$2,FALSE))</f>
        <v/>
      </c>
      <c r="J85" s="748" t="str">
        <f>IF(VLOOKUP($A85,'Pre-Assessment Estimator'!$A$9:$V$100,J$2,FALSE)=0,"",VLOOKUP($A85,'Pre-Assessment Estimator'!$A$9:$V$100,J$2,FALSE))</f>
        <v/>
      </c>
      <c r="K85" s="749"/>
      <c r="L85" s="750" t="str">
        <f>IF(VLOOKUP($A85,'Pre-Assessment Estimator'!$A$9:$V$100,L$2,FALSE)=0,"",VLOOKUP($A85,'Pre-Assessment Estimator'!$A$9:$V$100,L$2,FALSE))</f>
        <v/>
      </c>
      <c r="M85" s="747" t="str">
        <f>IF(VLOOKUP($A85,'Pre-Assessment Estimator'!$A$9:$V$100,M$2,FALSE)=0,"",VLOOKUP($A85,'Pre-Assessment Estimator'!$A$9:$V$100,M$2,FALSE))</f>
        <v/>
      </c>
      <c r="N85" s="747" t="str">
        <f>IF(VLOOKUP($A85,'Pre-Assessment Estimator'!$A$9:$V$100,N$2,FALSE)=0,"",VLOOKUP($A85,'Pre-Assessment Estimator'!$A$9:$V$100,N$2,FALSE))</f>
        <v/>
      </c>
      <c r="O85" s="747" t="str">
        <f>IF(VLOOKUP($A85,'Pre-Assessment Estimator'!$A$9:$V$100,O$2,FALSE)=0,"",VLOOKUP($A85,'Pre-Assessment Estimator'!$A$9:$V$100,O$2,FALSE))</f>
        <v/>
      </c>
      <c r="P85" s="748" t="str">
        <f>IF(VLOOKUP($A85,'Pre-Assessment Estimator'!$A$9:$V$100,P$2,FALSE)=0,"",VLOOKUP($A85,'Pre-Assessment Estimator'!$A$9:$V$100,P$2,FALSE))</f>
        <v/>
      </c>
      <c r="Q85" s="751"/>
      <c r="R85" s="750" t="str">
        <f>IF(VLOOKUP($A85,'Pre-Assessment Estimator'!$A$9:$V$100,R$2,FALSE)=0,"",VLOOKUP($A85,'Pre-Assessment Estimator'!$A$9:$V$100,R$2,FALSE))</f>
        <v/>
      </c>
      <c r="S85" s="747" t="str">
        <f>IF(VLOOKUP($A85,'Pre-Assessment Estimator'!$A$9:$V$100,S$2,FALSE)=0,"",VLOOKUP($A85,'Pre-Assessment Estimator'!$A$9:$V$100,S$2,FALSE))</f>
        <v/>
      </c>
      <c r="T85" s="747" t="str">
        <f>IF(VLOOKUP($A85,'Pre-Assessment Estimator'!$A$9:$V$100,T$2,FALSE)=0,"",VLOOKUP($A85,'Pre-Assessment Estimator'!$A$9:$V$100,T$2,FALSE))</f>
        <v/>
      </c>
      <c r="U85" s="747" t="str">
        <f>IF(VLOOKUP($A85,'Pre-Assessment Estimator'!$A$9:$V$100,U$2,FALSE)=0,"",VLOOKUP($A85,'Pre-Assessment Estimator'!$A$9:$V$100,U$2,FALSE))</f>
        <v/>
      </c>
      <c r="V85" s="491" t="str">
        <f>IF(VLOOKUP($A85,'Pre-Assessment Estimator'!$A$9:$V$100,V$2,FALSE)=0,"",VLOOKUP($A85,'Pre-Assessment Estimator'!$A$9:$V$100,V$2,FALSE))</f>
        <v/>
      </c>
      <c r="W85" s="880"/>
      <c r="X85" s="747" t="str">
        <f>IF(VLOOKUP($A85,'Pre-Assessment Estimator'!$A$9:$X$100,X$2,FALSE)=0,"",VLOOKUP($A85,'Pre-Assessment Estimator'!$A$9:$X$100,X$2,FALSE))</f>
        <v>N/A</v>
      </c>
      <c r="AB85" s="519">
        <f t="shared" si="1"/>
        <v>1</v>
      </c>
      <c r="AC85" s="103" t="e">
        <f>VLOOKUP(I85,'Assessment Details'!$L$45:$M$48,2,FALSE)</f>
        <v>#N/A</v>
      </c>
      <c r="AD85" s="103" t="e">
        <f>VLOOKUP(N85,'Assessment Details'!$L$45:$M$48,2,FALSE)</f>
        <v>#N/A</v>
      </c>
      <c r="AE85" s="103" t="e">
        <f>VLOOKUP(T85,'Assessment Details'!$L$45:$M$48,2,FALSE)</f>
        <v>#N/A</v>
      </c>
    </row>
    <row r="86" spans="1:31" ht="30" x14ac:dyDescent="0.25">
      <c r="A86" s="399">
        <v>78</v>
      </c>
      <c r="B86" s="439" t="s">
        <v>75</v>
      </c>
      <c r="C86" s="743" t="str">
        <f>Pol_04</f>
        <v>POL 04 Reduction of night time light pollution</v>
      </c>
      <c r="D86" s="744">
        <f>VLOOKUP($A86,'Pre-Assessment Estimator'!$A$9:$V$100,D$2,FALSE)</f>
        <v>1</v>
      </c>
      <c r="E86" s="744">
        <f>VLOOKUP($A86,'Pre-Assessment Estimator'!$A$9:$V$100,E$2,FALSE)</f>
        <v>0</v>
      </c>
      <c r="F86" s="745">
        <f>VLOOKUP($A86,'Pre-Assessment Estimator'!$A$9:$V$100,F$2,FALSE)</f>
        <v>0</v>
      </c>
      <c r="G86" s="746" t="str">
        <f>VLOOKUP($A86,'Pre-Assessment Estimator'!$A$9:$V$100,G$2,FALSE)</f>
        <v>N/A</v>
      </c>
      <c r="H86" s="747" t="str">
        <f>IF(VLOOKUP($A86,'Pre-Assessment Estimator'!$A$9:$V$100,H$2,FALSE)=0,"",VLOOKUP($A86,'Pre-Assessment Estimator'!$A$9:$V$100,H$2,FALSE))</f>
        <v/>
      </c>
      <c r="I86" s="747" t="str">
        <f>IF(VLOOKUP($A86,'Pre-Assessment Estimator'!$A$9:$V$100,I$2,FALSE)=0,"",VLOOKUP($A86,'Pre-Assessment Estimator'!$A$9:$V$100,I$2,FALSE))</f>
        <v/>
      </c>
      <c r="J86" s="748" t="str">
        <f>IF(VLOOKUP($A86,'Pre-Assessment Estimator'!$A$9:$V$100,J$2,FALSE)=0,"",VLOOKUP($A86,'Pre-Assessment Estimator'!$A$9:$V$100,J$2,FALSE))</f>
        <v/>
      </c>
      <c r="K86" s="749"/>
      <c r="L86" s="750" t="str">
        <f>IF(VLOOKUP($A86,'Pre-Assessment Estimator'!$A$9:$V$100,L$2,FALSE)=0,"",VLOOKUP($A86,'Pre-Assessment Estimator'!$A$9:$V$100,L$2,FALSE))</f>
        <v/>
      </c>
      <c r="M86" s="747" t="str">
        <f>IF(VLOOKUP($A86,'Pre-Assessment Estimator'!$A$9:$V$100,M$2,FALSE)=0,"",VLOOKUP($A86,'Pre-Assessment Estimator'!$A$9:$V$100,M$2,FALSE))</f>
        <v/>
      </c>
      <c r="N86" s="747" t="str">
        <f>IF(VLOOKUP($A86,'Pre-Assessment Estimator'!$A$9:$V$100,N$2,FALSE)=0,"",VLOOKUP($A86,'Pre-Assessment Estimator'!$A$9:$V$100,N$2,FALSE))</f>
        <v/>
      </c>
      <c r="O86" s="747" t="str">
        <f>IF(VLOOKUP($A86,'Pre-Assessment Estimator'!$A$9:$V$100,O$2,FALSE)=0,"",VLOOKUP($A86,'Pre-Assessment Estimator'!$A$9:$V$100,O$2,FALSE))</f>
        <v/>
      </c>
      <c r="P86" s="748" t="str">
        <f>IF(VLOOKUP($A86,'Pre-Assessment Estimator'!$A$9:$V$100,P$2,FALSE)=0,"",VLOOKUP($A86,'Pre-Assessment Estimator'!$A$9:$V$100,P$2,FALSE))</f>
        <v/>
      </c>
      <c r="Q86" s="751"/>
      <c r="R86" s="750" t="str">
        <f>IF(VLOOKUP($A86,'Pre-Assessment Estimator'!$A$9:$V$100,R$2,FALSE)=0,"",VLOOKUP($A86,'Pre-Assessment Estimator'!$A$9:$V$100,R$2,FALSE))</f>
        <v/>
      </c>
      <c r="S86" s="747" t="str">
        <f>IF(VLOOKUP($A86,'Pre-Assessment Estimator'!$A$9:$V$100,S$2,FALSE)=0,"",VLOOKUP($A86,'Pre-Assessment Estimator'!$A$9:$V$100,S$2,FALSE))</f>
        <v/>
      </c>
      <c r="T86" s="747" t="str">
        <f>IF(VLOOKUP($A86,'Pre-Assessment Estimator'!$A$9:$V$100,T$2,FALSE)=0,"",VLOOKUP($A86,'Pre-Assessment Estimator'!$A$9:$V$100,T$2,FALSE))</f>
        <v/>
      </c>
      <c r="U86" s="747" t="str">
        <f>IF(VLOOKUP($A86,'Pre-Assessment Estimator'!$A$9:$V$100,U$2,FALSE)=0,"",VLOOKUP($A86,'Pre-Assessment Estimator'!$A$9:$V$100,U$2,FALSE))</f>
        <v/>
      </c>
      <c r="V86" s="491" t="str">
        <f>IF(VLOOKUP($A86,'Pre-Assessment Estimator'!$A$9:$V$100,V$2,FALSE)=0,"",VLOOKUP($A86,'Pre-Assessment Estimator'!$A$9:$V$100,V$2,FALSE))</f>
        <v/>
      </c>
      <c r="W86" s="880"/>
      <c r="X86" s="747" t="str">
        <f>IF(VLOOKUP($A86,'Pre-Assessment Estimator'!$A$9:$X$100,X$2,FALSE)=0,"",VLOOKUP($A86,'Pre-Assessment Estimator'!$A$9:$X$100,X$2,FALSE))</f>
        <v>No</v>
      </c>
      <c r="AB86" s="519">
        <f t="shared" si="1"/>
        <v>1</v>
      </c>
      <c r="AC86" s="520" t="e">
        <f>VLOOKUP(I86,'Assessment Details'!$L$45:$M$48,2,FALSE)</f>
        <v>#N/A</v>
      </c>
      <c r="AD86" s="520" t="e">
        <f>VLOOKUP(N86,'Assessment Details'!$L$45:$M$48,2,FALSE)</f>
        <v>#N/A</v>
      </c>
      <c r="AE86" s="520" t="e">
        <f>VLOOKUP(T86,'Assessment Details'!$L$45:$M$48,2,FALSE)</f>
        <v>#N/A</v>
      </c>
    </row>
    <row r="87" spans="1:31" x14ac:dyDescent="0.25">
      <c r="A87" s="399">
        <v>79</v>
      </c>
      <c r="B87" s="439" t="s">
        <v>75</v>
      </c>
      <c r="C87" s="743" t="str">
        <f>Pol_05</f>
        <v>POL 05 Noise attenuation</v>
      </c>
      <c r="D87" s="744">
        <f>VLOOKUP($A87,'Pre-Assessment Estimator'!$A$9:$V$100,D$2,FALSE)</f>
        <v>1</v>
      </c>
      <c r="E87" s="744">
        <f>VLOOKUP($A87,'Pre-Assessment Estimator'!$A$9:$V$100,E$2,FALSE)</f>
        <v>0</v>
      </c>
      <c r="F87" s="745">
        <f>VLOOKUP($A87,'Pre-Assessment Estimator'!$A$9:$V$100,F$2,FALSE)</f>
        <v>0</v>
      </c>
      <c r="G87" s="746" t="str">
        <f>VLOOKUP($A87,'Pre-Assessment Estimator'!$A$9:$V$100,G$2,FALSE)</f>
        <v>N/A</v>
      </c>
      <c r="H87" s="747" t="str">
        <f>IF(VLOOKUP($A87,'Pre-Assessment Estimator'!$A$9:$V$100,H$2,FALSE)=0,"",VLOOKUP($A87,'Pre-Assessment Estimator'!$A$9:$V$100,H$2,FALSE))</f>
        <v/>
      </c>
      <c r="I87" s="747" t="str">
        <f>IF(VLOOKUP($A87,'Pre-Assessment Estimator'!$A$9:$V$100,I$2,FALSE)=0,"",VLOOKUP($A87,'Pre-Assessment Estimator'!$A$9:$V$100,I$2,FALSE))</f>
        <v/>
      </c>
      <c r="J87" s="748" t="str">
        <f>IF(VLOOKUP($A87,'Pre-Assessment Estimator'!$A$9:$V$100,J$2,FALSE)=0,"",VLOOKUP($A87,'Pre-Assessment Estimator'!$A$9:$V$100,J$2,FALSE))</f>
        <v/>
      </c>
      <c r="K87" s="749"/>
      <c r="L87" s="750" t="str">
        <f>IF(VLOOKUP($A87,'Pre-Assessment Estimator'!$A$9:$V$100,L$2,FALSE)=0,"",VLOOKUP($A87,'Pre-Assessment Estimator'!$A$9:$V$100,L$2,FALSE))</f>
        <v/>
      </c>
      <c r="M87" s="747" t="str">
        <f>IF(VLOOKUP($A87,'Pre-Assessment Estimator'!$A$9:$V$100,M$2,FALSE)=0,"",VLOOKUP($A87,'Pre-Assessment Estimator'!$A$9:$V$100,M$2,FALSE))</f>
        <v/>
      </c>
      <c r="N87" s="747" t="str">
        <f>IF(VLOOKUP($A87,'Pre-Assessment Estimator'!$A$9:$V$100,N$2,FALSE)=0,"",VLOOKUP($A87,'Pre-Assessment Estimator'!$A$9:$V$100,N$2,FALSE))</f>
        <v/>
      </c>
      <c r="O87" s="747" t="str">
        <f>IF(VLOOKUP($A87,'Pre-Assessment Estimator'!$A$9:$V$100,O$2,FALSE)=0,"",VLOOKUP($A87,'Pre-Assessment Estimator'!$A$9:$V$100,O$2,FALSE))</f>
        <v/>
      </c>
      <c r="P87" s="748" t="str">
        <f>IF(VLOOKUP($A87,'Pre-Assessment Estimator'!$A$9:$V$100,P$2,FALSE)=0,"",VLOOKUP($A87,'Pre-Assessment Estimator'!$A$9:$V$100,P$2,FALSE))</f>
        <v/>
      </c>
      <c r="Q87" s="751"/>
      <c r="R87" s="750" t="str">
        <f>IF(VLOOKUP($A87,'Pre-Assessment Estimator'!$A$9:$V$100,R$2,FALSE)=0,"",VLOOKUP($A87,'Pre-Assessment Estimator'!$A$9:$V$100,R$2,FALSE))</f>
        <v/>
      </c>
      <c r="S87" s="747" t="str">
        <f>IF(VLOOKUP($A87,'Pre-Assessment Estimator'!$A$9:$V$100,S$2,FALSE)=0,"",VLOOKUP($A87,'Pre-Assessment Estimator'!$A$9:$V$100,S$2,FALSE))</f>
        <v/>
      </c>
      <c r="T87" s="747" t="str">
        <f>IF(VLOOKUP($A87,'Pre-Assessment Estimator'!$A$9:$V$100,T$2,FALSE)=0,"",VLOOKUP($A87,'Pre-Assessment Estimator'!$A$9:$V$100,T$2,FALSE))</f>
        <v/>
      </c>
      <c r="U87" s="747" t="str">
        <f>IF(VLOOKUP($A87,'Pre-Assessment Estimator'!$A$9:$V$100,U$2,FALSE)=0,"",VLOOKUP($A87,'Pre-Assessment Estimator'!$A$9:$V$100,U$2,FALSE))</f>
        <v/>
      </c>
      <c r="V87" s="491" t="str">
        <f>IF(VLOOKUP($A87,'Pre-Assessment Estimator'!$A$9:$V$100,V$2,FALSE)=0,"",VLOOKUP($A87,'Pre-Assessment Estimator'!$A$9:$V$100,V$2,FALSE))</f>
        <v/>
      </c>
      <c r="W87" s="880"/>
      <c r="X87" s="747" t="str">
        <f>IF(VLOOKUP($A87,'Pre-Assessment Estimator'!$A$9:$X$100,X$2,FALSE)=0,"",VLOOKUP($A87,'Pre-Assessment Estimator'!$A$9:$X$100,X$2,FALSE))</f>
        <v>No</v>
      </c>
      <c r="AB87" s="519">
        <f t="shared" si="1"/>
        <v>1</v>
      </c>
      <c r="AC87" s="103" t="e">
        <f>VLOOKUP(I87,'Assessment Details'!$L$45:$M$48,2,FALSE)</f>
        <v>#N/A</v>
      </c>
      <c r="AD87" s="103" t="e">
        <f>VLOOKUP(N87,'Assessment Details'!$L$45:$M$48,2,FALSE)</f>
        <v>#N/A</v>
      </c>
      <c r="AE87" s="103" t="e">
        <f>VLOOKUP(T87,'Assessment Details'!$L$45:$M$48,2,FALSE)</f>
        <v>#N/A</v>
      </c>
    </row>
    <row r="88" spans="1:31" ht="15.75" thickBot="1" x14ac:dyDescent="0.3">
      <c r="A88" s="399">
        <v>80</v>
      </c>
      <c r="B88" s="439" t="s">
        <v>75</v>
      </c>
      <c r="C88" s="753" t="s">
        <v>115</v>
      </c>
      <c r="D88" s="754">
        <f>VLOOKUP($A88,'Pre-Assessment Estimator'!$A$9:$V$100,D$2,FALSE)</f>
        <v>13</v>
      </c>
      <c r="E88" s="754">
        <f>SUM(E83:E87)</f>
        <v>0</v>
      </c>
      <c r="F88" s="755">
        <f>VLOOKUP($A88,'Pre-Assessment Estimator'!$A$9:$V$100,F$2,FALSE)</f>
        <v>0</v>
      </c>
      <c r="G88" s="747"/>
      <c r="H88" s="747" t="str">
        <f>IF(VLOOKUP($A88,'Pre-Assessment Estimator'!$A$9:$V$100,H$2,FALSE)=0,"",VLOOKUP($A88,'Pre-Assessment Estimator'!$A$9:$V$100,H$2,FALSE))</f>
        <v/>
      </c>
      <c r="I88" s="744" t="str">
        <f>IF(VLOOKUP($A88,'Pre-Assessment Estimator'!$A$9:$V$100,I$2,FALSE)=0,"",VLOOKUP($A88,'Pre-Assessment Estimator'!$A$9:$V$100,I$2,FALSE))</f>
        <v/>
      </c>
      <c r="J88" s="748" t="str">
        <f>IF(VLOOKUP($A88,'Pre-Assessment Estimator'!$A$9:$V$100,J$2,FALSE)=0,"",VLOOKUP($A88,'Pre-Assessment Estimator'!$A$9:$V$100,J$2,FALSE))</f>
        <v/>
      </c>
      <c r="K88" s="749"/>
      <c r="L88" s="756" t="str">
        <f>IF(VLOOKUP($A88,'Pre-Assessment Estimator'!$A$9:$V$100,L$2,FALSE)=0,"",VLOOKUP($A88,'Pre-Assessment Estimator'!$A$9:$V$100,L$2,FALSE))</f>
        <v/>
      </c>
      <c r="M88" s="747" t="str">
        <f>IF(VLOOKUP($A88,'Pre-Assessment Estimator'!$A$9:$V$100,M$2,FALSE)=0,"",VLOOKUP($A88,'Pre-Assessment Estimator'!$A$9:$V$100,M$2,FALSE))</f>
        <v/>
      </c>
      <c r="N88" s="744" t="str">
        <f>IF(VLOOKUP($A88,'Pre-Assessment Estimator'!$A$9:$V$100,N$2,FALSE)=0,"",VLOOKUP($A88,'Pre-Assessment Estimator'!$A$9:$V$100,N$2,FALSE))</f>
        <v/>
      </c>
      <c r="O88" s="747" t="str">
        <f>IF(VLOOKUP($A88,'Pre-Assessment Estimator'!$A$9:$V$100,O$2,FALSE)=0,"",VLOOKUP($A88,'Pre-Assessment Estimator'!$A$9:$V$100,O$2,FALSE))</f>
        <v/>
      </c>
      <c r="P88" s="748" t="str">
        <f>IF(VLOOKUP($A88,'Pre-Assessment Estimator'!$A$9:$V$100,P$2,FALSE)=0,"",VLOOKUP($A88,'Pre-Assessment Estimator'!$A$9:$V$100,P$2,FALSE))</f>
        <v/>
      </c>
      <c r="Q88" s="751"/>
      <c r="R88" s="756" t="str">
        <f>IF(VLOOKUP($A88,'Pre-Assessment Estimator'!$A$9:$V$100,R$2,FALSE)=0,"",VLOOKUP($A88,'Pre-Assessment Estimator'!$A$9:$V$100,R$2,FALSE))</f>
        <v/>
      </c>
      <c r="S88" s="747" t="str">
        <f>IF(VLOOKUP($A88,'Pre-Assessment Estimator'!$A$9:$V$100,S$2,FALSE)=0,"",VLOOKUP($A88,'Pre-Assessment Estimator'!$A$9:$V$100,S$2,FALSE))</f>
        <v/>
      </c>
      <c r="T88" s="744" t="str">
        <f>IF(VLOOKUP($A88,'Pre-Assessment Estimator'!$A$9:$V$100,T$2,FALSE)=0,"",VLOOKUP($A88,'Pre-Assessment Estimator'!$A$9:$V$100,T$2,FALSE))</f>
        <v/>
      </c>
      <c r="U88" s="747" t="str">
        <f>IF(VLOOKUP($A88,'Pre-Assessment Estimator'!$A$9:$V$100,U$2,FALSE)=0,"",VLOOKUP($A88,'Pre-Assessment Estimator'!$A$9:$V$100,U$2,FALSE))</f>
        <v/>
      </c>
      <c r="V88" s="491" t="str">
        <f>IF(VLOOKUP($A88,'Pre-Assessment Estimator'!$A$9:$V$100,V$2,FALSE)=0,"",VLOOKUP($A88,'Pre-Assessment Estimator'!$A$9:$V$100,V$2,FALSE))</f>
        <v/>
      </c>
      <c r="W88" s="880"/>
      <c r="X88" s="747" t="str">
        <f>IF(VLOOKUP($A88,'Pre-Assessment Estimator'!$A$9:$X$100,X$2,FALSE)=0,"",VLOOKUP($A88,'Pre-Assessment Estimator'!$A$9:$X$100,X$2,FALSE))</f>
        <v/>
      </c>
      <c r="AB88" s="519">
        <f t="shared" si="1"/>
        <v>1</v>
      </c>
      <c r="AC88" s="333">
        <v>0</v>
      </c>
      <c r="AD88" s="333">
        <v>0</v>
      </c>
      <c r="AE88" s="333">
        <v>0</v>
      </c>
    </row>
    <row r="89" spans="1:31" x14ac:dyDescent="0.25">
      <c r="A89" s="399">
        <v>81</v>
      </c>
      <c r="B89" s="439" t="s">
        <v>75</v>
      </c>
      <c r="C89" s="757"/>
      <c r="D89" s="758"/>
      <c r="E89" s="758"/>
      <c r="F89" s="758"/>
      <c r="G89" s="758"/>
      <c r="H89" s="757"/>
      <c r="I89" s="758"/>
      <c r="J89" s="757"/>
      <c r="K89" s="749"/>
      <c r="L89" s="758"/>
      <c r="M89" s="757"/>
      <c r="N89" s="758"/>
      <c r="O89" s="757"/>
      <c r="P89" s="757"/>
      <c r="Q89" s="751"/>
      <c r="R89" s="758"/>
      <c r="S89" s="757"/>
      <c r="T89" s="758"/>
      <c r="U89" s="757"/>
      <c r="V89" s="440"/>
      <c r="W89" s="881"/>
      <c r="X89" s="757"/>
      <c r="Y89" s="522"/>
      <c r="Z89" s="522"/>
      <c r="AA89" s="522"/>
      <c r="AB89" s="519">
        <f t="shared" si="1"/>
        <v>1</v>
      </c>
      <c r="AC89" s="335">
        <v>0</v>
      </c>
      <c r="AD89" s="335">
        <v>0</v>
      </c>
      <c r="AE89" s="335">
        <v>0</v>
      </c>
    </row>
    <row r="90" spans="1:31" ht="37.5" x14ac:dyDescent="0.25">
      <c r="A90" s="399">
        <v>82</v>
      </c>
      <c r="B90" s="439" t="s">
        <v>234</v>
      </c>
      <c r="C90" s="759" t="s">
        <v>503</v>
      </c>
      <c r="D90" s="739"/>
      <c r="E90" s="739"/>
      <c r="F90" s="739"/>
      <c r="G90" s="739"/>
      <c r="H90" s="740"/>
      <c r="I90" s="739"/>
      <c r="J90" s="740"/>
      <c r="K90" s="749"/>
      <c r="L90" s="739"/>
      <c r="M90" s="740"/>
      <c r="N90" s="739"/>
      <c r="O90" s="740"/>
      <c r="P90" s="740"/>
      <c r="Q90" s="751"/>
      <c r="R90" s="739"/>
      <c r="S90" s="740"/>
      <c r="T90" s="739"/>
      <c r="U90" s="740"/>
      <c r="V90" s="544"/>
      <c r="W90" s="879"/>
      <c r="X90" s="883"/>
      <c r="AB90" s="519">
        <f t="shared" si="1"/>
        <v>1</v>
      </c>
      <c r="AC90" s="331">
        <v>0</v>
      </c>
      <c r="AD90" s="331">
        <v>0</v>
      </c>
      <c r="AE90" s="331">
        <v>0</v>
      </c>
    </row>
    <row r="91" spans="1:31" x14ac:dyDescent="0.25">
      <c r="A91" s="399">
        <v>83</v>
      </c>
      <c r="B91" s="439" t="s">
        <v>234</v>
      </c>
      <c r="C91" s="743" t="str">
        <f>Inn_01</f>
        <v>Inn 01 - Man 05 Aftercare</v>
      </c>
      <c r="D91" s="744">
        <f>VLOOKUP($A91,'Pre-Assessment Estimator'!$A$9:$V$100,D$2,FALSE)</f>
        <v>1</v>
      </c>
      <c r="E91" s="744">
        <f>VLOOKUP($A91,'Pre-Assessment Estimator'!$A$9:$V$100,E$2,FALSE)</f>
        <v>0</v>
      </c>
      <c r="F91" s="745">
        <f>VLOOKUP($A91,'Pre-Assessment Estimator'!$A$9:$V$100,F$2,FALSE)</f>
        <v>0</v>
      </c>
      <c r="G91" s="746" t="str">
        <f>VLOOKUP($A91,'Pre-Assessment Estimator'!$A$9:$V$100,G$2,FALSE)</f>
        <v>N/A</v>
      </c>
      <c r="H91" s="747" t="str">
        <f>IF(VLOOKUP($A91,'Pre-Assessment Estimator'!$A$9:$V$100,H$2,FALSE)=0,"",VLOOKUP($A91,'Pre-Assessment Estimator'!$A$9:$V$100,H$2,FALSE))</f>
        <v/>
      </c>
      <c r="I91" s="747" t="str">
        <f>IF(VLOOKUP($A91,'Pre-Assessment Estimator'!$A$9:$V$100,I$2,FALSE)=0,"",VLOOKUP($A91,'Pre-Assessment Estimator'!$A$9:$V$100,I$2,FALSE))</f>
        <v/>
      </c>
      <c r="J91" s="748" t="str">
        <f>IF(VLOOKUP($A91,'Pre-Assessment Estimator'!$A$9:$V$100,J$2,FALSE)=0,"",VLOOKUP($A91,'Pre-Assessment Estimator'!$A$9:$V$100,J$2,FALSE))</f>
        <v/>
      </c>
      <c r="K91" s="749"/>
      <c r="L91" s="750" t="str">
        <f>IF(VLOOKUP($A91,'Pre-Assessment Estimator'!$A$9:$V$100,L$2,FALSE)=0,"",VLOOKUP($A91,'Pre-Assessment Estimator'!$A$9:$V$100,L$2,FALSE))</f>
        <v/>
      </c>
      <c r="M91" s="747" t="str">
        <f>IF(VLOOKUP($A91,'Pre-Assessment Estimator'!$A$9:$V$100,M$2,FALSE)=0,"",VLOOKUP($A91,'Pre-Assessment Estimator'!$A$9:$V$100,M$2,FALSE))</f>
        <v/>
      </c>
      <c r="N91" s="747" t="str">
        <f>IF(VLOOKUP($A91,'Pre-Assessment Estimator'!$A$9:$V$100,N$2,FALSE)=0,"",VLOOKUP($A91,'Pre-Assessment Estimator'!$A$9:$V$100,N$2,FALSE))</f>
        <v/>
      </c>
      <c r="O91" s="747" t="str">
        <f>IF(VLOOKUP($A91,'Pre-Assessment Estimator'!$A$9:$V$100,O$2,FALSE)=0,"",VLOOKUP($A91,'Pre-Assessment Estimator'!$A$9:$V$100,O$2,FALSE))</f>
        <v/>
      </c>
      <c r="P91" s="748" t="str">
        <f>IF(VLOOKUP($A91,'Pre-Assessment Estimator'!$A$9:$V$100,P$2,FALSE)=0,"",VLOOKUP($A91,'Pre-Assessment Estimator'!$A$9:$V$100,P$2,FALSE))</f>
        <v/>
      </c>
      <c r="Q91" s="751"/>
      <c r="R91" s="750" t="str">
        <f>IF(VLOOKUP($A91,'Pre-Assessment Estimator'!$A$9:$V$100,R$2,FALSE)=0,"",VLOOKUP($A91,'Pre-Assessment Estimator'!$A$9:$V$100,R$2,FALSE))</f>
        <v/>
      </c>
      <c r="S91" s="747" t="str">
        <f>IF(VLOOKUP($A91,'Pre-Assessment Estimator'!$A$9:$V$100,S$2,FALSE)=0,"",VLOOKUP($A91,'Pre-Assessment Estimator'!$A$9:$V$100,S$2,FALSE))</f>
        <v/>
      </c>
      <c r="T91" s="747" t="str">
        <f>IF(VLOOKUP($A91,'Pre-Assessment Estimator'!$A$9:$V$100,T$2,FALSE)=0,"",VLOOKUP($A91,'Pre-Assessment Estimator'!$A$9:$V$100,T$2,FALSE))</f>
        <v/>
      </c>
      <c r="U91" s="747" t="str">
        <f>IF(VLOOKUP($A91,'Pre-Assessment Estimator'!$A$9:$V$100,U$2,FALSE)=0,"",VLOOKUP($A91,'Pre-Assessment Estimator'!$A$9:$V$100,U$2,FALSE))</f>
        <v/>
      </c>
      <c r="V91" s="491" t="str">
        <f>IF(VLOOKUP($A91,'Pre-Assessment Estimator'!$A$9:$V$100,V$2,FALSE)=0,"",VLOOKUP($A91,'Pre-Assessment Estimator'!$A$9:$V$100,V$2,FALSE))</f>
        <v/>
      </c>
      <c r="W91" s="880"/>
      <c r="X91" s="747" t="str">
        <f>IF(VLOOKUP($A91,'Pre-Assessment Estimator'!$A$9:$X$100,X$2,FALSE)=0,"",VLOOKUP($A91,'Pre-Assessment Estimator'!$A$9:$X$100,X$2,FALSE))</f>
        <v>N/A</v>
      </c>
      <c r="AB91" s="519">
        <f t="shared" si="1"/>
        <v>1</v>
      </c>
      <c r="AC91" s="103" t="e">
        <f>VLOOKUP(I91,'Assessment Details'!$L$45:$M$48,2,FALSE)</f>
        <v>#N/A</v>
      </c>
      <c r="AD91" s="103" t="e">
        <f>VLOOKUP(N91,'Assessment Details'!$L$45:$M$48,2,FALSE)</f>
        <v>#N/A</v>
      </c>
      <c r="AE91" s="103" t="e">
        <f>VLOOKUP(T91,'Assessment Details'!$L$45:$M$48,2,FALSE)</f>
        <v>#N/A</v>
      </c>
    </row>
    <row r="92" spans="1:31" x14ac:dyDescent="0.25">
      <c r="A92" s="399">
        <v>84</v>
      </c>
      <c r="B92" s="439" t="s">
        <v>234</v>
      </c>
      <c r="C92" s="743" t="str">
        <f>Inn_02</f>
        <v>Inn 02 - Hea 02 Indoor air quality</v>
      </c>
      <c r="D92" s="744">
        <f>VLOOKUP($A92,'Pre-Assessment Estimator'!$A$9:$V$100,D$2,FALSE)</f>
        <v>1</v>
      </c>
      <c r="E92" s="744">
        <f>VLOOKUP($A92,'Pre-Assessment Estimator'!$A$9:$V$100,E$2,FALSE)</f>
        <v>0</v>
      </c>
      <c r="F92" s="745">
        <f>VLOOKUP($A92,'Pre-Assessment Estimator'!$A$9:$V$100,F$2,FALSE)</f>
        <v>0</v>
      </c>
      <c r="G92" s="746" t="str">
        <f>VLOOKUP($A92,'Pre-Assessment Estimator'!$A$9:$V$100,G$2,FALSE)</f>
        <v>N/A</v>
      </c>
      <c r="H92" s="747" t="str">
        <f>IF(VLOOKUP($A92,'Pre-Assessment Estimator'!$A$9:$V$100,H$2,FALSE)=0,"",VLOOKUP($A92,'Pre-Assessment Estimator'!$A$9:$V$100,H$2,FALSE))</f>
        <v/>
      </c>
      <c r="I92" s="747" t="str">
        <f>IF(VLOOKUP($A92,'Pre-Assessment Estimator'!$A$9:$V$100,I$2,FALSE)=0,"",VLOOKUP($A92,'Pre-Assessment Estimator'!$A$9:$V$100,I$2,FALSE))</f>
        <v/>
      </c>
      <c r="J92" s="748" t="str">
        <f>IF(VLOOKUP($A92,'Pre-Assessment Estimator'!$A$9:$V$100,J$2,FALSE)=0,"",VLOOKUP($A92,'Pre-Assessment Estimator'!$A$9:$V$100,J$2,FALSE))</f>
        <v/>
      </c>
      <c r="K92" s="749"/>
      <c r="L92" s="750" t="str">
        <f>IF(VLOOKUP($A92,'Pre-Assessment Estimator'!$A$9:$V$100,L$2,FALSE)=0,"",VLOOKUP($A92,'Pre-Assessment Estimator'!$A$9:$V$100,L$2,FALSE))</f>
        <v/>
      </c>
      <c r="M92" s="747" t="str">
        <f>IF(VLOOKUP($A92,'Pre-Assessment Estimator'!$A$9:$V$100,M$2,FALSE)=0,"",VLOOKUP($A92,'Pre-Assessment Estimator'!$A$9:$V$100,M$2,FALSE))</f>
        <v/>
      </c>
      <c r="N92" s="747" t="str">
        <f>IF(VLOOKUP($A92,'Pre-Assessment Estimator'!$A$9:$V$100,N$2,FALSE)=0,"",VLOOKUP($A92,'Pre-Assessment Estimator'!$A$9:$V$100,N$2,FALSE))</f>
        <v/>
      </c>
      <c r="O92" s="747" t="str">
        <f>IF(VLOOKUP($A92,'Pre-Assessment Estimator'!$A$9:$V$100,O$2,FALSE)=0,"",VLOOKUP($A92,'Pre-Assessment Estimator'!$A$9:$V$100,O$2,FALSE))</f>
        <v/>
      </c>
      <c r="P92" s="748" t="str">
        <f>IF(VLOOKUP($A92,'Pre-Assessment Estimator'!$A$9:$V$100,P$2,FALSE)=0,"",VLOOKUP($A92,'Pre-Assessment Estimator'!$A$9:$V$100,P$2,FALSE))</f>
        <v/>
      </c>
      <c r="Q92" s="751"/>
      <c r="R92" s="750" t="str">
        <f>IF(VLOOKUP($A92,'Pre-Assessment Estimator'!$A$9:$V$100,R$2,FALSE)=0,"",VLOOKUP($A92,'Pre-Assessment Estimator'!$A$9:$V$100,R$2,FALSE))</f>
        <v/>
      </c>
      <c r="S92" s="747" t="str">
        <f>IF(VLOOKUP($A92,'Pre-Assessment Estimator'!$A$9:$V$100,S$2,FALSE)=0,"",VLOOKUP($A92,'Pre-Assessment Estimator'!$A$9:$V$100,S$2,FALSE))</f>
        <v/>
      </c>
      <c r="T92" s="747" t="str">
        <f>IF(VLOOKUP($A92,'Pre-Assessment Estimator'!$A$9:$V$100,T$2,FALSE)=0,"",VLOOKUP($A92,'Pre-Assessment Estimator'!$A$9:$V$100,T$2,FALSE))</f>
        <v/>
      </c>
      <c r="U92" s="747" t="str">
        <f>IF(VLOOKUP($A92,'Pre-Assessment Estimator'!$A$9:$V$100,U$2,FALSE)=0,"",VLOOKUP($A92,'Pre-Assessment Estimator'!$A$9:$V$100,U$2,FALSE))</f>
        <v/>
      </c>
      <c r="V92" s="491" t="str">
        <f>IF(VLOOKUP($A92,'Pre-Assessment Estimator'!$A$9:$V$100,V$2,FALSE)=0,"",VLOOKUP($A92,'Pre-Assessment Estimator'!$A$9:$V$100,V$2,FALSE))</f>
        <v/>
      </c>
      <c r="W92" s="880"/>
      <c r="X92" s="747" t="str">
        <f>IF(VLOOKUP($A92,'Pre-Assessment Estimator'!$A$9:$X$100,X$2,FALSE)=0,"",VLOOKUP($A92,'Pre-Assessment Estimator'!$A$9:$X$100,X$2,FALSE))</f>
        <v>N/A</v>
      </c>
      <c r="AB92" s="519">
        <f t="shared" si="1"/>
        <v>1</v>
      </c>
      <c r="AC92" s="103" t="e">
        <f>VLOOKUP(I92,'Assessment Details'!$L$45:$M$48,2,FALSE)</f>
        <v>#N/A</v>
      </c>
      <c r="AD92" s="103" t="e">
        <f>VLOOKUP(N92,'Assessment Details'!$L$45:$M$48,2,FALSE)</f>
        <v>#N/A</v>
      </c>
      <c r="AE92" s="103" t="e">
        <f>VLOOKUP(T92,'Assessment Details'!$L$45:$M$48,2,FALSE)</f>
        <v>#N/A</v>
      </c>
    </row>
    <row r="93" spans="1:31" x14ac:dyDescent="0.25">
      <c r="A93" s="399">
        <v>85</v>
      </c>
      <c r="B93" s="439" t="s">
        <v>234</v>
      </c>
      <c r="C93" s="743" t="str">
        <f>Inn_03</f>
        <v>Inn 03 - Tra 03 Alternative modes of transport</v>
      </c>
      <c r="D93" s="744">
        <f>VLOOKUP($A93,'Pre-Assessment Estimator'!$A$9:$V$100,D$2,FALSE)</f>
        <v>1</v>
      </c>
      <c r="E93" s="744">
        <f>VLOOKUP($A93,'Pre-Assessment Estimator'!$A$9:$V$100,E$2,FALSE)</f>
        <v>0</v>
      </c>
      <c r="F93" s="745">
        <f>VLOOKUP($A93,'Pre-Assessment Estimator'!$A$9:$V$100,F$2,FALSE)</f>
        <v>0</v>
      </c>
      <c r="G93" s="746" t="str">
        <f>VLOOKUP($A93,'Pre-Assessment Estimator'!$A$9:$V$100,G$2,FALSE)</f>
        <v>N/A</v>
      </c>
      <c r="H93" s="747" t="str">
        <f>IF(VLOOKUP($A93,'Pre-Assessment Estimator'!$A$9:$V$100,H$2,FALSE)=0,"",VLOOKUP($A93,'Pre-Assessment Estimator'!$A$9:$V$100,H$2,FALSE))</f>
        <v/>
      </c>
      <c r="I93" s="747" t="str">
        <f>IF(VLOOKUP($A93,'Pre-Assessment Estimator'!$A$9:$V$100,I$2,FALSE)=0,"",VLOOKUP($A93,'Pre-Assessment Estimator'!$A$9:$V$100,I$2,FALSE))</f>
        <v/>
      </c>
      <c r="J93" s="748" t="str">
        <f>IF(VLOOKUP($A93,'Pre-Assessment Estimator'!$A$9:$V$100,J$2,FALSE)=0,"",VLOOKUP($A93,'Pre-Assessment Estimator'!$A$9:$V$100,J$2,FALSE))</f>
        <v/>
      </c>
      <c r="K93" s="749"/>
      <c r="L93" s="750" t="str">
        <f>IF(VLOOKUP($A93,'Pre-Assessment Estimator'!$A$9:$V$100,L$2,FALSE)=0,"",VLOOKUP($A93,'Pre-Assessment Estimator'!$A$9:$V$100,L$2,FALSE))</f>
        <v/>
      </c>
      <c r="M93" s="747" t="str">
        <f>IF(VLOOKUP($A93,'Pre-Assessment Estimator'!$A$9:$V$100,M$2,FALSE)=0,"",VLOOKUP($A93,'Pre-Assessment Estimator'!$A$9:$V$100,M$2,FALSE))</f>
        <v/>
      </c>
      <c r="N93" s="747" t="str">
        <f>IF(VLOOKUP($A93,'Pre-Assessment Estimator'!$A$9:$V$100,N$2,FALSE)=0,"",VLOOKUP($A93,'Pre-Assessment Estimator'!$A$9:$V$100,N$2,FALSE))</f>
        <v/>
      </c>
      <c r="O93" s="747" t="str">
        <f>IF(VLOOKUP($A93,'Pre-Assessment Estimator'!$A$9:$V$100,O$2,FALSE)=0,"",VLOOKUP($A93,'Pre-Assessment Estimator'!$A$9:$V$100,O$2,FALSE))</f>
        <v/>
      </c>
      <c r="P93" s="748" t="str">
        <f>IF(VLOOKUP($A93,'Pre-Assessment Estimator'!$A$9:$V$100,P$2,FALSE)=0,"",VLOOKUP($A93,'Pre-Assessment Estimator'!$A$9:$V$100,P$2,FALSE))</f>
        <v/>
      </c>
      <c r="Q93" s="751"/>
      <c r="R93" s="750" t="str">
        <f>IF(VLOOKUP($A93,'Pre-Assessment Estimator'!$A$9:$V$100,R$2,FALSE)=0,"",VLOOKUP($A93,'Pre-Assessment Estimator'!$A$9:$V$100,R$2,FALSE))</f>
        <v/>
      </c>
      <c r="S93" s="747" t="str">
        <f>IF(VLOOKUP($A93,'Pre-Assessment Estimator'!$A$9:$V$100,S$2,FALSE)=0,"",VLOOKUP($A93,'Pre-Assessment Estimator'!$A$9:$V$100,S$2,FALSE))</f>
        <v/>
      </c>
      <c r="T93" s="747" t="str">
        <f>IF(VLOOKUP($A93,'Pre-Assessment Estimator'!$A$9:$V$100,T$2,FALSE)=0,"",VLOOKUP($A93,'Pre-Assessment Estimator'!$A$9:$V$100,T$2,FALSE))</f>
        <v/>
      </c>
      <c r="U93" s="747" t="str">
        <f>IF(VLOOKUP($A93,'Pre-Assessment Estimator'!$A$9:$V$100,U$2,FALSE)=0,"",VLOOKUP($A93,'Pre-Assessment Estimator'!$A$9:$V$100,U$2,FALSE))</f>
        <v/>
      </c>
      <c r="V93" s="491" t="str">
        <f>IF(VLOOKUP($A93,'Pre-Assessment Estimator'!$A$9:$V$100,V$2,FALSE)=0,"",VLOOKUP($A93,'Pre-Assessment Estimator'!$A$9:$V$100,V$2,FALSE))</f>
        <v/>
      </c>
      <c r="W93" s="880"/>
      <c r="X93" s="747" t="str">
        <f>IF(VLOOKUP($A93,'Pre-Assessment Estimator'!$A$9:$X$100,X$2,FALSE)=0,"",VLOOKUP($A93,'Pre-Assessment Estimator'!$A$9:$X$100,X$2,FALSE))</f>
        <v>N/A</v>
      </c>
      <c r="AB93" s="519">
        <f t="shared" si="1"/>
        <v>1</v>
      </c>
      <c r="AC93" s="103" t="e">
        <f>VLOOKUP(I93,'Assessment Details'!$L$45:$M$48,2,FALSE)</f>
        <v>#N/A</v>
      </c>
      <c r="AD93" s="103" t="e">
        <f>VLOOKUP(N93,'Assessment Details'!$L$45:$M$48,2,FALSE)</f>
        <v>#N/A</v>
      </c>
      <c r="AE93" s="103" t="e">
        <f>VLOOKUP(T93,'Assessment Details'!$L$45:$M$48,2,FALSE)</f>
        <v>#N/A</v>
      </c>
    </row>
    <row r="94" spans="1:31" x14ac:dyDescent="0.25">
      <c r="A94" s="399">
        <v>86</v>
      </c>
      <c r="B94" s="439" t="s">
        <v>234</v>
      </c>
      <c r="C94" s="743" t="str">
        <f>Inn_04</f>
        <v>Inn 04 - Wat 01 Water consumption</v>
      </c>
      <c r="D94" s="744">
        <f>VLOOKUP($A94,'Pre-Assessment Estimator'!$A$9:$V$100,D$2,FALSE)</f>
        <v>1</v>
      </c>
      <c r="E94" s="744">
        <f>VLOOKUP($A94,'Pre-Assessment Estimator'!$A$9:$V$100,E$2,FALSE)</f>
        <v>0</v>
      </c>
      <c r="F94" s="745">
        <f>VLOOKUP($A94,'Pre-Assessment Estimator'!$A$9:$V$100,F$2,FALSE)</f>
        <v>0</v>
      </c>
      <c r="G94" s="746" t="str">
        <f>VLOOKUP($A94,'Pre-Assessment Estimator'!$A$9:$V$100,G$2,FALSE)</f>
        <v>N/A</v>
      </c>
      <c r="H94" s="747" t="str">
        <f>IF(VLOOKUP($A94,'Pre-Assessment Estimator'!$A$9:$V$100,H$2,FALSE)=0,"",VLOOKUP($A94,'Pre-Assessment Estimator'!$A$9:$V$100,H$2,FALSE))</f>
        <v/>
      </c>
      <c r="I94" s="747" t="str">
        <f>IF(VLOOKUP($A94,'Pre-Assessment Estimator'!$A$9:$V$100,I$2,FALSE)=0,"",VLOOKUP($A94,'Pre-Assessment Estimator'!$A$9:$V$100,I$2,FALSE))</f>
        <v/>
      </c>
      <c r="J94" s="748" t="str">
        <f>IF(VLOOKUP($A94,'Pre-Assessment Estimator'!$A$9:$V$100,J$2,FALSE)=0,"",VLOOKUP($A94,'Pre-Assessment Estimator'!$A$9:$V$100,J$2,FALSE))</f>
        <v/>
      </c>
      <c r="K94" s="749"/>
      <c r="L94" s="750" t="str">
        <f>IF(VLOOKUP($A94,'Pre-Assessment Estimator'!$A$9:$V$100,L$2,FALSE)=0,"",VLOOKUP($A94,'Pre-Assessment Estimator'!$A$9:$V$100,L$2,FALSE))</f>
        <v/>
      </c>
      <c r="M94" s="747" t="str">
        <f>IF(VLOOKUP($A94,'Pre-Assessment Estimator'!$A$9:$V$100,M$2,FALSE)=0,"",VLOOKUP($A94,'Pre-Assessment Estimator'!$A$9:$V$100,M$2,FALSE))</f>
        <v/>
      </c>
      <c r="N94" s="747" t="str">
        <f>IF(VLOOKUP($A94,'Pre-Assessment Estimator'!$A$9:$V$100,N$2,FALSE)=0,"",VLOOKUP($A94,'Pre-Assessment Estimator'!$A$9:$V$100,N$2,FALSE))</f>
        <v/>
      </c>
      <c r="O94" s="747" t="str">
        <f>IF(VLOOKUP($A94,'Pre-Assessment Estimator'!$A$9:$V$100,O$2,FALSE)=0,"",VLOOKUP($A94,'Pre-Assessment Estimator'!$A$9:$V$100,O$2,FALSE))</f>
        <v/>
      </c>
      <c r="P94" s="748" t="str">
        <f>IF(VLOOKUP($A94,'Pre-Assessment Estimator'!$A$9:$V$100,P$2,FALSE)=0,"",VLOOKUP($A94,'Pre-Assessment Estimator'!$A$9:$V$100,P$2,FALSE))</f>
        <v/>
      </c>
      <c r="Q94" s="751"/>
      <c r="R94" s="750" t="str">
        <f>IF(VLOOKUP($A94,'Pre-Assessment Estimator'!$A$9:$V$100,R$2,FALSE)=0,"",VLOOKUP($A94,'Pre-Assessment Estimator'!$A$9:$V$100,R$2,FALSE))</f>
        <v/>
      </c>
      <c r="S94" s="747" t="str">
        <f>IF(VLOOKUP($A94,'Pre-Assessment Estimator'!$A$9:$V$100,S$2,FALSE)=0,"",VLOOKUP($A94,'Pre-Assessment Estimator'!$A$9:$V$100,S$2,FALSE))</f>
        <v/>
      </c>
      <c r="T94" s="747" t="str">
        <f>IF(VLOOKUP($A94,'Pre-Assessment Estimator'!$A$9:$V$100,T$2,FALSE)=0,"",VLOOKUP($A94,'Pre-Assessment Estimator'!$A$9:$V$100,T$2,FALSE))</f>
        <v/>
      </c>
      <c r="U94" s="747" t="str">
        <f>IF(VLOOKUP($A94,'Pre-Assessment Estimator'!$A$9:$V$100,U$2,FALSE)=0,"",VLOOKUP($A94,'Pre-Assessment Estimator'!$A$9:$V$100,U$2,FALSE))</f>
        <v/>
      </c>
      <c r="V94" s="491" t="str">
        <f>IF(VLOOKUP($A94,'Pre-Assessment Estimator'!$A$9:$V$100,V$2,FALSE)=0,"",VLOOKUP($A94,'Pre-Assessment Estimator'!$A$9:$V$100,V$2,FALSE))</f>
        <v/>
      </c>
      <c r="W94" s="880"/>
      <c r="X94" s="747" t="str">
        <f>IF(VLOOKUP($A94,'Pre-Assessment Estimator'!$A$9:$X$100,X$2,FALSE)=0,"",VLOOKUP($A94,'Pre-Assessment Estimator'!$A$9:$X$100,X$2,FALSE))</f>
        <v>N/A</v>
      </c>
      <c r="AB94" s="519">
        <f t="shared" si="1"/>
        <v>1</v>
      </c>
      <c r="AC94" s="103" t="e">
        <f>VLOOKUP(I94,'Assessment Details'!$L$45:$M$48,2,FALSE)</f>
        <v>#N/A</v>
      </c>
      <c r="AD94" s="103" t="e">
        <f>VLOOKUP(N94,'Assessment Details'!$L$45:$M$48,2,FALSE)</f>
        <v>#N/A</v>
      </c>
      <c r="AE94" s="103" t="e">
        <f>VLOOKUP(T94,'Assessment Details'!$L$45:$M$48,2,FALSE)</f>
        <v>#N/A</v>
      </c>
    </row>
    <row r="95" spans="1:31" x14ac:dyDescent="0.25">
      <c r="A95" s="399">
        <v>87</v>
      </c>
      <c r="B95" s="439" t="s">
        <v>234</v>
      </c>
      <c r="C95" s="743" t="str">
        <f>Inn_05</f>
        <v>Inn 05 - Mat 01 Life cycle impacts</v>
      </c>
      <c r="D95" s="744">
        <f>VLOOKUP($A95,'Pre-Assessment Estimator'!$A$9:$V$100,D$2,FALSE)</f>
        <v>2</v>
      </c>
      <c r="E95" s="744">
        <f>VLOOKUP($A95,'Pre-Assessment Estimator'!$A$9:$V$100,E$2,FALSE)</f>
        <v>0</v>
      </c>
      <c r="F95" s="745">
        <f>VLOOKUP($A95,'Pre-Assessment Estimator'!$A$9:$V$100,F$2,FALSE)</f>
        <v>0</v>
      </c>
      <c r="G95" s="746" t="str">
        <f>VLOOKUP($A95,'Pre-Assessment Estimator'!$A$9:$V$100,G$2,FALSE)</f>
        <v>N/A</v>
      </c>
      <c r="H95" s="747" t="str">
        <f>IF(VLOOKUP($A95,'Pre-Assessment Estimator'!$A$9:$V$100,H$2,FALSE)=0,"",VLOOKUP($A95,'Pre-Assessment Estimator'!$A$9:$V$100,H$2,FALSE))</f>
        <v/>
      </c>
      <c r="I95" s="747" t="str">
        <f>IF(VLOOKUP($A95,'Pre-Assessment Estimator'!$A$9:$V$100,I$2,FALSE)=0,"",VLOOKUP($A95,'Pre-Assessment Estimator'!$A$9:$V$100,I$2,FALSE))</f>
        <v/>
      </c>
      <c r="J95" s="748" t="str">
        <f>IF(VLOOKUP($A95,'Pre-Assessment Estimator'!$A$9:$V$100,J$2,FALSE)=0,"",VLOOKUP($A95,'Pre-Assessment Estimator'!$A$9:$V$100,J$2,FALSE))</f>
        <v/>
      </c>
      <c r="K95" s="749"/>
      <c r="L95" s="750" t="str">
        <f>IF(VLOOKUP($A95,'Pre-Assessment Estimator'!$A$9:$V$100,L$2,FALSE)=0,"",VLOOKUP($A95,'Pre-Assessment Estimator'!$A$9:$V$100,L$2,FALSE))</f>
        <v/>
      </c>
      <c r="M95" s="747" t="str">
        <f>IF(VLOOKUP($A95,'Pre-Assessment Estimator'!$A$9:$V$100,M$2,FALSE)=0,"",VLOOKUP($A95,'Pre-Assessment Estimator'!$A$9:$V$100,M$2,FALSE))</f>
        <v/>
      </c>
      <c r="N95" s="747" t="str">
        <f>IF(VLOOKUP($A95,'Pre-Assessment Estimator'!$A$9:$V$100,N$2,FALSE)=0,"",VLOOKUP($A95,'Pre-Assessment Estimator'!$A$9:$V$100,N$2,FALSE))</f>
        <v/>
      </c>
      <c r="O95" s="747" t="str">
        <f>IF(VLOOKUP($A95,'Pre-Assessment Estimator'!$A$9:$V$100,O$2,FALSE)=0,"",VLOOKUP($A95,'Pre-Assessment Estimator'!$A$9:$V$100,O$2,FALSE))</f>
        <v/>
      </c>
      <c r="P95" s="748" t="str">
        <f>IF(VLOOKUP($A95,'Pre-Assessment Estimator'!$A$9:$V$100,P$2,FALSE)=0,"",VLOOKUP($A95,'Pre-Assessment Estimator'!$A$9:$V$100,P$2,FALSE))</f>
        <v/>
      </c>
      <c r="Q95" s="751"/>
      <c r="R95" s="750" t="str">
        <f>IF(VLOOKUP($A95,'Pre-Assessment Estimator'!$A$9:$V$100,R$2,FALSE)=0,"",VLOOKUP($A95,'Pre-Assessment Estimator'!$A$9:$V$100,R$2,FALSE))</f>
        <v/>
      </c>
      <c r="S95" s="747" t="str">
        <f>IF(VLOOKUP($A95,'Pre-Assessment Estimator'!$A$9:$V$100,S$2,FALSE)=0,"",VLOOKUP($A95,'Pre-Assessment Estimator'!$A$9:$V$100,S$2,FALSE))</f>
        <v/>
      </c>
      <c r="T95" s="747" t="str">
        <f>IF(VLOOKUP($A95,'Pre-Assessment Estimator'!$A$9:$V$100,T$2,FALSE)=0,"",VLOOKUP($A95,'Pre-Assessment Estimator'!$A$9:$V$100,T$2,FALSE))</f>
        <v/>
      </c>
      <c r="U95" s="747" t="str">
        <f>IF(VLOOKUP($A95,'Pre-Assessment Estimator'!$A$9:$V$100,U$2,FALSE)=0,"",VLOOKUP($A95,'Pre-Assessment Estimator'!$A$9:$V$100,U$2,FALSE))</f>
        <v/>
      </c>
      <c r="V95" s="491" t="str">
        <f>IF(VLOOKUP($A95,'Pre-Assessment Estimator'!$A$9:$V$100,V$2,FALSE)=0,"",VLOOKUP($A95,'Pre-Assessment Estimator'!$A$9:$V$100,V$2,FALSE))</f>
        <v/>
      </c>
      <c r="W95" s="880"/>
      <c r="X95" s="747" t="str">
        <f>IF(VLOOKUP($A95,'Pre-Assessment Estimator'!$A$9:$X$100,X$2,FALSE)=0,"",VLOOKUP($A95,'Pre-Assessment Estimator'!$A$9:$X$100,X$2,FALSE))</f>
        <v>N/A</v>
      </c>
      <c r="AB95" s="519">
        <f t="shared" si="1"/>
        <v>1</v>
      </c>
      <c r="AC95" s="520" t="e">
        <f>VLOOKUP(I95,'Assessment Details'!$L$45:$M$48,2,FALSE)</f>
        <v>#N/A</v>
      </c>
      <c r="AD95" s="520" t="e">
        <f>VLOOKUP(N95,'Assessment Details'!$L$45:$M$48,2,FALSE)</f>
        <v>#N/A</v>
      </c>
      <c r="AE95" s="520" t="e">
        <f>VLOOKUP(T95,'Assessment Details'!$L$45:$M$48,2,FALSE)</f>
        <v>#N/A</v>
      </c>
    </row>
    <row r="96" spans="1:31" ht="30" x14ac:dyDescent="0.25">
      <c r="A96" s="399">
        <v>88</v>
      </c>
      <c r="B96" s="439" t="s">
        <v>234</v>
      </c>
      <c r="C96" s="743" t="str">
        <f>Inn_06</f>
        <v>Inn 06 - Mat 03 Responsible sourcing of materials</v>
      </c>
      <c r="D96" s="744">
        <f>VLOOKUP($A96,'Pre-Assessment Estimator'!$A$9:$V$100,D$2,FALSE)</f>
        <v>1</v>
      </c>
      <c r="E96" s="744">
        <f>VLOOKUP($A96,'Pre-Assessment Estimator'!$A$9:$V$100,E$2,FALSE)</f>
        <v>0</v>
      </c>
      <c r="F96" s="745">
        <f>VLOOKUP($A96,'Pre-Assessment Estimator'!$A$9:$V$100,F$2,FALSE)</f>
        <v>0</v>
      </c>
      <c r="G96" s="746" t="str">
        <f>VLOOKUP($A96,'Pre-Assessment Estimator'!$A$9:$V$100,G$2,FALSE)</f>
        <v>N/A</v>
      </c>
      <c r="H96" s="747" t="str">
        <f>IF(VLOOKUP($A96,'Pre-Assessment Estimator'!$A$9:$V$100,H$2,FALSE)=0,"",VLOOKUP($A96,'Pre-Assessment Estimator'!$A$9:$V$100,H$2,FALSE))</f>
        <v/>
      </c>
      <c r="I96" s="747" t="str">
        <f>IF(VLOOKUP($A96,'Pre-Assessment Estimator'!$A$9:$V$100,I$2,FALSE)=0,"",VLOOKUP($A96,'Pre-Assessment Estimator'!$A$9:$V$100,I$2,FALSE))</f>
        <v/>
      </c>
      <c r="J96" s="748" t="str">
        <f>IF(VLOOKUP($A96,'Pre-Assessment Estimator'!$A$9:$V$100,J$2,FALSE)=0,"",VLOOKUP($A96,'Pre-Assessment Estimator'!$A$9:$V$100,J$2,FALSE))</f>
        <v/>
      </c>
      <c r="K96" s="749"/>
      <c r="L96" s="750" t="str">
        <f>IF(VLOOKUP($A96,'Pre-Assessment Estimator'!$A$9:$V$100,L$2,FALSE)=0,"",VLOOKUP($A96,'Pre-Assessment Estimator'!$A$9:$V$100,L$2,FALSE))</f>
        <v/>
      </c>
      <c r="M96" s="747" t="str">
        <f>IF(VLOOKUP($A96,'Pre-Assessment Estimator'!$A$9:$V$100,M$2,FALSE)=0,"",VLOOKUP($A96,'Pre-Assessment Estimator'!$A$9:$V$100,M$2,FALSE))</f>
        <v/>
      </c>
      <c r="N96" s="747" t="str">
        <f>IF(VLOOKUP($A96,'Pre-Assessment Estimator'!$A$9:$V$100,N$2,FALSE)=0,"",VLOOKUP($A96,'Pre-Assessment Estimator'!$A$9:$V$100,N$2,FALSE))</f>
        <v/>
      </c>
      <c r="O96" s="747" t="str">
        <f>IF(VLOOKUP($A96,'Pre-Assessment Estimator'!$A$9:$V$100,O$2,FALSE)=0,"",VLOOKUP($A96,'Pre-Assessment Estimator'!$A$9:$V$100,O$2,FALSE))</f>
        <v/>
      </c>
      <c r="P96" s="748" t="str">
        <f>IF(VLOOKUP($A96,'Pre-Assessment Estimator'!$A$9:$V$100,P$2,FALSE)=0,"",VLOOKUP($A96,'Pre-Assessment Estimator'!$A$9:$V$100,P$2,FALSE))</f>
        <v/>
      </c>
      <c r="Q96" s="751"/>
      <c r="R96" s="750" t="str">
        <f>IF(VLOOKUP($A96,'Pre-Assessment Estimator'!$A$9:$V$100,R$2,FALSE)=0,"",VLOOKUP($A96,'Pre-Assessment Estimator'!$A$9:$V$100,R$2,FALSE))</f>
        <v/>
      </c>
      <c r="S96" s="747" t="str">
        <f>IF(VLOOKUP($A96,'Pre-Assessment Estimator'!$A$9:$V$100,S$2,FALSE)=0,"",VLOOKUP($A96,'Pre-Assessment Estimator'!$A$9:$V$100,S$2,FALSE))</f>
        <v/>
      </c>
      <c r="T96" s="747" t="str">
        <f>IF(VLOOKUP($A96,'Pre-Assessment Estimator'!$A$9:$V$100,T$2,FALSE)=0,"",VLOOKUP($A96,'Pre-Assessment Estimator'!$A$9:$V$100,T$2,FALSE))</f>
        <v/>
      </c>
      <c r="U96" s="747" t="str">
        <f>IF(VLOOKUP($A96,'Pre-Assessment Estimator'!$A$9:$V$100,U$2,FALSE)=0,"",VLOOKUP($A96,'Pre-Assessment Estimator'!$A$9:$V$100,U$2,FALSE))</f>
        <v/>
      </c>
      <c r="V96" s="491" t="str">
        <f>IF(VLOOKUP($A96,'Pre-Assessment Estimator'!$A$9:$V$100,V$2,FALSE)=0,"",VLOOKUP($A96,'Pre-Assessment Estimator'!$A$9:$V$100,V$2,FALSE))</f>
        <v/>
      </c>
      <c r="W96" s="880"/>
      <c r="X96" s="747" t="str">
        <f>IF(VLOOKUP($A96,'Pre-Assessment Estimator'!$A$9:$X$100,X$2,FALSE)=0,"",VLOOKUP($A96,'Pre-Assessment Estimator'!$A$9:$X$100,X$2,FALSE))</f>
        <v>N/A</v>
      </c>
      <c r="AB96" s="519">
        <f t="shared" si="1"/>
        <v>1</v>
      </c>
      <c r="AC96" s="103" t="e">
        <f>VLOOKUP(I96,'Assessment Details'!$L$45:$M$48,2,FALSE)</f>
        <v>#N/A</v>
      </c>
      <c r="AD96" s="103" t="e">
        <f>VLOOKUP(N96,'Assessment Details'!$L$45:$M$48,2,FALSE)</f>
        <v>#N/A</v>
      </c>
      <c r="AE96" s="103" t="e">
        <f>VLOOKUP(T96,'Assessment Details'!$L$45:$M$48,2,FALSE)</f>
        <v>#N/A</v>
      </c>
    </row>
    <row r="97" spans="1:43" x14ac:dyDescent="0.25">
      <c r="A97" s="399">
        <v>89</v>
      </c>
      <c r="B97" s="439" t="s">
        <v>234</v>
      </c>
      <c r="C97" s="743" t="str">
        <f>Inn_07</f>
        <v>Inn 07 - Wst 01 Construction site waste man.</v>
      </c>
      <c r="D97" s="744">
        <f>VLOOKUP($A97,'Pre-Assessment Estimator'!$A$9:$V$100,D$2,FALSE)</f>
        <v>1</v>
      </c>
      <c r="E97" s="744">
        <f>VLOOKUP($A97,'Pre-Assessment Estimator'!$A$9:$V$100,E$2,FALSE)</f>
        <v>0</v>
      </c>
      <c r="F97" s="745">
        <f>VLOOKUP($A97,'Pre-Assessment Estimator'!$A$9:$V$100,F$2,FALSE)</f>
        <v>0</v>
      </c>
      <c r="G97" s="746" t="str">
        <f>VLOOKUP($A97,'Pre-Assessment Estimator'!$A$9:$V$100,G$2,FALSE)</f>
        <v>N/A</v>
      </c>
      <c r="H97" s="747" t="str">
        <f>IF(VLOOKUP($A97,'Pre-Assessment Estimator'!$A$9:$V$100,H$2,FALSE)=0,"",VLOOKUP($A97,'Pre-Assessment Estimator'!$A$9:$V$100,H$2,FALSE))</f>
        <v/>
      </c>
      <c r="I97" s="747" t="str">
        <f>IF(VLOOKUP($A97,'Pre-Assessment Estimator'!$A$9:$V$100,I$2,FALSE)=0,"",VLOOKUP($A97,'Pre-Assessment Estimator'!$A$9:$V$100,I$2,FALSE))</f>
        <v/>
      </c>
      <c r="J97" s="748" t="str">
        <f>IF(VLOOKUP($A97,'Pre-Assessment Estimator'!$A$9:$V$100,J$2,FALSE)=0,"",VLOOKUP($A97,'Pre-Assessment Estimator'!$A$9:$V$100,J$2,FALSE))</f>
        <v/>
      </c>
      <c r="K97" s="749"/>
      <c r="L97" s="750" t="str">
        <f>IF(VLOOKUP($A97,'Pre-Assessment Estimator'!$A$9:$V$100,L$2,FALSE)=0,"",VLOOKUP($A97,'Pre-Assessment Estimator'!$A$9:$V$100,L$2,FALSE))</f>
        <v/>
      </c>
      <c r="M97" s="747" t="str">
        <f>IF(VLOOKUP($A97,'Pre-Assessment Estimator'!$A$9:$V$100,M$2,FALSE)=0,"",VLOOKUP($A97,'Pre-Assessment Estimator'!$A$9:$V$100,M$2,FALSE))</f>
        <v/>
      </c>
      <c r="N97" s="747" t="str">
        <f>IF(VLOOKUP($A97,'Pre-Assessment Estimator'!$A$9:$V$100,N$2,FALSE)=0,"",VLOOKUP($A97,'Pre-Assessment Estimator'!$A$9:$V$100,N$2,FALSE))</f>
        <v/>
      </c>
      <c r="O97" s="747" t="str">
        <f>IF(VLOOKUP($A97,'Pre-Assessment Estimator'!$A$9:$V$100,O$2,FALSE)=0,"",VLOOKUP($A97,'Pre-Assessment Estimator'!$A$9:$V$100,O$2,FALSE))</f>
        <v/>
      </c>
      <c r="P97" s="748" t="str">
        <f>IF(VLOOKUP($A97,'Pre-Assessment Estimator'!$A$9:$V$100,P$2,FALSE)=0,"",VLOOKUP($A97,'Pre-Assessment Estimator'!$A$9:$V$100,P$2,FALSE))</f>
        <v/>
      </c>
      <c r="Q97" s="751"/>
      <c r="R97" s="750" t="str">
        <f>IF(VLOOKUP($A97,'Pre-Assessment Estimator'!$A$9:$V$100,R$2,FALSE)=0,"",VLOOKUP($A97,'Pre-Assessment Estimator'!$A$9:$V$100,R$2,FALSE))</f>
        <v/>
      </c>
      <c r="S97" s="747" t="str">
        <f>IF(VLOOKUP($A97,'Pre-Assessment Estimator'!$A$9:$V$100,S$2,FALSE)=0,"",VLOOKUP($A97,'Pre-Assessment Estimator'!$A$9:$V$100,S$2,FALSE))</f>
        <v/>
      </c>
      <c r="T97" s="747" t="str">
        <f>IF(VLOOKUP($A97,'Pre-Assessment Estimator'!$A$9:$V$100,T$2,FALSE)=0,"",VLOOKUP($A97,'Pre-Assessment Estimator'!$A$9:$V$100,T$2,FALSE))</f>
        <v/>
      </c>
      <c r="U97" s="747" t="str">
        <f>IF(VLOOKUP($A97,'Pre-Assessment Estimator'!$A$9:$V$100,U$2,FALSE)=0,"",VLOOKUP($A97,'Pre-Assessment Estimator'!$A$9:$V$100,U$2,FALSE))</f>
        <v/>
      </c>
      <c r="V97" s="491" t="str">
        <f>IF(VLOOKUP($A97,'Pre-Assessment Estimator'!$A$9:$V$100,V$2,FALSE)=0,"",VLOOKUP($A97,'Pre-Assessment Estimator'!$A$9:$V$100,V$2,FALSE))</f>
        <v/>
      </c>
      <c r="W97" s="880"/>
      <c r="X97" s="747" t="str">
        <f>IF(VLOOKUP($A97,'Pre-Assessment Estimator'!$A$9:$X$100,X$2,FALSE)=0,"",VLOOKUP($A97,'Pre-Assessment Estimator'!$A$9:$X$100,X$2,FALSE))</f>
        <v>N/A</v>
      </c>
      <c r="AB97" s="519">
        <f t="shared" si="1"/>
        <v>1</v>
      </c>
      <c r="AC97" s="520" t="e">
        <f>VLOOKUP(I97,'Assessment Details'!$L$45:$M$48,2,FALSE)</f>
        <v>#N/A</v>
      </c>
      <c r="AD97" s="520" t="e">
        <f>VLOOKUP(N97,'Assessment Details'!$L$45:$M$48,2,FALSE)</f>
        <v>#N/A</v>
      </c>
      <c r="AE97" s="520" t="e">
        <f>VLOOKUP(T97,'Assessment Details'!$L$45:$M$48,2,FALSE)</f>
        <v>#N/A</v>
      </c>
    </row>
    <row r="98" spans="1:43" x14ac:dyDescent="0.25">
      <c r="A98" s="399">
        <v>90</v>
      </c>
      <c r="B98" s="439" t="s">
        <v>234</v>
      </c>
      <c r="C98" s="743" t="str">
        <f>Inn_08</f>
        <v>Inn 08 - Wst 02 Recycled aggregates</v>
      </c>
      <c r="D98" s="744">
        <f>VLOOKUP($A98,'Pre-Assessment Estimator'!$A$9:$V$100,D$2,FALSE)</f>
        <v>1</v>
      </c>
      <c r="E98" s="744">
        <f>VLOOKUP($A98,'Pre-Assessment Estimator'!$A$9:$V$100,E$2,FALSE)</f>
        <v>0</v>
      </c>
      <c r="F98" s="745">
        <f>VLOOKUP($A98,'Pre-Assessment Estimator'!$A$9:$V$100,F$2,FALSE)</f>
        <v>0</v>
      </c>
      <c r="G98" s="746" t="str">
        <f>VLOOKUP($A98,'Pre-Assessment Estimator'!$A$9:$V$100,G$2,FALSE)</f>
        <v>N/A</v>
      </c>
      <c r="H98" s="747" t="str">
        <f>IF(VLOOKUP($A98,'Pre-Assessment Estimator'!$A$9:$V$100,H$2,FALSE)=0,"",VLOOKUP($A98,'Pre-Assessment Estimator'!$A$9:$V$100,H$2,FALSE))</f>
        <v/>
      </c>
      <c r="I98" s="747" t="str">
        <f>IF(VLOOKUP($A98,'Pre-Assessment Estimator'!$A$9:$V$100,I$2,FALSE)=0,"",VLOOKUP($A98,'Pre-Assessment Estimator'!$A$9:$V$100,I$2,FALSE))</f>
        <v/>
      </c>
      <c r="J98" s="748" t="str">
        <f>IF(VLOOKUP($A98,'Pre-Assessment Estimator'!$A$9:$V$100,J$2,FALSE)=0,"",VLOOKUP($A98,'Pre-Assessment Estimator'!$A$9:$V$100,J$2,FALSE))</f>
        <v/>
      </c>
      <c r="K98" s="749"/>
      <c r="L98" s="750" t="str">
        <f>IF(VLOOKUP($A98,'Pre-Assessment Estimator'!$A$9:$V$100,L$2,FALSE)=0,"",VLOOKUP($A98,'Pre-Assessment Estimator'!$A$9:$V$100,L$2,FALSE))</f>
        <v/>
      </c>
      <c r="M98" s="747" t="str">
        <f>IF(VLOOKUP($A98,'Pre-Assessment Estimator'!$A$9:$V$100,M$2,FALSE)=0,"",VLOOKUP($A98,'Pre-Assessment Estimator'!$A$9:$V$100,M$2,FALSE))</f>
        <v/>
      </c>
      <c r="N98" s="747" t="str">
        <f>IF(VLOOKUP($A98,'Pre-Assessment Estimator'!$A$9:$V$100,N$2,FALSE)=0,"",VLOOKUP($A98,'Pre-Assessment Estimator'!$A$9:$V$100,N$2,FALSE))</f>
        <v/>
      </c>
      <c r="O98" s="747" t="str">
        <f>IF(VLOOKUP($A98,'Pre-Assessment Estimator'!$A$9:$V$100,O$2,FALSE)=0,"",VLOOKUP($A98,'Pre-Assessment Estimator'!$A$9:$V$100,O$2,FALSE))</f>
        <v/>
      </c>
      <c r="P98" s="748" t="str">
        <f>IF(VLOOKUP($A98,'Pre-Assessment Estimator'!$A$9:$V$100,P$2,FALSE)=0,"",VLOOKUP($A98,'Pre-Assessment Estimator'!$A$9:$V$100,P$2,FALSE))</f>
        <v/>
      </c>
      <c r="Q98" s="751"/>
      <c r="R98" s="750" t="str">
        <f>IF(VLOOKUP($A98,'Pre-Assessment Estimator'!$A$9:$V$100,R$2,FALSE)=0,"",VLOOKUP($A98,'Pre-Assessment Estimator'!$A$9:$V$100,R$2,FALSE))</f>
        <v/>
      </c>
      <c r="S98" s="747" t="str">
        <f>IF(VLOOKUP($A98,'Pre-Assessment Estimator'!$A$9:$V$100,S$2,FALSE)=0,"",VLOOKUP($A98,'Pre-Assessment Estimator'!$A$9:$V$100,S$2,FALSE))</f>
        <v/>
      </c>
      <c r="T98" s="747" t="str">
        <f>IF(VLOOKUP($A98,'Pre-Assessment Estimator'!$A$9:$V$100,T$2,FALSE)=0,"",VLOOKUP($A98,'Pre-Assessment Estimator'!$A$9:$V$100,T$2,FALSE))</f>
        <v/>
      </c>
      <c r="U98" s="747" t="str">
        <f>IF(VLOOKUP($A98,'Pre-Assessment Estimator'!$A$9:$V$100,U$2,FALSE)=0,"",VLOOKUP($A98,'Pre-Assessment Estimator'!$A$9:$V$100,U$2,FALSE))</f>
        <v/>
      </c>
      <c r="V98" s="491" t="str">
        <f>IF(VLOOKUP($A98,'Pre-Assessment Estimator'!$A$9:$V$100,V$2,FALSE)=0,"",VLOOKUP($A98,'Pre-Assessment Estimator'!$A$9:$V$100,V$2,FALSE))</f>
        <v/>
      </c>
      <c r="W98" s="880"/>
      <c r="X98" s="747" t="str">
        <f>IF(VLOOKUP($A98,'Pre-Assessment Estimator'!$A$9:$X$100,X$2,FALSE)=0,"",VLOOKUP($A98,'Pre-Assessment Estimator'!$A$9:$X$100,X$2,FALSE))</f>
        <v>N/A</v>
      </c>
      <c r="AB98" s="519">
        <f t="shared" si="1"/>
        <v>1</v>
      </c>
      <c r="AC98" s="520" t="e">
        <f>VLOOKUP(I98,'Assessment Details'!$L$45:$M$48,2,FALSE)</f>
        <v>#N/A</v>
      </c>
      <c r="AD98" s="520" t="e">
        <f>VLOOKUP(N98,'Assessment Details'!$L$45:$M$48,2,FALSE)</f>
        <v>#N/A</v>
      </c>
      <c r="AE98" s="520" t="e">
        <f>VLOOKUP(T98,'Assessment Details'!$L$45:$M$48,2,FALSE)</f>
        <v>#N/A</v>
      </c>
    </row>
    <row r="99" spans="1:43" x14ac:dyDescent="0.25">
      <c r="A99" s="399">
        <v>91</v>
      </c>
      <c r="B99" s="439" t="s">
        <v>234</v>
      </c>
      <c r="C99" s="743" t="str">
        <f>Inn_09</f>
        <v xml:space="preserve">Inn 09 - Approved innovation credits </v>
      </c>
      <c r="D99" s="744">
        <f>VLOOKUP($A99,'Pre-Assessment Estimator'!$A$9:$V$100,D$2,FALSE)</f>
        <v>10</v>
      </c>
      <c r="E99" s="744">
        <f>VLOOKUP($A99,'Pre-Assessment Estimator'!$A$9:$V$100,E$2,FALSE)</f>
        <v>0</v>
      </c>
      <c r="F99" s="745">
        <f>VLOOKUP($A99,'Pre-Assessment Estimator'!$A$9:$V$100,F$2,FALSE)</f>
        <v>0</v>
      </c>
      <c r="G99" s="746" t="str">
        <f>VLOOKUP($A99,'Pre-Assessment Estimator'!$A$9:$V$100,G$2,FALSE)</f>
        <v>N/A</v>
      </c>
      <c r="H99" s="747" t="str">
        <f>IF(VLOOKUP($A99,'Pre-Assessment Estimator'!$A$9:$V$100,H$2,FALSE)=0,"",VLOOKUP($A99,'Pre-Assessment Estimator'!$A$9:$V$100,H$2,FALSE))</f>
        <v/>
      </c>
      <c r="I99" s="747" t="str">
        <f>IF(VLOOKUP($A99,'Pre-Assessment Estimator'!$A$9:$V$100,I$2,FALSE)=0,"",VLOOKUP($A99,'Pre-Assessment Estimator'!$A$9:$V$100,I$2,FALSE))</f>
        <v/>
      </c>
      <c r="J99" s="748" t="str">
        <f>IF(VLOOKUP($A99,'Pre-Assessment Estimator'!$A$9:$V$100,J$2,FALSE)=0,"",VLOOKUP($A99,'Pre-Assessment Estimator'!$A$9:$V$100,J$2,FALSE))</f>
        <v/>
      </c>
      <c r="K99" s="749"/>
      <c r="L99" s="750" t="str">
        <f>IF(VLOOKUP($A99,'Pre-Assessment Estimator'!$A$9:$V$100,L$2,FALSE)=0,"",VLOOKUP($A99,'Pre-Assessment Estimator'!$A$9:$V$100,L$2,FALSE))</f>
        <v/>
      </c>
      <c r="M99" s="747" t="str">
        <f>IF(VLOOKUP($A99,'Pre-Assessment Estimator'!$A$9:$V$100,M$2,FALSE)=0,"",VLOOKUP($A99,'Pre-Assessment Estimator'!$A$9:$V$100,M$2,FALSE))</f>
        <v/>
      </c>
      <c r="N99" s="747" t="str">
        <f>IF(VLOOKUP($A99,'Pre-Assessment Estimator'!$A$9:$V$100,N$2,FALSE)=0,"",VLOOKUP($A99,'Pre-Assessment Estimator'!$A$9:$V$100,N$2,FALSE))</f>
        <v/>
      </c>
      <c r="O99" s="747" t="str">
        <f>IF(VLOOKUP($A99,'Pre-Assessment Estimator'!$A$9:$V$100,O$2,FALSE)=0,"",VLOOKUP($A99,'Pre-Assessment Estimator'!$A$9:$V$100,O$2,FALSE))</f>
        <v/>
      </c>
      <c r="P99" s="748" t="str">
        <f>IF(VLOOKUP($A99,'Pre-Assessment Estimator'!$A$9:$V$100,P$2,FALSE)=0,"",VLOOKUP($A99,'Pre-Assessment Estimator'!$A$9:$V$100,P$2,FALSE))</f>
        <v/>
      </c>
      <c r="Q99" s="751"/>
      <c r="R99" s="750" t="str">
        <f>IF(VLOOKUP($A99,'Pre-Assessment Estimator'!$A$9:$V$100,R$2,FALSE)=0,"",VLOOKUP($A99,'Pre-Assessment Estimator'!$A$9:$V$100,R$2,FALSE))</f>
        <v/>
      </c>
      <c r="S99" s="747" t="str">
        <f>IF(VLOOKUP($A99,'Pre-Assessment Estimator'!$A$9:$V$100,S$2,FALSE)=0,"",VLOOKUP($A99,'Pre-Assessment Estimator'!$A$9:$V$100,S$2,FALSE))</f>
        <v/>
      </c>
      <c r="T99" s="747" t="str">
        <f>IF(VLOOKUP($A99,'Pre-Assessment Estimator'!$A$9:$V$100,T$2,FALSE)=0,"",VLOOKUP($A99,'Pre-Assessment Estimator'!$A$9:$V$100,T$2,FALSE))</f>
        <v/>
      </c>
      <c r="U99" s="747" t="str">
        <f>IF(VLOOKUP($A99,'Pre-Assessment Estimator'!$A$9:$V$100,U$2,FALSE)=0,"",VLOOKUP($A99,'Pre-Assessment Estimator'!$A$9:$V$100,U$2,FALSE))</f>
        <v/>
      </c>
      <c r="V99" s="491" t="str">
        <f>IF(VLOOKUP($A99,'Pre-Assessment Estimator'!$A$9:$V$100,V$2,FALSE)=0,"",VLOOKUP($A99,'Pre-Assessment Estimator'!$A$9:$V$100,V$2,FALSE))</f>
        <v/>
      </c>
      <c r="W99" s="880"/>
      <c r="X99" s="747" t="str">
        <f>IF(VLOOKUP($A99,'Pre-Assessment Estimator'!$A$9:$X$100,X$2,FALSE)=0,"",VLOOKUP($A99,'Pre-Assessment Estimator'!$A$9:$X$100,X$2,FALSE))</f>
        <v>N/A</v>
      </c>
      <c r="AB99" s="519">
        <f t="shared" si="1"/>
        <v>1</v>
      </c>
      <c r="AC99" s="520" t="e">
        <f>VLOOKUP(I99,'Assessment Details'!$L$45:$M$48,2,FALSE)</f>
        <v>#N/A</v>
      </c>
      <c r="AD99" s="520" t="e">
        <f>VLOOKUP(N99,'Assessment Details'!$L$45:$M$48,2,FALSE)</f>
        <v>#N/A</v>
      </c>
      <c r="AE99" s="520" t="e">
        <f>VLOOKUP(T99,'Assessment Details'!$L$45:$M$48,2,FALSE)</f>
        <v>#N/A</v>
      </c>
    </row>
    <row r="100" spans="1:43" ht="30.75" thickBot="1" x14ac:dyDescent="0.3">
      <c r="A100" s="399">
        <v>92</v>
      </c>
      <c r="B100" s="439" t="s">
        <v>234</v>
      </c>
      <c r="C100" s="753" t="s">
        <v>88</v>
      </c>
      <c r="D100" s="754">
        <f>VLOOKUP($A100,'Pre-Assessment Estimator'!$A$9:$V$100,D$2,FALSE)</f>
        <v>10</v>
      </c>
      <c r="E100" s="754">
        <f>IF(SUM(E91:E99)&gt;10,10,SUM(E91:E99))</f>
        <v>0</v>
      </c>
      <c r="F100" s="755">
        <f>VLOOKUP($A100,'Pre-Assessment Estimator'!$A$9:$V$100,F$2,FALSE)</f>
        <v>0</v>
      </c>
      <c r="G100" s="747"/>
      <c r="H100" s="747" t="str">
        <f>IF(VLOOKUP($A100,'Pre-Assessment Estimator'!$A$9:$V$100,H$2,FALSE)=0,"",VLOOKUP($A100,'Pre-Assessment Estimator'!$A$9:$V$100,H$2,FALSE))</f>
        <v/>
      </c>
      <c r="I100" s="744" t="str">
        <f>IF(VLOOKUP($A100,'Pre-Assessment Estimator'!$A$9:$V$100,I$2,FALSE)=0,"",VLOOKUP($A100,'Pre-Assessment Estimator'!$A$9:$V$100,I$2,FALSE))</f>
        <v/>
      </c>
      <c r="J100" s="748" t="str">
        <f>IF(VLOOKUP($A100,'Pre-Assessment Estimator'!$A$9:$V$100,J$2,FALSE)=0,"",VLOOKUP($A100,'Pre-Assessment Estimator'!$A$9:$V$100,J$2,FALSE))</f>
        <v/>
      </c>
      <c r="K100" s="761"/>
      <c r="L100" s="756" t="str">
        <f>IF(VLOOKUP($A100,'Pre-Assessment Estimator'!$A$9:$V$100,L$2,FALSE)=0,"",VLOOKUP($A100,'Pre-Assessment Estimator'!$A$9:$V$100,L$2,FALSE))</f>
        <v/>
      </c>
      <c r="M100" s="747" t="str">
        <f>IF(VLOOKUP($A100,'Pre-Assessment Estimator'!$A$9:$V$100,M$2,FALSE)=0,"",VLOOKUP($A100,'Pre-Assessment Estimator'!$A$9:$V$100,M$2,FALSE))</f>
        <v/>
      </c>
      <c r="N100" s="744" t="str">
        <f>IF(VLOOKUP($A100,'Pre-Assessment Estimator'!$A$9:$V$100,N$2,FALSE)=0,"",VLOOKUP($A100,'Pre-Assessment Estimator'!$A$9:$V$100,N$2,FALSE))</f>
        <v/>
      </c>
      <c r="O100" s="747" t="str">
        <f>IF(VLOOKUP($A100,'Pre-Assessment Estimator'!$A$9:$V$100,O$2,FALSE)=0,"",VLOOKUP($A100,'Pre-Assessment Estimator'!$A$9:$V$100,O$2,FALSE))</f>
        <v/>
      </c>
      <c r="P100" s="748" t="str">
        <f>IF(VLOOKUP($A100,'Pre-Assessment Estimator'!$A$9:$V$100,P$2,FALSE)=0,"",VLOOKUP($A100,'Pre-Assessment Estimator'!$A$9:$V$100,P$2,FALSE))</f>
        <v/>
      </c>
      <c r="Q100" s="762"/>
      <c r="R100" s="756" t="str">
        <f>IF(VLOOKUP($A100,'Pre-Assessment Estimator'!$A$9:$V$100,R$2,FALSE)=0,"",VLOOKUP($A100,'Pre-Assessment Estimator'!$A$9:$V$100,R$2,FALSE))</f>
        <v/>
      </c>
      <c r="S100" s="747" t="str">
        <f>IF(VLOOKUP($A100,'Pre-Assessment Estimator'!$A$9:$V$100,S$2,FALSE)=0,"",VLOOKUP($A100,'Pre-Assessment Estimator'!$A$9:$V$100,S$2,FALSE))</f>
        <v/>
      </c>
      <c r="T100" s="744" t="str">
        <f>IF(VLOOKUP($A100,'Pre-Assessment Estimator'!$A$9:$V$100,T$2,FALSE)=0,"",VLOOKUP($A100,'Pre-Assessment Estimator'!$A$9:$V$100,T$2,FALSE))</f>
        <v/>
      </c>
      <c r="U100" s="747" t="str">
        <f>IF(VLOOKUP($A100,'Pre-Assessment Estimator'!$A$9:$V$100,U$2,FALSE)=0,"",VLOOKUP($A100,'Pre-Assessment Estimator'!$A$9:$V$100,U$2,FALSE))</f>
        <v/>
      </c>
      <c r="V100" s="491" t="str">
        <f>IF(VLOOKUP($A100,'Pre-Assessment Estimator'!$A$9:$V$100,V$2,FALSE)=0,"",VLOOKUP($A100,'Pre-Assessment Estimator'!$A$9:$V$100,V$2,FALSE))</f>
        <v/>
      </c>
      <c r="W100" s="880"/>
      <c r="X100" s="747" t="str">
        <f>IF(VLOOKUP($A100,'Pre-Assessment Estimator'!$A$9:$X$100,X$2,FALSE)=0,"",VLOOKUP($A100,'Pre-Assessment Estimator'!$A$9:$X$100,X$2,FALSE))</f>
        <v/>
      </c>
      <c r="AB100" s="519">
        <f t="shared" si="1"/>
        <v>1</v>
      </c>
      <c r="AC100" s="333">
        <v>0</v>
      </c>
      <c r="AD100" s="333">
        <v>0</v>
      </c>
      <c r="AE100" s="333">
        <v>0</v>
      </c>
    </row>
    <row r="101" spans="1:43" x14ac:dyDescent="0.25">
      <c r="A101" s="548"/>
      <c r="B101" s="439" t="s">
        <v>234</v>
      </c>
      <c r="C101" s="337"/>
      <c r="D101" s="336"/>
      <c r="E101" s="336"/>
      <c r="F101" s="336"/>
      <c r="G101" s="336"/>
      <c r="H101" s="337"/>
      <c r="I101" s="336"/>
      <c r="J101" s="336"/>
      <c r="K101" s="763"/>
      <c r="L101" s="336"/>
      <c r="M101" s="337"/>
      <c r="N101" s="336"/>
      <c r="O101" s="336"/>
      <c r="P101" s="336"/>
      <c r="Q101" s="764"/>
      <c r="R101" s="336"/>
      <c r="S101" s="337"/>
      <c r="T101" s="336"/>
      <c r="U101" s="336"/>
      <c r="V101" s="103"/>
      <c r="W101" s="882"/>
      <c r="X101" s="522"/>
      <c r="Y101" s="522"/>
      <c r="Z101" s="522"/>
      <c r="AA101" s="522"/>
      <c r="AC101" s="335"/>
      <c r="AD101" s="335"/>
      <c r="AE101" s="335"/>
    </row>
    <row r="102" spans="1:43" x14ac:dyDescent="0.25">
      <c r="A102" s="548"/>
      <c r="B102" s="549"/>
      <c r="C102" s="765"/>
      <c r="D102" s="8"/>
      <c r="E102" s="8"/>
      <c r="F102" s="8"/>
      <c r="G102" s="8"/>
      <c r="H102" s="8"/>
      <c r="I102" s="8"/>
      <c r="J102" s="8"/>
      <c r="K102" s="325"/>
      <c r="L102" s="8"/>
      <c r="M102" s="8"/>
      <c r="N102" s="8"/>
      <c r="O102" s="8"/>
      <c r="P102" s="324"/>
      <c r="Q102" s="325"/>
      <c r="R102" s="8"/>
      <c r="S102" s="8"/>
      <c r="T102" s="8"/>
      <c r="U102" s="8"/>
      <c r="V102" s="27"/>
      <c r="W102" s="27"/>
    </row>
    <row r="103" spans="1:43" x14ac:dyDescent="0.25">
      <c r="A103" s="549"/>
      <c r="B103" s="549"/>
      <c r="C103" s="348"/>
      <c r="D103" s="519"/>
      <c r="P103" s="519"/>
      <c r="V103" s="519"/>
      <c r="W103" s="519"/>
    </row>
    <row r="104" spans="1:43" x14ac:dyDescent="0.25">
      <c r="A104" s="521"/>
      <c r="B104" s="521"/>
      <c r="C104" s="32"/>
      <c r="D104" s="27"/>
      <c r="P104" s="27"/>
      <c r="V104" s="27"/>
      <c r="W104" s="27"/>
    </row>
    <row r="105" spans="1:43" x14ac:dyDescent="0.25">
      <c r="A105" s="521"/>
      <c r="B105" s="521"/>
      <c r="C105" s="33"/>
      <c r="D105" s="519"/>
      <c r="P105" s="519"/>
      <c r="V105" s="519"/>
      <c r="W105" s="519"/>
    </row>
    <row r="106" spans="1:43" x14ac:dyDescent="0.25">
      <c r="A106" s="521"/>
      <c r="B106" s="521"/>
      <c r="C106" s="32"/>
      <c r="D106" s="27"/>
      <c r="P106" s="27"/>
      <c r="V106" s="27"/>
      <c r="W106" s="27"/>
      <c r="AC106" s="547"/>
      <c r="AD106" s="547"/>
      <c r="AE106" s="547"/>
      <c r="AF106" s="547"/>
      <c r="AG106" s="547"/>
      <c r="AH106" s="547"/>
      <c r="AI106" s="547"/>
      <c r="AJ106" s="547"/>
      <c r="AK106" s="547"/>
      <c r="AL106" s="547"/>
      <c r="AM106" s="547"/>
      <c r="AN106" s="547"/>
      <c r="AO106" s="547"/>
      <c r="AP106" s="547"/>
      <c r="AQ106" s="547"/>
    </row>
    <row r="259" spans="3:31" s="519" customFormat="1" ht="15.75" x14ac:dyDescent="0.25">
      <c r="C259" s="550"/>
      <c r="D259" s="550"/>
      <c r="E259" s="550"/>
      <c r="F259" s="550"/>
      <c r="G259" s="550"/>
      <c r="H259" s="550"/>
      <c r="I259" s="550"/>
      <c r="J259" s="551"/>
      <c r="L259" s="550"/>
      <c r="M259" s="550"/>
      <c r="N259" s="550"/>
      <c r="O259" s="550"/>
      <c r="P259" s="550"/>
      <c r="R259" s="550"/>
      <c r="S259" s="550"/>
      <c r="T259" s="550"/>
      <c r="U259" s="550"/>
      <c r="V259" s="550"/>
      <c r="W259" s="550"/>
      <c r="AC259" s="520"/>
      <c r="AD259" s="520"/>
      <c r="AE259" s="520"/>
    </row>
  </sheetData>
  <sheetProtection algorithmName="SHA-512" hashValue="bsOebrgGn03db2TT/xccEeguQT97m721j2FJR3JWf1XoBFv9qdb261oiekZwLgUlCxKG+OOxUj6tk0VJx3Xjzw==" saltValue="Tga3eMivl7+9lYL5L9plww==" spinCount="100000" sheet="1" objects="1" scenarios="1" formatRows="0" sort="0" autoFilter="0"/>
  <conditionalFormatting sqref="H31:I40 H44:I47 H53:I56 H60:I64 H68:I71 H75:I79 H83:I87 H91:I99 H49:I49 H18:I27 H10:I16">
    <cfRule type="expression" dxfId="384" priority="574">
      <formula>$AC10=4</formula>
    </cfRule>
    <cfRule type="expression" dxfId="383" priority="575">
      <formula>$AC10=3</formula>
    </cfRule>
    <cfRule type="expression" dxfId="382" priority="576">
      <formula>$AC10=2</formula>
    </cfRule>
    <cfRule type="expression" dxfId="381" priority="577">
      <formula>$AC10=1</formula>
    </cfRule>
  </conditionalFormatting>
  <conditionalFormatting sqref="M31:N40 M44:N47 M53:N56 M60:N64 M68:N71 M75:N79 M83:N87 M10:N16 M91:N99 M49:N49 M18:N27">
    <cfRule type="expression" dxfId="380" priority="570">
      <formula>$AD10=4</formula>
    </cfRule>
    <cfRule type="expression" dxfId="379" priority="571">
      <formula>$AD10=3</formula>
    </cfRule>
    <cfRule type="expression" dxfId="378" priority="572">
      <formula>$AD10=2</formula>
    </cfRule>
    <cfRule type="expression" dxfId="377" priority="573">
      <formula>$AD10=1</formula>
    </cfRule>
  </conditionalFormatting>
  <conditionalFormatting sqref="S31:T40 S44:T47 S53:T56 S60:T64 S68:T71 S75:T79 S83:T87 S10:T16 S91:T99 S49:T49 S18:T27">
    <cfRule type="expression" dxfId="376" priority="566">
      <formula>$AE10=4</formula>
    </cfRule>
    <cfRule type="expression" dxfId="375" priority="567">
      <formula>$AE10=3</formula>
    </cfRule>
    <cfRule type="expression" dxfId="374" priority="568">
      <formula>$AE10=2</formula>
    </cfRule>
    <cfRule type="expression" dxfId="373" priority="569">
      <formula>$AE10=1</formula>
    </cfRule>
  </conditionalFormatting>
  <conditionalFormatting sqref="H28:I29">
    <cfRule type="expression" dxfId="372" priority="562">
      <formula>$AC28=4</formula>
    </cfRule>
    <cfRule type="expression" dxfId="371" priority="563">
      <formula>$AC28=3</formula>
    </cfRule>
    <cfRule type="expression" dxfId="370" priority="564">
      <formula>$AC28=2</formula>
    </cfRule>
    <cfRule type="expression" dxfId="369" priority="565">
      <formula>$AC28=1</formula>
    </cfRule>
  </conditionalFormatting>
  <conditionalFormatting sqref="M28:N29">
    <cfRule type="expression" dxfId="368" priority="558">
      <formula>$AD28=4</formula>
    </cfRule>
    <cfRule type="expression" dxfId="367" priority="559">
      <formula>$AD28=3</formula>
    </cfRule>
    <cfRule type="expression" dxfId="366" priority="560">
      <formula>$AD28=2</formula>
    </cfRule>
    <cfRule type="expression" dxfId="365" priority="561">
      <formula>$AD28=1</formula>
    </cfRule>
  </conditionalFormatting>
  <conditionalFormatting sqref="S28:T29">
    <cfRule type="expression" dxfId="364" priority="554">
      <formula>$AE28=4</formula>
    </cfRule>
    <cfRule type="expression" dxfId="363" priority="555">
      <formula>$AE28=3</formula>
    </cfRule>
    <cfRule type="expression" dxfId="362" priority="556">
      <formula>$AE28=2</formula>
    </cfRule>
    <cfRule type="expression" dxfId="361" priority="557">
      <formula>$AE28=1</formula>
    </cfRule>
  </conditionalFormatting>
  <conditionalFormatting sqref="H41:I42">
    <cfRule type="expression" dxfId="360" priority="550">
      <formula>$AC41=4</formula>
    </cfRule>
    <cfRule type="expression" dxfId="359" priority="551">
      <formula>$AC41=3</formula>
    </cfRule>
    <cfRule type="expression" dxfId="358" priority="552">
      <formula>$AC41=2</formula>
    </cfRule>
    <cfRule type="expression" dxfId="357" priority="553">
      <formula>$AC41=1</formula>
    </cfRule>
  </conditionalFormatting>
  <conditionalFormatting sqref="M41:N42">
    <cfRule type="expression" dxfId="356" priority="546">
      <formula>$AD41=4</formula>
    </cfRule>
    <cfRule type="expression" dxfId="355" priority="547">
      <formula>$AD41=3</formula>
    </cfRule>
    <cfRule type="expression" dxfId="354" priority="548">
      <formula>$AD41=2</formula>
    </cfRule>
    <cfRule type="expression" dxfId="353" priority="549">
      <formula>$AD41=1</formula>
    </cfRule>
  </conditionalFormatting>
  <conditionalFormatting sqref="S41:T42">
    <cfRule type="expression" dxfId="352" priority="542">
      <formula>$AE41=4</formula>
    </cfRule>
    <cfRule type="expression" dxfId="351" priority="543">
      <formula>$AE41=3</formula>
    </cfRule>
    <cfRule type="expression" dxfId="350" priority="544">
      <formula>$AE41=2</formula>
    </cfRule>
    <cfRule type="expression" dxfId="349" priority="545">
      <formula>$AE41=1</formula>
    </cfRule>
  </conditionalFormatting>
  <conditionalFormatting sqref="H50:I51">
    <cfRule type="expression" dxfId="348" priority="538">
      <formula>$AC50=4</formula>
    </cfRule>
    <cfRule type="expression" dxfId="347" priority="539">
      <formula>$AC50=3</formula>
    </cfRule>
    <cfRule type="expression" dxfId="346" priority="540">
      <formula>$AC50=2</formula>
    </cfRule>
    <cfRule type="expression" dxfId="345" priority="541">
      <formula>$AC50=1</formula>
    </cfRule>
  </conditionalFormatting>
  <conditionalFormatting sqref="M50:N51">
    <cfRule type="expression" dxfId="344" priority="534">
      <formula>$AD50=4</formula>
    </cfRule>
    <cfRule type="expression" dxfId="343" priority="535">
      <formula>$AD50=3</formula>
    </cfRule>
    <cfRule type="expression" dxfId="342" priority="536">
      <formula>$AD50=2</formula>
    </cfRule>
    <cfRule type="expression" dxfId="341" priority="537">
      <formula>$AD50=1</formula>
    </cfRule>
  </conditionalFormatting>
  <conditionalFormatting sqref="S50:T51">
    <cfRule type="expression" dxfId="340" priority="530">
      <formula>$AE50=4</formula>
    </cfRule>
    <cfRule type="expression" dxfId="339" priority="531">
      <formula>$AE50=3</formula>
    </cfRule>
    <cfRule type="expression" dxfId="338" priority="532">
      <formula>$AE50=2</formula>
    </cfRule>
    <cfRule type="expression" dxfId="337" priority="533">
      <formula>$AE50=1</formula>
    </cfRule>
  </conditionalFormatting>
  <conditionalFormatting sqref="H57:I58">
    <cfRule type="expression" dxfId="336" priority="526">
      <formula>$AC57=4</formula>
    </cfRule>
    <cfRule type="expression" dxfId="335" priority="527">
      <formula>$AC57=3</formula>
    </cfRule>
    <cfRule type="expression" dxfId="334" priority="528">
      <formula>$AC57=2</formula>
    </cfRule>
    <cfRule type="expression" dxfId="333" priority="529">
      <formula>$AC57=1</formula>
    </cfRule>
  </conditionalFormatting>
  <conditionalFormatting sqref="M57:N58">
    <cfRule type="expression" dxfId="332" priority="522">
      <formula>$AD57=4</formula>
    </cfRule>
    <cfRule type="expression" dxfId="331" priority="523">
      <formula>$AD57=3</formula>
    </cfRule>
    <cfRule type="expression" dxfId="330" priority="524">
      <formula>$AD57=2</formula>
    </cfRule>
    <cfRule type="expression" dxfId="329" priority="525">
      <formula>$AD57=1</formula>
    </cfRule>
  </conditionalFormatting>
  <conditionalFormatting sqref="S57:T58">
    <cfRule type="expression" dxfId="328" priority="518">
      <formula>$AE57=4</formula>
    </cfRule>
    <cfRule type="expression" dxfId="327" priority="519">
      <formula>$AE57=3</formula>
    </cfRule>
    <cfRule type="expression" dxfId="326" priority="520">
      <formula>$AE57=2</formula>
    </cfRule>
    <cfRule type="expression" dxfId="325" priority="521">
      <formula>$AE57=1</formula>
    </cfRule>
  </conditionalFormatting>
  <conditionalFormatting sqref="H65:I66">
    <cfRule type="expression" dxfId="324" priority="514">
      <formula>$AC65=4</formula>
    </cfRule>
    <cfRule type="expression" dxfId="323" priority="515">
      <formula>$AC65=3</formula>
    </cfRule>
    <cfRule type="expression" dxfId="322" priority="516">
      <formula>$AC65=2</formula>
    </cfRule>
    <cfRule type="expression" dxfId="321" priority="517">
      <formula>$AC65=1</formula>
    </cfRule>
  </conditionalFormatting>
  <conditionalFormatting sqref="M65:N66">
    <cfRule type="expression" dxfId="320" priority="510">
      <formula>$AD65=4</formula>
    </cfRule>
    <cfRule type="expression" dxfId="319" priority="511">
      <formula>$AD65=3</formula>
    </cfRule>
    <cfRule type="expression" dxfId="318" priority="512">
      <formula>$AD65=2</formula>
    </cfRule>
    <cfRule type="expression" dxfId="317" priority="513">
      <formula>$AD65=1</formula>
    </cfRule>
  </conditionalFormatting>
  <conditionalFormatting sqref="S65:T66">
    <cfRule type="expression" dxfId="316" priority="506">
      <formula>$AE65=4</formula>
    </cfRule>
    <cfRule type="expression" dxfId="315" priority="507">
      <formula>$AE65=3</formula>
    </cfRule>
    <cfRule type="expression" dxfId="314" priority="508">
      <formula>$AE65=2</formula>
    </cfRule>
    <cfRule type="expression" dxfId="313" priority="509">
      <formula>$AE65=1</formula>
    </cfRule>
  </conditionalFormatting>
  <conditionalFormatting sqref="H72:I73">
    <cfRule type="expression" dxfId="312" priority="502">
      <formula>$AC72=4</formula>
    </cfRule>
    <cfRule type="expression" dxfId="311" priority="503">
      <formula>$AC72=3</formula>
    </cfRule>
    <cfRule type="expression" dxfId="310" priority="504">
      <formula>$AC72=2</formula>
    </cfRule>
    <cfRule type="expression" dxfId="309" priority="505">
      <formula>$AC72=1</formula>
    </cfRule>
  </conditionalFormatting>
  <conditionalFormatting sqref="M72:N73">
    <cfRule type="expression" dxfId="308" priority="498">
      <formula>$AD72=4</formula>
    </cfRule>
    <cfRule type="expression" dxfId="307" priority="499">
      <formula>$AD72=3</formula>
    </cfRule>
    <cfRule type="expression" dxfId="306" priority="500">
      <formula>$AD72=2</formula>
    </cfRule>
    <cfRule type="expression" dxfId="305" priority="501">
      <formula>$AD72=1</formula>
    </cfRule>
  </conditionalFormatting>
  <conditionalFormatting sqref="S72:T73">
    <cfRule type="expression" dxfId="304" priority="494">
      <formula>$AE72=4</formula>
    </cfRule>
    <cfRule type="expression" dxfId="303" priority="495">
      <formula>$AE72=3</formula>
    </cfRule>
    <cfRule type="expression" dxfId="302" priority="496">
      <formula>$AE72=2</formula>
    </cfRule>
    <cfRule type="expression" dxfId="301" priority="497">
      <formula>$AE72=1</formula>
    </cfRule>
  </conditionalFormatting>
  <conditionalFormatting sqref="H80:I81">
    <cfRule type="expression" dxfId="300" priority="490">
      <formula>$AC80=4</formula>
    </cfRule>
    <cfRule type="expression" dxfId="299" priority="491">
      <formula>$AC80=3</formula>
    </cfRule>
    <cfRule type="expression" dxfId="298" priority="492">
      <formula>$AC80=2</formula>
    </cfRule>
    <cfRule type="expression" dxfId="297" priority="493">
      <formula>$AC80=1</formula>
    </cfRule>
  </conditionalFormatting>
  <conditionalFormatting sqref="M80:N81">
    <cfRule type="expression" dxfId="296" priority="486">
      <formula>$AD80=4</formula>
    </cfRule>
    <cfRule type="expression" dxfId="295" priority="487">
      <formula>$AD80=3</formula>
    </cfRule>
    <cfRule type="expression" dxfId="294" priority="488">
      <formula>$AD80=2</formula>
    </cfRule>
    <cfRule type="expression" dxfId="293" priority="489">
      <formula>$AD80=1</formula>
    </cfRule>
  </conditionalFormatting>
  <conditionalFormatting sqref="S80:T81">
    <cfRule type="expression" dxfId="292" priority="482">
      <formula>$AE80=4</formula>
    </cfRule>
    <cfRule type="expression" dxfId="291" priority="483">
      <formula>$AE80=3</formula>
    </cfRule>
    <cfRule type="expression" dxfId="290" priority="484">
      <formula>$AE80=2</formula>
    </cfRule>
    <cfRule type="expression" dxfId="289" priority="485">
      <formula>$AE80=1</formula>
    </cfRule>
  </conditionalFormatting>
  <conditionalFormatting sqref="H88:I89">
    <cfRule type="expression" dxfId="288" priority="478">
      <formula>$AC88=4</formula>
    </cfRule>
    <cfRule type="expression" dxfId="287" priority="479">
      <formula>$AC88=3</formula>
    </cfRule>
    <cfRule type="expression" dxfId="286" priority="480">
      <formula>$AC88=2</formula>
    </cfRule>
    <cfRule type="expression" dxfId="285" priority="481">
      <formula>$AC88=1</formula>
    </cfRule>
  </conditionalFormatting>
  <conditionalFormatting sqref="M88:N89">
    <cfRule type="expression" dxfId="284" priority="474">
      <formula>$AD88=4</formula>
    </cfRule>
    <cfRule type="expression" dxfId="283" priority="475">
      <formula>$AD88=3</formula>
    </cfRule>
    <cfRule type="expression" dxfId="282" priority="476">
      <formula>$AD88=2</formula>
    </cfRule>
    <cfRule type="expression" dxfId="281" priority="477">
      <formula>$AD88=1</formula>
    </cfRule>
  </conditionalFormatting>
  <conditionalFormatting sqref="S88:T89">
    <cfRule type="expression" dxfId="280" priority="470">
      <formula>$AE88=4</formula>
    </cfRule>
    <cfRule type="expression" dxfId="279" priority="471">
      <formula>$AE88=3</formula>
    </cfRule>
    <cfRule type="expression" dxfId="278" priority="472">
      <formula>$AE88=2</formula>
    </cfRule>
    <cfRule type="expression" dxfId="277" priority="473">
      <formula>$AE88=1</formula>
    </cfRule>
  </conditionalFormatting>
  <conditionalFormatting sqref="H100:I100">
    <cfRule type="expression" dxfId="276" priority="466">
      <formula>$AC100=4</formula>
    </cfRule>
    <cfRule type="expression" dxfId="275" priority="467">
      <formula>$AC100=3</formula>
    </cfRule>
    <cfRule type="expression" dxfId="274" priority="468">
      <formula>$AC100=2</formula>
    </cfRule>
    <cfRule type="expression" dxfId="273" priority="469">
      <formula>$AC100=1</formula>
    </cfRule>
  </conditionalFormatting>
  <conditionalFormatting sqref="M100:N100">
    <cfRule type="expression" dxfId="272" priority="462">
      <formula>$AD100=4</formula>
    </cfRule>
    <cfRule type="expression" dxfId="271" priority="463">
      <formula>$AD100=3</formula>
    </cfRule>
    <cfRule type="expression" dxfId="270" priority="464">
      <formula>$AD100=2</formula>
    </cfRule>
    <cfRule type="expression" dxfId="269" priority="465">
      <formula>$AD100=1</formula>
    </cfRule>
  </conditionalFormatting>
  <conditionalFormatting sqref="S100:T100">
    <cfRule type="expression" dxfId="268" priority="458">
      <formula>$AE100=4</formula>
    </cfRule>
    <cfRule type="expression" dxfId="267" priority="459">
      <formula>$AE100=3</formula>
    </cfRule>
    <cfRule type="expression" dxfId="266" priority="460">
      <formula>$AE100=2</formula>
    </cfRule>
    <cfRule type="expression" dxfId="265" priority="461">
      <formula>$AE100=1</formula>
    </cfRule>
  </conditionalFormatting>
  <conditionalFormatting sqref="L10:P16 C18:J29 L18:P29 L31:P42 C31:J42 L44:P51 L53:P58 C53:J58 C60:J66 L60:P66 L68:P73 C68:J73 C75:J81 L75:P81 L83:P89 C83:J89 C91:J100 L91:P100 C44:J51 C10:J16 H9:J9 H17:J17 H30:J30 H43:J43 R9:W47 H52:J52 H59:J59 H67:J67 H74:J74 H82:J82 H90:J90 R49:W100">
    <cfRule type="expression" dxfId="264" priority="457">
      <formula>$AB9=2</formula>
    </cfRule>
  </conditionalFormatting>
  <conditionalFormatting sqref="L10:L16 L49:L51 L18:L29 L31:L42 L44:L47 L53:L58 L60:L66 L68:L73 L75:L81 L83:L89 L91:L100">
    <cfRule type="expression" dxfId="263" priority="456">
      <formula>L10&gt;D10</formula>
    </cfRule>
  </conditionalFormatting>
  <conditionalFormatting sqref="R10:R16 R49:R51 R18:R29 R31:R42 R44:R47 R53:R58 R60:R66 R68:R73 R75:R81 R83:R89 R91:R100">
    <cfRule type="expression" dxfId="262" priority="455">
      <formula>R10&gt;D10</formula>
    </cfRule>
  </conditionalFormatting>
  <conditionalFormatting sqref="H48:I48">
    <cfRule type="expression" dxfId="261" priority="447">
      <formula>$AC48=4</formula>
    </cfRule>
    <cfRule type="expression" dxfId="260" priority="448">
      <formula>$AC48=3</formula>
    </cfRule>
    <cfRule type="expression" dxfId="259" priority="449">
      <formula>$AC48=2</formula>
    </cfRule>
    <cfRule type="expression" dxfId="258" priority="450">
      <formula>$AC48=1</formula>
    </cfRule>
  </conditionalFormatting>
  <conditionalFormatting sqref="M48:N48">
    <cfRule type="expression" dxfId="257" priority="443">
      <formula>$AD48=4</formula>
    </cfRule>
    <cfRule type="expression" dxfId="256" priority="444">
      <formula>$AD48=3</formula>
    </cfRule>
    <cfRule type="expression" dxfId="255" priority="445">
      <formula>$AD48=2</formula>
    </cfRule>
    <cfRule type="expression" dxfId="254" priority="446">
      <formula>$AD48=1</formula>
    </cfRule>
  </conditionalFormatting>
  <conditionalFormatting sqref="S48:T48">
    <cfRule type="expression" dxfId="253" priority="439">
      <formula>$AE48=4</formula>
    </cfRule>
    <cfRule type="expression" dxfId="252" priority="440">
      <formula>$AE48=3</formula>
    </cfRule>
    <cfRule type="expression" dxfId="251" priority="441">
      <formula>$AE48=2</formula>
    </cfRule>
    <cfRule type="expression" dxfId="250" priority="442">
      <formula>$AE48=1</formula>
    </cfRule>
  </conditionalFormatting>
  <conditionalFormatting sqref="R48:W48">
    <cfRule type="expression" dxfId="249" priority="438">
      <formula>$AB48=2</formula>
    </cfRule>
  </conditionalFormatting>
  <conditionalFormatting sqref="L48">
    <cfRule type="expression" dxfId="248" priority="437">
      <formula>L48&gt;D48</formula>
    </cfRule>
  </conditionalFormatting>
  <conditionalFormatting sqref="R48">
    <cfRule type="expression" dxfId="247" priority="436">
      <formula>R48&gt;D48</formula>
    </cfRule>
  </conditionalFormatting>
  <conditionalFormatting sqref="M2:N2">
    <cfRule type="expression" dxfId="246" priority="428">
      <formula>$AD9=4</formula>
    </cfRule>
    <cfRule type="expression" dxfId="245" priority="429">
      <formula>$AD9=3</formula>
    </cfRule>
    <cfRule type="expression" dxfId="244" priority="430">
      <formula>$AD9=2</formula>
    </cfRule>
    <cfRule type="expression" dxfId="243" priority="431">
      <formula>$AD9=1</formula>
    </cfRule>
  </conditionalFormatting>
  <conditionalFormatting sqref="S2:T2">
    <cfRule type="expression" dxfId="242" priority="424">
      <formula>$AE9=4</formula>
    </cfRule>
    <cfRule type="expression" dxfId="241" priority="425">
      <formula>$AE9=3</formula>
    </cfRule>
    <cfRule type="expression" dxfId="240" priority="426">
      <formula>$AE9=2</formula>
    </cfRule>
    <cfRule type="expression" dxfId="239" priority="427">
      <formula>$AE9=1</formula>
    </cfRule>
  </conditionalFormatting>
  <conditionalFormatting sqref="L2:P2 R2:W2">
    <cfRule type="expression" dxfId="238" priority="423">
      <formula>$AB9=2</formula>
    </cfRule>
  </conditionalFormatting>
  <conditionalFormatting sqref="H9:I9">
    <cfRule type="expression" dxfId="237" priority="413">
      <formula>$AC9=4</formula>
    </cfRule>
    <cfRule type="expression" dxfId="236" priority="414">
      <formula>$AC9=3</formula>
    </cfRule>
    <cfRule type="expression" dxfId="235" priority="415">
      <formula>$AC9=2</formula>
    </cfRule>
    <cfRule type="expression" dxfId="234" priority="416">
      <formula>$AC9=1</formula>
    </cfRule>
  </conditionalFormatting>
  <conditionalFormatting sqref="M9:N9">
    <cfRule type="expression" dxfId="233" priority="409">
      <formula>$AD9=4</formula>
    </cfRule>
    <cfRule type="expression" dxfId="232" priority="410">
      <formula>$AD9=3</formula>
    </cfRule>
    <cfRule type="expression" dxfId="231" priority="411">
      <formula>$AD9=2</formula>
    </cfRule>
    <cfRule type="expression" dxfId="230" priority="412">
      <formula>$AD9=1</formula>
    </cfRule>
  </conditionalFormatting>
  <conditionalFormatting sqref="S9:T9">
    <cfRule type="expression" dxfId="229" priority="405">
      <formula>$AE9=4</formula>
    </cfRule>
    <cfRule type="expression" dxfId="228" priority="406">
      <formula>$AE9=3</formula>
    </cfRule>
    <cfRule type="expression" dxfId="227" priority="407">
      <formula>$AE9=2</formula>
    </cfRule>
    <cfRule type="expression" dxfId="226" priority="408">
      <formula>$AE9=1</formula>
    </cfRule>
  </conditionalFormatting>
  <conditionalFormatting sqref="L9:P9">
    <cfRule type="expression" dxfId="225" priority="404">
      <formula>$AB9=2</formula>
    </cfRule>
  </conditionalFormatting>
  <conditionalFormatting sqref="L9">
    <cfRule type="expression" dxfId="224" priority="403">
      <formula>L9&gt;D9</formula>
    </cfRule>
  </conditionalFormatting>
  <conditionalFormatting sqref="R9">
    <cfRule type="expression" dxfId="223" priority="402">
      <formula>R9&gt;D9</formula>
    </cfRule>
  </conditionalFormatting>
  <conditionalFormatting sqref="H17:I17">
    <cfRule type="expression" dxfId="222" priority="223">
      <formula>$AC17=4</formula>
    </cfRule>
    <cfRule type="expression" dxfId="221" priority="224">
      <formula>$AC17=3</formula>
    </cfRule>
    <cfRule type="expression" dxfId="220" priority="225">
      <formula>$AC17=2</formula>
    </cfRule>
    <cfRule type="expression" dxfId="219" priority="226">
      <formula>$AC17=1</formula>
    </cfRule>
  </conditionalFormatting>
  <conditionalFormatting sqref="M17:N17">
    <cfRule type="expression" dxfId="218" priority="219">
      <formula>$AD17=4</formula>
    </cfRule>
    <cfRule type="expression" dxfId="217" priority="220">
      <formula>$AD17=3</formula>
    </cfRule>
    <cfRule type="expression" dxfId="216" priority="221">
      <formula>$AD17=2</formula>
    </cfRule>
    <cfRule type="expression" dxfId="215" priority="222">
      <formula>$AD17=1</formula>
    </cfRule>
  </conditionalFormatting>
  <conditionalFormatting sqref="S17:T17">
    <cfRule type="expression" dxfId="214" priority="215">
      <formula>$AE17=4</formula>
    </cfRule>
    <cfRule type="expression" dxfId="213" priority="216">
      <formula>$AE17=3</formula>
    </cfRule>
    <cfRule type="expression" dxfId="212" priority="217">
      <formula>$AE17=2</formula>
    </cfRule>
    <cfRule type="expression" dxfId="211" priority="218">
      <formula>$AE17=1</formula>
    </cfRule>
  </conditionalFormatting>
  <conditionalFormatting sqref="L17:P17">
    <cfRule type="expression" dxfId="210" priority="214">
      <formula>$AB17=2</formula>
    </cfRule>
  </conditionalFormatting>
  <conditionalFormatting sqref="L17">
    <cfRule type="expression" dxfId="209" priority="213">
      <formula>L17&gt;D17</formula>
    </cfRule>
  </conditionalFormatting>
  <conditionalFormatting sqref="R17">
    <cfRule type="expression" dxfId="208" priority="212">
      <formula>R17&gt;D17</formula>
    </cfRule>
  </conditionalFormatting>
  <conditionalFormatting sqref="H30:I30">
    <cfRule type="expression" dxfId="207" priority="185">
      <formula>$AC30=4</formula>
    </cfRule>
    <cfRule type="expression" dxfId="206" priority="186">
      <formula>$AC30=3</formula>
    </cfRule>
    <cfRule type="expression" dxfId="205" priority="187">
      <formula>$AC30=2</formula>
    </cfRule>
    <cfRule type="expression" dxfId="204" priority="188">
      <formula>$AC30=1</formula>
    </cfRule>
  </conditionalFormatting>
  <conditionalFormatting sqref="M30:N30">
    <cfRule type="expression" dxfId="203" priority="181">
      <formula>$AD30=4</formula>
    </cfRule>
    <cfRule type="expression" dxfId="202" priority="182">
      <formula>$AD30=3</formula>
    </cfRule>
    <cfRule type="expression" dxfId="201" priority="183">
      <formula>$AD30=2</formula>
    </cfRule>
    <cfRule type="expression" dxfId="200" priority="184">
      <formula>$AD30=1</formula>
    </cfRule>
  </conditionalFormatting>
  <conditionalFormatting sqref="S30:T30">
    <cfRule type="expression" dxfId="199" priority="177">
      <formula>$AE30=4</formula>
    </cfRule>
    <cfRule type="expression" dxfId="198" priority="178">
      <formula>$AE30=3</formula>
    </cfRule>
    <cfRule type="expression" dxfId="197" priority="179">
      <formula>$AE30=2</formula>
    </cfRule>
    <cfRule type="expression" dxfId="196" priority="180">
      <formula>$AE30=1</formula>
    </cfRule>
  </conditionalFormatting>
  <conditionalFormatting sqref="L30:P30">
    <cfRule type="expression" dxfId="195" priority="176">
      <formula>$AB30=2</formula>
    </cfRule>
  </conditionalFormatting>
  <conditionalFormatting sqref="L30">
    <cfRule type="expression" dxfId="194" priority="175">
      <formula>L30&gt;D30</formula>
    </cfRule>
  </conditionalFormatting>
  <conditionalFormatting sqref="R30">
    <cfRule type="expression" dxfId="193" priority="174">
      <formula>R30&gt;D30</formula>
    </cfRule>
  </conditionalFormatting>
  <conditionalFormatting sqref="H43:I43">
    <cfRule type="expression" dxfId="192" priority="166">
      <formula>$AC43=4</formula>
    </cfRule>
    <cfRule type="expression" dxfId="191" priority="167">
      <formula>$AC43=3</formula>
    </cfRule>
    <cfRule type="expression" dxfId="190" priority="168">
      <formula>$AC43=2</formula>
    </cfRule>
    <cfRule type="expression" dxfId="189" priority="169">
      <formula>$AC43=1</formula>
    </cfRule>
  </conditionalFormatting>
  <conditionalFormatting sqref="M43:N43">
    <cfRule type="expression" dxfId="188" priority="162">
      <formula>$AD43=4</formula>
    </cfRule>
    <cfRule type="expression" dxfId="187" priority="163">
      <formula>$AD43=3</formula>
    </cfRule>
    <cfRule type="expression" dxfId="186" priority="164">
      <formula>$AD43=2</formula>
    </cfRule>
    <cfRule type="expression" dxfId="185" priority="165">
      <formula>$AD43=1</formula>
    </cfRule>
  </conditionalFormatting>
  <conditionalFormatting sqref="S43:T43">
    <cfRule type="expression" dxfId="184" priority="158">
      <formula>$AE43=4</formula>
    </cfRule>
    <cfRule type="expression" dxfId="183" priority="159">
      <formula>$AE43=3</formula>
    </cfRule>
    <cfRule type="expression" dxfId="182" priority="160">
      <formula>$AE43=2</formula>
    </cfRule>
    <cfRule type="expression" dxfId="181" priority="161">
      <formula>$AE43=1</formula>
    </cfRule>
  </conditionalFormatting>
  <conditionalFormatting sqref="L43:P43">
    <cfRule type="expression" dxfId="180" priority="157">
      <formula>$AB43=2</formula>
    </cfRule>
  </conditionalFormatting>
  <conditionalFormatting sqref="L43">
    <cfRule type="expression" dxfId="179" priority="156">
      <formula>L43&gt;D43</formula>
    </cfRule>
  </conditionalFormatting>
  <conditionalFormatting sqref="R43">
    <cfRule type="expression" dxfId="178" priority="155">
      <formula>R43&gt;D43</formula>
    </cfRule>
  </conditionalFormatting>
  <conditionalFormatting sqref="H52:I52">
    <cfRule type="expression" dxfId="177" priority="147">
      <formula>$AC52=4</formula>
    </cfRule>
    <cfRule type="expression" dxfId="176" priority="148">
      <formula>$AC52=3</formula>
    </cfRule>
    <cfRule type="expression" dxfId="175" priority="149">
      <formula>$AC52=2</formula>
    </cfRule>
    <cfRule type="expression" dxfId="174" priority="150">
      <formula>$AC52=1</formula>
    </cfRule>
  </conditionalFormatting>
  <conditionalFormatting sqref="M52:N52">
    <cfRule type="expression" dxfId="173" priority="143">
      <formula>$AD52=4</formula>
    </cfRule>
    <cfRule type="expression" dxfId="172" priority="144">
      <formula>$AD52=3</formula>
    </cfRule>
    <cfRule type="expression" dxfId="171" priority="145">
      <formula>$AD52=2</formula>
    </cfRule>
    <cfRule type="expression" dxfId="170" priority="146">
      <formula>$AD52=1</formula>
    </cfRule>
  </conditionalFormatting>
  <conditionalFormatting sqref="S52:T52">
    <cfRule type="expression" dxfId="169" priority="139">
      <formula>$AE52=4</formula>
    </cfRule>
    <cfRule type="expression" dxfId="168" priority="140">
      <formula>$AE52=3</formula>
    </cfRule>
    <cfRule type="expression" dxfId="167" priority="141">
      <formula>$AE52=2</formula>
    </cfRule>
    <cfRule type="expression" dxfId="166" priority="142">
      <formula>$AE52=1</formula>
    </cfRule>
  </conditionalFormatting>
  <conditionalFormatting sqref="L52:P52">
    <cfRule type="expression" dxfId="165" priority="138">
      <formula>$AB52=2</formula>
    </cfRule>
  </conditionalFormatting>
  <conditionalFormatting sqref="L52">
    <cfRule type="expression" dxfId="164" priority="137">
      <formula>L52&gt;D52</formula>
    </cfRule>
  </conditionalFormatting>
  <conditionalFormatting sqref="R52">
    <cfRule type="expression" dxfId="163" priority="136">
      <formula>R52&gt;D52</formula>
    </cfRule>
  </conditionalFormatting>
  <conditionalFormatting sqref="H59:I59">
    <cfRule type="expression" dxfId="162" priority="128">
      <formula>$AC59=4</formula>
    </cfRule>
    <cfRule type="expression" dxfId="161" priority="129">
      <formula>$AC59=3</formula>
    </cfRule>
    <cfRule type="expression" dxfId="160" priority="130">
      <formula>$AC59=2</formula>
    </cfRule>
    <cfRule type="expression" dxfId="159" priority="131">
      <formula>$AC59=1</formula>
    </cfRule>
  </conditionalFormatting>
  <conditionalFormatting sqref="M59:N59">
    <cfRule type="expression" dxfId="158" priority="124">
      <formula>$AD59=4</formula>
    </cfRule>
    <cfRule type="expression" dxfId="157" priority="125">
      <formula>$AD59=3</formula>
    </cfRule>
    <cfRule type="expression" dxfId="156" priority="126">
      <formula>$AD59=2</formula>
    </cfRule>
    <cfRule type="expression" dxfId="155" priority="127">
      <formula>$AD59=1</formula>
    </cfRule>
  </conditionalFormatting>
  <conditionalFormatting sqref="S59:T59">
    <cfRule type="expression" dxfId="154" priority="120">
      <formula>$AE59=4</formula>
    </cfRule>
    <cfRule type="expression" dxfId="153" priority="121">
      <formula>$AE59=3</formula>
    </cfRule>
    <cfRule type="expression" dxfId="152" priority="122">
      <formula>$AE59=2</formula>
    </cfRule>
    <cfRule type="expression" dxfId="151" priority="123">
      <formula>$AE59=1</formula>
    </cfRule>
  </conditionalFormatting>
  <conditionalFormatting sqref="L59:P59">
    <cfRule type="expression" dxfId="150" priority="119">
      <formula>$AB59=2</formula>
    </cfRule>
  </conditionalFormatting>
  <conditionalFormatting sqref="L59">
    <cfRule type="expression" dxfId="149" priority="118">
      <formula>L59&gt;D59</formula>
    </cfRule>
  </conditionalFormatting>
  <conditionalFormatting sqref="R59">
    <cfRule type="expression" dxfId="148" priority="117">
      <formula>R59&gt;D59</formula>
    </cfRule>
  </conditionalFormatting>
  <conditionalFormatting sqref="H67:I67">
    <cfRule type="expression" dxfId="147" priority="109">
      <formula>$AC67=4</formula>
    </cfRule>
    <cfRule type="expression" dxfId="146" priority="110">
      <formula>$AC67=3</formula>
    </cfRule>
    <cfRule type="expression" dxfId="145" priority="111">
      <formula>$AC67=2</formula>
    </cfRule>
    <cfRule type="expression" dxfId="144" priority="112">
      <formula>$AC67=1</formula>
    </cfRule>
  </conditionalFormatting>
  <conditionalFormatting sqref="M67:N67">
    <cfRule type="expression" dxfId="143" priority="105">
      <formula>$AD67=4</formula>
    </cfRule>
    <cfRule type="expression" dxfId="142" priority="106">
      <formula>$AD67=3</formula>
    </cfRule>
    <cfRule type="expression" dxfId="141" priority="107">
      <formula>$AD67=2</formula>
    </cfRule>
    <cfRule type="expression" dxfId="140" priority="108">
      <formula>$AD67=1</formula>
    </cfRule>
  </conditionalFormatting>
  <conditionalFormatting sqref="S67:T67">
    <cfRule type="expression" dxfId="139" priority="101">
      <formula>$AE67=4</formula>
    </cfRule>
    <cfRule type="expression" dxfId="138" priority="102">
      <formula>$AE67=3</formula>
    </cfRule>
    <cfRule type="expression" dxfId="137" priority="103">
      <formula>$AE67=2</formula>
    </cfRule>
    <cfRule type="expression" dxfId="136" priority="104">
      <formula>$AE67=1</formula>
    </cfRule>
  </conditionalFormatting>
  <conditionalFormatting sqref="L67:P67">
    <cfRule type="expression" dxfId="135" priority="100">
      <formula>$AB67=2</formula>
    </cfRule>
  </conditionalFormatting>
  <conditionalFormatting sqref="L67">
    <cfRule type="expression" dxfId="134" priority="99">
      <formula>L67&gt;D67</formula>
    </cfRule>
  </conditionalFormatting>
  <conditionalFormatting sqref="R67">
    <cfRule type="expression" dxfId="133" priority="98">
      <formula>R67&gt;D67</formula>
    </cfRule>
  </conditionalFormatting>
  <conditionalFormatting sqref="H74:I74">
    <cfRule type="expression" dxfId="132" priority="90">
      <formula>$AC74=4</formula>
    </cfRule>
    <cfRule type="expression" dxfId="131" priority="91">
      <formula>$AC74=3</formula>
    </cfRule>
    <cfRule type="expression" dxfId="130" priority="92">
      <formula>$AC74=2</formula>
    </cfRule>
    <cfRule type="expression" dxfId="129" priority="93">
      <formula>$AC74=1</formula>
    </cfRule>
  </conditionalFormatting>
  <conditionalFormatting sqref="M74:N74">
    <cfRule type="expression" dxfId="128" priority="86">
      <formula>$AD74=4</formula>
    </cfRule>
    <cfRule type="expression" dxfId="127" priority="87">
      <formula>$AD74=3</formula>
    </cfRule>
    <cfRule type="expression" dxfId="126" priority="88">
      <formula>$AD74=2</formula>
    </cfRule>
    <cfRule type="expression" dxfId="125" priority="89">
      <formula>$AD74=1</formula>
    </cfRule>
  </conditionalFormatting>
  <conditionalFormatting sqref="S74:T74">
    <cfRule type="expression" dxfId="124" priority="82">
      <formula>$AE74=4</formula>
    </cfRule>
    <cfRule type="expression" dxfId="123" priority="83">
      <formula>$AE74=3</formula>
    </cfRule>
    <cfRule type="expression" dxfId="122" priority="84">
      <formula>$AE74=2</formula>
    </cfRule>
    <cfRule type="expression" dxfId="121" priority="85">
      <formula>$AE74=1</formula>
    </cfRule>
  </conditionalFormatting>
  <conditionalFormatting sqref="L74:P74">
    <cfRule type="expression" dxfId="120" priority="81">
      <formula>$AB74=2</formula>
    </cfRule>
  </conditionalFormatting>
  <conditionalFormatting sqref="L74">
    <cfRule type="expression" dxfId="119" priority="80">
      <formula>L74&gt;D74</formula>
    </cfRule>
  </conditionalFormatting>
  <conditionalFormatting sqref="R74">
    <cfRule type="expression" dxfId="118" priority="79">
      <formula>R74&gt;D74</formula>
    </cfRule>
  </conditionalFormatting>
  <conditionalFormatting sqref="H82:I82">
    <cfRule type="expression" dxfId="117" priority="71">
      <formula>$AC82=4</formula>
    </cfRule>
    <cfRule type="expression" dxfId="116" priority="72">
      <formula>$AC82=3</formula>
    </cfRule>
    <cfRule type="expression" dxfId="115" priority="73">
      <formula>$AC82=2</formula>
    </cfRule>
    <cfRule type="expression" dxfId="114" priority="74">
      <formula>$AC82=1</formula>
    </cfRule>
  </conditionalFormatting>
  <conditionalFormatting sqref="M82:N82">
    <cfRule type="expression" dxfId="113" priority="67">
      <formula>$AD82=4</formula>
    </cfRule>
    <cfRule type="expression" dxfId="112" priority="68">
      <formula>$AD82=3</formula>
    </cfRule>
    <cfRule type="expression" dxfId="111" priority="69">
      <formula>$AD82=2</formula>
    </cfRule>
    <cfRule type="expression" dxfId="110" priority="70">
      <formula>$AD82=1</formula>
    </cfRule>
  </conditionalFormatting>
  <conditionalFormatting sqref="S82:T82">
    <cfRule type="expression" dxfId="109" priority="63">
      <formula>$AE82=4</formula>
    </cfRule>
    <cfRule type="expression" dxfId="108" priority="64">
      <formula>$AE82=3</formula>
    </cfRule>
    <cfRule type="expression" dxfId="107" priority="65">
      <formula>$AE82=2</formula>
    </cfRule>
    <cfRule type="expression" dxfId="106" priority="66">
      <formula>$AE82=1</formula>
    </cfRule>
  </conditionalFormatting>
  <conditionalFormatting sqref="L82:P82">
    <cfRule type="expression" dxfId="105" priority="62">
      <formula>$AB82=2</formula>
    </cfRule>
  </conditionalFormatting>
  <conditionalFormatting sqref="L82">
    <cfRule type="expression" dxfId="104" priority="61">
      <formula>L82&gt;D82</formula>
    </cfRule>
  </conditionalFormatting>
  <conditionalFormatting sqref="R82">
    <cfRule type="expression" dxfId="103" priority="60">
      <formula>R82&gt;D82</formula>
    </cfRule>
  </conditionalFormatting>
  <conditionalFormatting sqref="H90:I90">
    <cfRule type="expression" dxfId="102" priority="52">
      <formula>$AC90=4</formula>
    </cfRule>
    <cfRule type="expression" dxfId="101" priority="53">
      <formula>$AC90=3</formula>
    </cfRule>
    <cfRule type="expression" dxfId="100" priority="54">
      <formula>$AC90=2</formula>
    </cfRule>
    <cfRule type="expression" dxfId="99" priority="55">
      <formula>$AC90=1</formula>
    </cfRule>
  </conditionalFormatting>
  <conditionalFormatting sqref="M90:N90">
    <cfRule type="expression" dxfId="98" priority="48">
      <formula>$AD90=4</formula>
    </cfRule>
    <cfRule type="expression" dxfId="97" priority="49">
      <formula>$AD90=3</formula>
    </cfRule>
    <cfRule type="expression" dxfId="96" priority="50">
      <formula>$AD90=2</formula>
    </cfRule>
    <cfRule type="expression" dxfId="95" priority="51">
      <formula>$AD90=1</formula>
    </cfRule>
  </conditionalFormatting>
  <conditionalFormatting sqref="S90:T90">
    <cfRule type="expression" dxfId="94" priority="44">
      <formula>$AE90=4</formula>
    </cfRule>
    <cfRule type="expression" dxfId="93" priority="45">
      <formula>$AE90=3</formula>
    </cfRule>
    <cfRule type="expression" dxfId="92" priority="46">
      <formula>$AE90=2</formula>
    </cfRule>
    <cfRule type="expression" dxfId="91" priority="47">
      <formula>$AE90=1</formula>
    </cfRule>
  </conditionalFormatting>
  <conditionalFormatting sqref="L90:P90">
    <cfRule type="expression" dxfId="90" priority="43">
      <formula>$AB90=2</formula>
    </cfRule>
  </conditionalFormatting>
  <conditionalFormatting sqref="L90">
    <cfRule type="expression" dxfId="89" priority="42">
      <formula>L90&gt;D90</formula>
    </cfRule>
  </conditionalFormatting>
  <conditionalFormatting sqref="R90">
    <cfRule type="expression" dxfId="88" priority="41">
      <formula>R90&gt;D90</formula>
    </cfRule>
  </conditionalFormatting>
  <conditionalFormatting sqref="X10:X16 X18:X29 X31:X42 X44:X51 X53:X58 X60:X66 X68:X73 X75:X81 X83:X89 X91:X100">
    <cfRule type="expression" dxfId="87" priority="36">
      <formula>$AB10=2</formula>
    </cfRule>
  </conditionalFormatting>
  <conditionalFormatting sqref="X9">
    <cfRule type="expression" dxfId="86" priority="31">
      <formula>$AB9=2</formula>
    </cfRule>
  </conditionalFormatting>
  <conditionalFormatting sqref="X17">
    <cfRule type="expression" dxfId="85" priority="28">
      <formula>$AB17=2</formula>
    </cfRule>
  </conditionalFormatting>
  <conditionalFormatting sqref="X30">
    <cfRule type="expression" dxfId="84" priority="25">
      <formula>$AB30=2</formula>
    </cfRule>
  </conditionalFormatting>
  <conditionalFormatting sqref="X43">
    <cfRule type="expression" dxfId="83" priority="22">
      <formula>$AB43=2</formula>
    </cfRule>
  </conditionalFormatting>
  <conditionalFormatting sqref="X52">
    <cfRule type="expression" dxfId="82" priority="19">
      <formula>$AB52=2</formula>
    </cfRule>
  </conditionalFormatting>
  <conditionalFormatting sqref="X59">
    <cfRule type="expression" dxfId="81" priority="16">
      <formula>$AB59=2</formula>
    </cfRule>
  </conditionalFormatting>
  <conditionalFormatting sqref="X67">
    <cfRule type="expression" dxfId="80" priority="13">
      <formula>$AB67=2</formula>
    </cfRule>
  </conditionalFormatting>
  <conditionalFormatting sqref="X74">
    <cfRule type="expression" dxfId="79" priority="10">
      <formula>$AB74=2</formula>
    </cfRule>
  </conditionalFormatting>
  <conditionalFormatting sqref="X82">
    <cfRule type="expression" dxfId="78" priority="7">
      <formula>$AB82=2</formula>
    </cfRule>
  </conditionalFormatting>
  <conditionalFormatting sqref="X90">
    <cfRule type="expression" dxfId="77" priority="4">
      <formula>$AB90=2</formula>
    </cfRule>
  </conditionalFormatting>
  <dataValidations count="2">
    <dataValidation type="decimal" operator="lessThanOrEqual" allowBlank="1" errorTitle="Invalid entry" error="Cannot award more credits than available" sqref="C10:W100" xr:uid="{00000000-0002-0000-0600-000000000000}">
      <formula1>$D10</formula1>
    </dataValidation>
    <dataValidation allowBlank="1" showInputMessage="1" showErrorMessage="1" promptTitle="Sorting" prompt="Sort from smallest to largest to get original sorting" sqref="A8" xr:uid="{00000000-0002-0000-0600-000001000000}"/>
  </dataValidations>
  <pageMargins left="0.43307086614173229" right="0.19685039370078741" top="0.6692913385826772" bottom="0.59055118110236227" header="0.31496062992125984" footer="0.31496062992125984"/>
  <pageSetup paperSize="9" scale="50"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54" id="{B963291B-988D-4012-8C32-6BE515380621}">
            <xm:f>$P$7='Assessment Details'!$N$23</xm:f>
            <x14:dxf>
              <font>
                <color theme="0"/>
              </font>
              <fill>
                <patternFill>
                  <bgColor theme="0"/>
                </patternFill>
              </fill>
              <border>
                <vertical/>
                <horizontal/>
              </border>
            </x14:dxf>
          </x14:cfRule>
          <xm:sqref>L10:P16 L49:P51 L18:P29 L31:P42 L44:P47 L53:P58 L60:P66 L68:P73 L75:P81 L83:P89 L91:P100</xm:sqref>
        </x14:conditionalFormatting>
        <x14:conditionalFormatting xmlns:xm="http://schemas.microsoft.com/office/excel/2006/main">
          <x14:cfRule type="expression" priority="453" id="{D6CE8378-0295-43A4-B4D2-FF97977D5B54}">
            <xm:f>$P$7='Assessment Details'!$N$23</xm:f>
            <x14:dxf>
              <border>
                <left style="thin">
                  <color theme="0"/>
                </left>
                <right style="thin">
                  <color theme="0"/>
                </right>
                <top style="thin">
                  <color theme="0"/>
                </top>
                <bottom style="thin">
                  <color theme="0"/>
                </bottom>
                <vertical/>
                <horizontal/>
              </border>
            </x14:dxf>
          </x14:cfRule>
          <xm:sqref>L10:P16 L49:P51 L18:P29 L31:P42 L44:P47 L53:P58 L60:P66 L68:P73 L75:P81 L83:P89 L91:P100</xm:sqref>
        </x14:conditionalFormatting>
        <x14:conditionalFormatting xmlns:xm="http://schemas.microsoft.com/office/excel/2006/main">
          <x14:cfRule type="expression" priority="452" id="{DB805B39-675F-4529-AAA9-84C1652FC9E0}">
            <xm:f>$V$7='Assessment Details'!$N$23</xm:f>
            <x14:dxf>
              <font>
                <color theme="0"/>
              </font>
              <fill>
                <patternFill>
                  <bgColor theme="0"/>
                </patternFill>
              </fill>
            </x14:dxf>
          </x14:cfRule>
          <xm:sqref>R10:W16 R49:W51 R18:W29 R31:W42 R44:W47 R53:W58 R60:W66 R68:W73 R75:W81 R83:W89 R91:W100</xm:sqref>
        </x14:conditionalFormatting>
        <x14:conditionalFormatting xmlns:xm="http://schemas.microsoft.com/office/excel/2006/main">
          <x14:cfRule type="expression" priority="451" id="{6470B74F-A8AF-495C-B6F5-853222BCD4E5}">
            <xm:f>$V$7='Assessment Details'!$N$23</xm:f>
            <x14:dxf>
              <border>
                <left style="thin">
                  <color theme="0"/>
                </left>
                <right style="thin">
                  <color theme="0"/>
                </right>
                <top style="thin">
                  <color theme="0"/>
                </top>
                <bottom style="thin">
                  <color theme="0"/>
                </bottom>
                <vertical/>
                <horizontal/>
              </border>
            </x14:dxf>
          </x14:cfRule>
          <xm:sqref>R10:W16 R49:W51 R18:W29 R31:W42 R44:W47 R53:W58 R60:W66 R68:W73 R75:W81 R83:W89 R91:W100</xm:sqref>
        </x14:conditionalFormatting>
        <x14:conditionalFormatting xmlns:xm="http://schemas.microsoft.com/office/excel/2006/main">
          <x14:cfRule type="expression" priority="435" id="{CF9F1D1D-C6BE-4DF7-B4BB-9A199355183A}">
            <xm:f>$P$7='Assessment Details'!$N$23</xm:f>
            <x14:dxf>
              <font>
                <color theme="0"/>
              </font>
              <fill>
                <patternFill>
                  <bgColor theme="0"/>
                </patternFill>
              </fill>
              <border>
                <vertical/>
                <horizontal/>
              </border>
            </x14:dxf>
          </x14:cfRule>
          <xm:sqref>L48:P48</xm:sqref>
        </x14:conditionalFormatting>
        <x14:conditionalFormatting xmlns:xm="http://schemas.microsoft.com/office/excel/2006/main">
          <x14:cfRule type="expression" priority="434" id="{004BF2DF-786A-4974-B554-CF2893440F68}">
            <xm:f>$P$7='Assessment Details'!$N$23</xm:f>
            <x14:dxf>
              <border>
                <left style="thin">
                  <color theme="0"/>
                </left>
                <right style="thin">
                  <color theme="0"/>
                </right>
                <top style="thin">
                  <color theme="0"/>
                </top>
                <bottom style="thin">
                  <color theme="0"/>
                </bottom>
                <vertical/>
                <horizontal/>
              </border>
            </x14:dxf>
          </x14:cfRule>
          <xm:sqref>L48:P48</xm:sqref>
        </x14:conditionalFormatting>
        <x14:conditionalFormatting xmlns:xm="http://schemas.microsoft.com/office/excel/2006/main">
          <x14:cfRule type="expression" priority="433" id="{956BD1FF-8A29-4C99-921B-810F7AC8D6F3}">
            <xm:f>$V$7='Assessment Details'!$N$23</xm:f>
            <x14:dxf>
              <font>
                <color theme="0"/>
              </font>
              <fill>
                <patternFill>
                  <bgColor theme="0"/>
                </patternFill>
              </fill>
            </x14:dxf>
          </x14:cfRule>
          <xm:sqref>R48:W48</xm:sqref>
        </x14:conditionalFormatting>
        <x14:conditionalFormatting xmlns:xm="http://schemas.microsoft.com/office/excel/2006/main">
          <x14:cfRule type="expression" priority="432" id="{171F8446-7E97-4E7E-A4F3-E3439AC85C26}">
            <xm:f>$V$7='Assessment Details'!$N$23</xm:f>
            <x14:dxf>
              <border>
                <left style="thin">
                  <color theme="0"/>
                </left>
                <right style="thin">
                  <color theme="0"/>
                </right>
                <top style="thin">
                  <color theme="0"/>
                </top>
                <bottom style="thin">
                  <color theme="0"/>
                </bottom>
                <vertical/>
                <horizontal/>
              </border>
            </x14:dxf>
          </x14:cfRule>
          <xm:sqref>R48:W48</xm:sqref>
        </x14:conditionalFormatting>
        <x14:conditionalFormatting xmlns:xm="http://schemas.microsoft.com/office/excel/2006/main">
          <x14:cfRule type="expression" priority="420" id="{66F21DDC-C8C2-4EE9-AB7D-1214238B6FBE}">
            <xm:f>$P$7='Assessment Details'!$N$23</xm:f>
            <x14:dxf>
              <font>
                <color theme="0"/>
              </font>
              <fill>
                <patternFill>
                  <bgColor theme="0"/>
                </patternFill>
              </fill>
              <border>
                <vertical/>
                <horizontal/>
              </border>
            </x14:dxf>
          </x14:cfRule>
          <xm:sqref>L2:P2</xm:sqref>
        </x14:conditionalFormatting>
        <x14:conditionalFormatting xmlns:xm="http://schemas.microsoft.com/office/excel/2006/main">
          <x14:cfRule type="expression" priority="419" id="{998A89B4-8BCC-453E-9A2C-02D999B4BD26}">
            <xm:f>$P$7='Assessment Details'!$N$23</xm:f>
            <x14:dxf>
              <border>
                <left style="thin">
                  <color theme="0"/>
                </left>
                <right style="thin">
                  <color theme="0"/>
                </right>
                <top style="thin">
                  <color theme="0"/>
                </top>
                <bottom style="thin">
                  <color theme="0"/>
                </bottom>
                <vertical/>
                <horizontal/>
              </border>
            </x14:dxf>
          </x14:cfRule>
          <xm:sqref>L2:P2</xm:sqref>
        </x14:conditionalFormatting>
        <x14:conditionalFormatting xmlns:xm="http://schemas.microsoft.com/office/excel/2006/main">
          <x14:cfRule type="expression" priority="418" id="{33F05243-AD30-4F20-9FB8-723F082BDCCF}">
            <xm:f>$V$7='Assessment Details'!$N$23</xm:f>
            <x14:dxf>
              <font>
                <color theme="0"/>
              </font>
              <fill>
                <patternFill>
                  <bgColor theme="0"/>
                </patternFill>
              </fill>
            </x14:dxf>
          </x14:cfRule>
          <xm:sqref>R2:W2</xm:sqref>
        </x14:conditionalFormatting>
        <x14:conditionalFormatting xmlns:xm="http://schemas.microsoft.com/office/excel/2006/main">
          <x14:cfRule type="expression" priority="417" id="{C73E314A-8948-4684-B3EA-F917F1C73B6C}">
            <xm:f>$V$7='Assessment Details'!$N$23</xm:f>
            <x14:dxf>
              <border>
                <left style="thin">
                  <color theme="0"/>
                </left>
                <right style="thin">
                  <color theme="0"/>
                </right>
                <top style="thin">
                  <color theme="0"/>
                </top>
                <bottom style="thin">
                  <color theme="0"/>
                </bottom>
                <vertical/>
                <horizontal/>
              </border>
            </x14:dxf>
          </x14:cfRule>
          <xm:sqref>R2:W2</xm:sqref>
        </x14:conditionalFormatting>
        <x14:conditionalFormatting xmlns:xm="http://schemas.microsoft.com/office/excel/2006/main">
          <x14:cfRule type="expression" priority="401" id="{C6EF9036-8281-4621-9E86-A2AB7B9BAE44}">
            <xm:f>$P$7='Assessment Details'!$N$23</xm:f>
            <x14:dxf>
              <font>
                <color theme="0"/>
              </font>
              <fill>
                <patternFill>
                  <bgColor theme="0"/>
                </patternFill>
              </fill>
              <border>
                <vertical/>
                <horizontal/>
              </border>
            </x14:dxf>
          </x14:cfRule>
          <xm:sqref>L9:P9</xm:sqref>
        </x14:conditionalFormatting>
        <x14:conditionalFormatting xmlns:xm="http://schemas.microsoft.com/office/excel/2006/main">
          <x14:cfRule type="expression" priority="400" id="{43D589F6-C8EB-4B6E-B31A-E087CD31FB50}">
            <xm:f>$P$7='Assessment Details'!$N$23</xm:f>
            <x14:dxf>
              <border>
                <left style="thin">
                  <color theme="0"/>
                </left>
                <right style="thin">
                  <color theme="0"/>
                </right>
                <top style="thin">
                  <color theme="0"/>
                </top>
                <bottom style="thin">
                  <color theme="0"/>
                </bottom>
                <vertical/>
                <horizontal/>
              </border>
            </x14:dxf>
          </x14:cfRule>
          <xm:sqref>L9:P9</xm:sqref>
        </x14:conditionalFormatting>
        <x14:conditionalFormatting xmlns:xm="http://schemas.microsoft.com/office/excel/2006/main">
          <x14:cfRule type="expression" priority="399" id="{64382F7E-6A5C-4A49-B612-0F1781FBEB58}">
            <xm:f>$V$7='Assessment Details'!$N$23</xm:f>
            <x14:dxf>
              <font>
                <color theme="0"/>
              </font>
              <fill>
                <patternFill>
                  <bgColor theme="0"/>
                </patternFill>
              </fill>
            </x14:dxf>
          </x14:cfRule>
          <xm:sqref>R9:W9</xm:sqref>
        </x14:conditionalFormatting>
        <x14:conditionalFormatting xmlns:xm="http://schemas.microsoft.com/office/excel/2006/main">
          <x14:cfRule type="expression" priority="398" id="{E53F71C2-23F9-4938-B73B-491697B7D59C}">
            <xm:f>$V$7='Assessment Details'!$N$23</xm:f>
            <x14:dxf>
              <border>
                <left style="thin">
                  <color theme="0"/>
                </left>
                <right style="thin">
                  <color theme="0"/>
                </right>
                <top style="thin">
                  <color theme="0"/>
                </top>
                <bottom style="thin">
                  <color theme="0"/>
                </bottom>
                <vertical/>
                <horizontal/>
              </border>
            </x14:dxf>
          </x14:cfRule>
          <xm:sqref>R9:W9</xm:sqref>
        </x14:conditionalFormatting>
        <x14:conditionalFormatting xmlns:xm="http://schemas.microsoft.com/office/excel/2006/main">
          <x14:cfRule type="expression" priority="211" id="{DB50627D-98DE-43BE-B3D3-A2B5A6524065}">
            <xm:f>$P$7='Assessment Details'!$N$23</xm:f>
            <x14:dxf>
              <font>
                <color theme="0"/>
              </font>
              <fill>
                <patternFill>
                  <bgColor theme="0"/>
                </patternFill>
              </fill>
              <border>
                <vertical/>
                <horizontal/>
              </border>
            </x14:dxf>
          </x14:cfRule>
          <xm:sqref>L17:P17</xm:sqref>
        </x14:conditionalFormatting>
        <x14:conditionalFormatting xmlns:xm="http://schemas.microsoft.com/office/excel/2006/main">
          <x14:cfRule type="expression" priority="210" id="{ECE17149-A5D6-45F9-8A42-002620E0AA7B}">
            <xm:f>$P$7='Assessment Details'!$N$23</xm:f>
            <x14:dxf>
              <border>
                <left style="thin">
                  <color theme="0"/>
                </left>
                <right style="thin">
                  <color theme="0"/>
                </right>
                <top style="thin">
                  <color theme="0"/>
                </top>
                <bottom style="thin">
                  <color theme="0"/>
                </bottom>
                <vertical/>
                <horizontal/>
              </border>
            </x14:dxf>
          </x14:cfRule>
          <xm:sqref>L17:P17</xm:sqref>
        </x14:conditionalFormatting>
        <x14:conditionalFormatting xmlns:xm="http://schemas.microsoft.com/office/excel/2006/main">
          <x14:cfRule type="expression" priority="209" id="{DF0A0D1A-0793-4C4E-9B58-16C6414A5570}">
            <xm:f>$V$7='Assessment Details'!$N$23</xm:f>
            <x14:dxf>
              <font>
                <color theme="0"/>
              </font>
              <fill>
                <patternFill>
                  <bgColor theme="0"/>
                </patternFill>
              </fill>
            </x14:dxf>
          </x14:cfRule>
          <xm:sqref>R17:W17</xm:sqref>
        </x14:conditionalFormatting>
        <x14:conditionalFormatting xmlns:xm="http://schemas.microsoft.com/office/excel/2006/main">
          <x14:cfRule type="expression" priority="208" id="{85B92658-A6B7-47BD-8B8B-F95529FDD45F}">
            <xm:f>$V$7='Assessment Details'!$N$23</xm:f>
            <x14:dxf>
              <border>
                <left style="thin">
                  <color theme="0"/>
                </left>
                <right style="thin">
                  <color theme="0"/>
                </right>
                <top style="thin">
                  <color theme="0"/>
                </top>
                <bottom style="thin">
                  <color theme="0"/>
                </bottom>
                <vertical/>
                <horizontal/>
              </border>
            </x14:dxf>
          </x14:cfRule>
          <xm:sqref>R17:W17</xm:sqref>
        </x14:conditionalFormatting>
        <x14:conditionalFormatting xmlns:xm="http://schemas.microsoft.com/office/excel/2006/main">
          <x14:cfRule type="expression" priority="173" id="{8107B40F-CAB9-478E-AA1E-D5645E774F5A}">
            <xm:f>$P$7='Assessment Details'!$N$23</xm:f>
            <x14:dxf>
              <font>
                <color theme="0"/>
              </font>
              <fill>
                <patternFill>
                  <bgColor theme="0"/>
                </patternFill>
              </fill>
              <border>
                <vertical/>
                <horizontal/>
              </border>
            </x14:dxf>
          </x14:cfRule>
          <xm:sqref>L30:P30</xm:sqref>
        </x14:conditionalFormatting>
        <x14:conditionalFormatting xmlns:xm="http://schemas.microsoft.com/office/excel/2006/main">
          <x14:cfRule type="expression" priority="172" id="{65ED21A9-FC05-4230-AAD8-95CD917AF1F2}">
            <xm:f>$P$7='Assessment Details'!$N$23</xm:f>
            <x14:dxf>
              <border>
                <left style="thin">
                  <color theme="0"/>
                </left>
                <right style="thin">
                  <color theme="0"/>
                </right>
                <top style="thin">
                  <color theme="0"/>
                </top>
                <bottom style="thin">
                  <color theme="0"/>
                </bottom>
                <vertical/>
                <horizontal/>
              </border>
            </x14:dxf>
          </x14:cfRule>
          <xm:sqref>L30:P30</xm:sqref>
        </x14:conditionalFormatting>
        <x14:conditionalFormatting xmlns:xm="http://schemas.microsoft.com/office/excel/2006/main">
          <x14:cfRule type="expression" priority="171" id="{C8753DAF-305F-4F04-8E6F-509B98A5E290}">
            <xm:f>$V$7='Assessment Details'!$N$23</xm:f>
            <x14:dxf>
              <font>
                <color theme="0"/>
              </font>
              <fill>
                <patternFill>
                  <bgColor theme="0"/>
                </patternFill>
              </fill>
            </x14:dxf>
          </x14:cfRule>
          <xm:sqref>R30:W30</xm:sqref>
        </x14:conditionalFormatting>
        <x14:conditionalFormatting xmlns:xm="http://schemas.microsoft.com/office/excel/2006/main">
          <x14:cfRule type="expression" priority="170" id="{679C4ED4-5608-4865-A327-D266F016B626}">
            <xm:f>$V$7='Assessment Details'!$N$23</xm:f>
            <x14:dxf>
              <border>
                <left style="thin">
                  <color theme="0"/>
                </left>
                <right style="thin">
                  <color theme="0"/>
                </right>
                <top style="thin">
                  <color theme="0"/>
                </top>
                <bottom style="thin">
                  <color theme="0"/>
                </bottom>
                <vertical/>
                <horizontal/>
              </border>
            </x14:dxf>
          </x14:cfRule>
          <xm:sqref>R30:W30</xm:sqref>
        </x14:conditionalFormatting>
        <x14:conditionalFormatting xmlns:xm="http://schemas.microsoft.com/office/excel/2006/main">
          <x14:cfRule type="expression" priority="154" id="{EF7B20F7-BA8D-4AD3-8654-7363E8B71381}">
            <xm:f>$P$7='Assessment Details'!$N$23</xm:f>
            <x14:dxf>
              <font>
                <color theme="0"/>
              </font>
              <fill>
                <patternFill>
                  <bgColor theme="0"/>
                </patternFill>
              </fill>
              <border>
                <vertical/>
                <horizontal/>
              </border>
            </x14:dxf>
          </x14:cfRule>
          <xm:sqref>L43:P43</xm:sqref>
        </x14:conditionalFormatting>
        <x14:conditionalFormatting xmlns:xm="http://schemas.microsoft.com/office/excel/2006/main">
          <x14:cfRule type="expression" priority="153" id="{270FD34D-884D-450D-84B5-380845EC5AE2}">
            <xm:f>$P$7='Assessment Details'!$N$23</xm:f>
            <x14:dxf>
              <border>
                <left style="thin">
                  <color theme="0"/>
                </left>
                <right style="thin">
                  <color theme="0"/>
                </right>
                <top style="thin">
                  <color theme="0"/>
                </top>
                <bottom style="thin">
                  <color theme="0"/>
                </bottom>
                <vertical/>
                <horizontal/>
              </border>
            </x14:dxf>
          </x14:cfRule>
          <xm:sqref>L43:P43</xm:sqref>
        </x14:conditionalFormatting>
        <x14:conditionalFormatting xmlns:xm="http://schemas.microsoft.com/office/excel/2006/main">
          <x14:cfRule type="expression" priority="152" id="{A5EAA76A-A663-4C55-9F44-15AFC800F544}">
            <xm:f>$V$7='Assessment Details'!$N$23</xm:f>
            <x14:dxf>
              <font>
                <color theme="0"/>
              </font>
              <fill>
                <patternFill>
                  <bgColor theme="0"/>
                </patternFill>
              </fill>
            </x14:dxf>
          </x14:cfRule>
          <xm:sqref>R43:W43</xm:sqref>
        </x14:conditionalFormatting>
        <x14:conditionalFormatting xmlns:xm="http://schemas.microsoft.com/office/excel/2006/main">
          <x14:cfRule type="expression" priority="151" id="{9745D47C-7637-41DF-B32D-78339E787FB3}">
            <xm:f>$V$7='Assessment Details'!$N$23</xm:f>
            <x14:dxf>
              <border>
                <left style="thin">
                  <color theme="0"/>
                </left>
                <right style="thin">
                  <color theme="0"/>
                </right>
                <top style="thin">
                  <color theme="0"/>
                </top>
                <bottom style="thin">
                  <color theme="0"/>
                </bottom>
                <vertical/>
                <horizontal/>
              </border>
            </x14:dxf>
          </x14:cfRule>
          <xm:sqref>R43:W43</xm:sqref>
        </x14:conditionalFormatting>
        <x14:conditionalFormatting xmlns:xm="http://schemas.microsoft.com/office/excel/2006/main">
          <x14:cfRule type="expression" priority="135" id="{7B08C06A-C350-4060-8F73-509FEB4620A4}">
            <xm:f>$P$7='Assessment Details'!$N$23</xm:f>
            <x14:dxf>
              <font>
                <color theme="0"/>
              </font>
              <fill>
                <patternFill>
                  <bgColor theme="0"/>
                </patternFill>
              </fill>
              <border>
                <vertical/>
                <horizontal/>
              </border>
            </x14:dxf>
          </x14:cfRule>
          <xm:sqref>L52:P52</xm:sqref>
        </x14:conditionalFormatting>
        <x14:conditionalFormatting xmlns:xm="http://schemas.microsoft.com/office/excel/2006/main">
          <x14:cfRule type="expression" priority="134" id="{4BBEFC39-F5E4-4FFC-AB5B-86203501D0F7}">
            <xm:f>$P$7='Assessment Details'!$N$23</xm:f>
            <x14:dxf>
              <border>
                <left style="thin">
                  <color theme="0"/>
                </left>
                <right style="thin">
                  <color theme="0"/>
                </right>
                <top style="thin">
                  <color theme="0"/>
                </top>
                <bottom style="thin">
                  <color theme="0"/>
                </bottom>
                <vertical/>
                <horizontal/>
              </border>
            </x14:dxf>
          </x14:cfRule>
          <xm:sqref>L52:P52</xm:sqref>
        </x14:conditionalFormatting>
        <x14:conditionalFormatting xmlns:xm="http://schemas.microsoft.com/office/excel/2006/main">
          <x14:cfRule type="expression" priority="133" id="{490B57B5-86BA-47EB-8ABF-890DE5FCB8DC}">
            <xm:f>$V$7='Assessment Details'!$N$23</xm:f>
            <x14:dxf>
              <font>
                <color theme="0"/>
              </font>
              <fill>
                <patternFill>
                  <bgColor theme="0"/>
                </patternFill>
              </fill>
            </x14:dxf>
          </x14:cfRule>
          <xm:sqref>R52:W52</xm:sqref>
        </x14:conditionalFormatting>
        <x14:conditionalFormatting xmlns:xm="http://schemas.microsoft.com/office/excel/2006/main">
          <x14:cfRule type="expression" priority="132" id="{133BCF05-5ECE-4480-B42E-5810071A1BA9}">
            <xm:f>$V$7='Assessment Details'!$N$23</xm:f>
            <x14:dxf>
              <border>
                <left style="thin">
                  <color theme="0"/>
                </left>
                <right style="thin">
                  <color theme="0"/>
                </right>
                <top style="thin">
                  <color theme="0"/>
                </top>
                <bottom style="thin">
                  <color theme="0"/>
                </bottom>
                <vertical/>
                <horizontal/>
              </border>
            </x14:dxf>
          </x14:cfRule>
          <xm:sqref>R52:W52</xm:sqref>
        </x14:conditionalFormatting>
        <x14:conditionalFormatting xmlns:xm="http://schemas.microsoft.com/office/excel/2006/main">
          <x14:cfRule type="expression" priority="116" id="{F62FF186-C272-438A-9F0A-3D31E751DDB8}">
            <xm:f>$P$7='Assessment Details'!$N$23</xm:f>
            <x14:dxf>
              <font>
                <color theme="0"/>
              </font>
              <fill>
                <patternFill>
                  <bgColor theme="0"/>
                </patternFill>
              </fill>
              <border>
                <vertical/>
                <horizontal/>
              </border>
            </x14:dxf>
          </x14:cfRule>
          <xm:sqref>L59:P59</xm:sqref>
        </x14:conditionalFormatting>
        <x14:conditionalFormatting xmlns:xm="http://schemas.microsoft.com/office/excel/2006/main">
          <x14:cfRule type="expression" priority="115" id="{0E4DE056-36B2-442E-B766-F52ED71384F1}">
            <xm:f>$P$7='Assessment Details'!$N$23</xm:f>
            <x14:dxf>
              <border>
                <left style="thin">
                  <color theme="0"/>
                </left>
                <right style="thin">
                  <color theme="0"/>
                </right>
                <top style="thin">
                  <color theme="0"/>
                </top>
                <bottom style="thin">
                  <color theme="0"/>
                </bottom>
                <vertical/>
                <horizontal/>
              </border>
            </x14:dxf>
          </x14:cfRule>
          <xm:sqref>L59:P59</xm:sqref>
        </x14:conditionalFormatting>
        <x14:conditionalFormatting xmlns:xm="http://schemas.microsoft.com/office/excel/2006/main">
          <x14:cfRule type="expression" priority="114" id="{7E3E6EF9-B8D8-4DB0-A498-9E30AD54F8DA}">
            <xm:f>$V$7='Assessment Details'!$N$23</xm:f>
            <x14:dxf>
              <font>
                <color theme="0"/>
              </font>
              <fill>
                <patternFill>
                  <bgColor theme="0"/>
                </patternFill>
              </fill>
            </x14:dxf>
          </x14:cfRule>
          <xm:sqref>R59:W59</xm:sqref>
        </x14:conditionalFormatting>
        <x14:conditionalFormatting xmlns:xm="http://schemas.microsoft.com/office/excel/2006/main">
          <x14:cfRule type="expression" priority="113" id="{3C3CB04C-22C1-4A01-B7E8-21070A1520D8}">
            <xm:f>$V$7='Assessment Details'!$N$23</xm:f>
            <x14:dxf>
              <border>
                <left style="thin">
                  <color theme="0"/>
                </left>
                <right style="thin">
                  <color theme="0"/>
                </right>
                <top style="thin">
                  <color theme="0"/>
                </top>
                <bottom style="thin">
                  <color theme="0"/>
                </bottom>
                <vertical/>
                <horizontal/>
              </border>
            </x14:dxf>
          </x14:cfRule>
          <xm:sqref>R59:W59</xm:sqref>
        </x14:conditionalFormatting>
        <x14:conditionalFormatting xmlns:xm="http://schemas.microsoft.com/office/excel/2006/main">
          <x14:cfRule type="expression" priority="97" id="{D71319F3-7949-4144-97F3-0AD512CF187F}">
            <xm:f>$P$7='Assessment Details'!$N$23</xm:f>
            <x14:dxf>
              <font>
                <color theme="0"/>
              </font>
              <fill>
                <patternFill>
                  <bgColor theme="0"/>
                </patternFill>
              </fill>
              <border>
                <vertical/>
                <horizontal/>
              </border>
            </x14:dxf>
          </x14:cfRule>
          <xm:sqref>L67:P67</xm:sqref>
        </x14:conditionalFormatting>
        <x14:conditionalFormatting xmlns:xm="http://schemas.microsoft.com/office/excel/2006/main">
          <x14:cfRule type="expression" priority="96" id="{76A47B27-746E-4339-8F94-E77A786743E0}">
            <xm:f>$P$7='Assessment Details'!$N$23</xm:f>
            <x14:dxf>
              <border>
                <left style="thin">
                  <color theme="0"/>
                </left>
                <right style="thin">
                  <color theme="0"/>
                </right>
                <top style="thin">
                  <color theme="0"/>
                </top>
                <bottom style="thin">
                  <color theme="0"/>
                </bottom>
                <vertical/>
                <horizontal/>
              </border>
            </x14:dxf>
          </x14:cfRule>
          <xm:sqref>L67:P67</xm:sqref>
        </x14:conditionalFormatting>
        <x14:conditionalFormatting xmlns:xm="http://schemas.microsoft.com/office/excel/2006/main">
          <x14:cfRule type="expression" priority="95" id="{3C88DD8A-48FB-4D8E-9F01-75AC0B00353F}">
            <xm:f>$V$7='Assessment Details'!$N$23</xm:f>
            <x14:dxf>
              <font>
                <color theme="0"/>
              </font>
              <fill>
                <patternFill>
                  <bgColor theme="0"/>
                </patternFill>
              </fill>
            </x14:dxf>
          </x14:cfRule>
          <xm:sqref>R67:W67</xm:sqref>
        </x14:conditionalFormatting>
        <x14:conditionalFormatting xmlns:xm="http://schemas.microsoft.com/office/excel/2006/main">
          <x14:cfRule type="expression" priority="94" id="{1286956C-CC09-441C-86AE-CFF47471DE23}">
            <xm:f>$V$7='Assessment Details'!$N$23</xm:f>
            <x14:dxf>
              <border>
                <left style="thin">
                  <color theme="0"/>
                </left>
                <right style="thin">
                  <color theme="0"/>
                </right>
                <top style="thin">
                  <color theme="0"/>
                </top>
                <bottom style="thin">
                  <color theme="0"/>
                </bottom>
                <vertical/>
                <horizontal/>
              </border>
            </x14:dxf>
          </x14:cfRule>
          <xm:sqref>R67:W67</xm:sqref>
        </x14:conditionalFormatting>
        <x14:conditionalFormatting xmlns:xm="http://schemas.microsoft.com/office/excel/2006/main">
          <x14:cfRule type="expression" priority="78" id="{9DD5AF7C-D5F4-4193-9E4C-DCA0AD860097}">
            <xm:f>$P$7='Assessment Details'!$N$23</xm:f>
            <x14:dxf>
              <font>
                <color theme="0"/>
              </font>
              <fill>
                <patternFill>
                  <bgColor theme="0"/>
                </patternFill>
              </fill>
              <border>
                <vertical/>
                <horizontal/>
              </border>
            </x14:dxf>
          </x14:cfRule>
          <xm:sqref>L74:P74</xm:sqref>
        </x14:conditionalFormatting>
        <x14:conditionalFormatting xmlns:xm="http://schemas.microsoft.com/office/excel/2006/main">
          <x14:cfRule type="expression" priority="77" id="{363611CB-70E3-489C-A235-49B42E712B9F}">
            <xm:f>$P$7='Assessment Details'!$N$23</xm:f>
            <x14:dxf>
              <border>
                <left style="thin">
                  <color theme="0"/>
                </left>
                <right style="thin">
                  <color theme="0"/>
                </right>
                <top style="thin">
                  <color theme="0"/>
                </top>
                <bottom style="thin">
                  <color theme="0"/>
                </bottom>
                <vertical/>
                <horizontal/>
              </border>
            </x14:dxf>
          </x14:cfRule>
          <xm:sqref>L74:P74</xm:sqref>
        </x14:conditionalFormatting>
        <x14:conditionalFormatting xmlns:xm="http://schemas.microsoft.com/office/excel/2006/main">
          <x14:cfRule type="expression" priority="76" id="{A3037ADF-4022-44D7-BB2B-9D52F17187B1}">
            <xm:f>$V$7='Assessment Details'!$N$23</xm:f>
            <x14:dxf>
              <font>
                <color theme="0"/>
              </font>
              <fill>
                <patternFill>
                  <bgColor theme="0"/>
                </patternFill>
              </fill>
            </x14:dxf>
          </x14:cfRule>
          <xm:sqref>R74:W74</xm:sqref>
        </x14:conditionalFormatting>
        <x14:conditionalFormatting xmlns:xm="http://schemas.microsoft.com/office/excel/2006/main">
          <x14:cfRule type="expression" priority="75" id="{F116CB90-896E-4F32-BEFD-C36B9294F018}">
            <xm:f>$V$7='Assessment Details'!$N$23</xm:f>
            <x14:dxf>
              <border>
                <left style="thin">
                  <color theme="0"/>
                </left>
                <right style="thin">
                  <color theme="0"/>
                </right>
                <top style="thin">
                  <color theme="0"/>
                </top>
                <bottom style="thin">
                  <color theme="0"/>
                </bottom>
                <vertical/>
                <horizontal/>
              </border>
            </x14:dxf>
          </x14:cfRule>
          <xm:sqref>R74:W74</xm:sqref>
        </x14:conditionalFormatting>
        <x14:conditionalFormatting xmlns:xm="http://schemas.microsoft.com/office/excel/2006/main">
          <x14:cfRule type="expression" priority="59" id="{F1F2E530-1209-4985-8F8F-1E57B2EC1B0C}">
            <xm:f>$P$7='Assessment Details'!$N$23</xm:f>
            <x14:dxf>
              <font>
                <color theme="0"/>
              </font>
              <fill>
                <patternFill>
                  <bgColor theme="0"/>
                </patternFill>
              </fill>
              <border>
                <vertical/>
                <horizontal/>
              </border>
            </x14:dxf>
          </x14:cfRule>
          <xm:sqref>L82:P82</xm:sqref>
        </x14:conditionalFormatting>
        <x14:conditionalFormatting xmlns:xm="http://schemas.microsoft.com/office/excel/2006/main">
          <x14:cfRule type="expression" priority="58" id="{D99E0CA1-7118-4F9E-A25B-D6ACB16C44C5}">
            <xm:f>$P$7='Assessment Details'!$N$23</xm:f>
            <x14:dxf>
              <border>
                <left style="thin">
                  <color theme="0"/>
                </left>
                <right style="thin">
                  <color theme="0"/>
                </right>
                <top style="thin">
                  <color theme="0"/>
                </top>
                <bottom style="thin">
                  <color theme="0"/>
                </bottom>
                <vertical/>
                <horizontal/>
              </border>
            </x14:dxf>
          </x14:cfRule>
          <xm:sqref>L82:P82</xm:sqref>
        </x14:conditionalFormatting>
        <x14:conditionalFormatting xmlns:xm="http://schemas.microsoft.com/office/excel/2006/main">
          <x14:cfRule type="expression" priority="57" id="{488F13BD-7120-4854-92D1-6AB15D063742}">
            <xm:f>$V$7='Assessment Details'!$N$23</xm:f>
            <x14:dxf>
              <font>
                <color theme="0"/>
              </font>
              <fill>
                <patternFill>
                  <bgColor theme="0"/>
                </patternFill>
              </fill>
            </x14:dxf>
          </x14:cfRule>
          <xm:sqref>R82:W82</xm:sqref>
        </x14:conditionalFormatting>
        <x14:conditionalFormatting xmlns:xm="http://schemas.microsoft.com/office/excel/2006/main">
          <x14:cfRule type="expression" priority="56" id="{966DB589-0906-41CB-843B-6FD638BF8356}">
            <xm:f>$V$7='Assessment Details'!$N$23</xm:f>
            <x14:dxf>
              <border>
                <left style="thin">
                  <color theme="0"/>
                </left>
                <right style="thin">
                  <color theme="0"/>
                </right>
                <top style="thin">
                  <color theme="0"/>
                </top>
                <bottom style="thin">
                  <color theme="0"/>
                </bottom>
                <vertical/>
                <horizontal/>
              </border>
            </x14:dxf>
          </x14:cfRule>
          <xm:sqref>R82:W82</xm:sqref>
        </x14:conditionalFormatting>
        <x14:conditionalFormatting xmlns:xm="http://schemas.microsoft.com/office/excel/2006/main">
          <x14:cfRule type="expression" priority="40" id="{E559EF27-A565-4CE5-82E0-49EB749AB7DC}">
            <xm:f>$P$7='Assessment Details'!$N$23</xm:f>
            <x14:dxf>
              <font>
                <color theme="0"/>
              </font>
              <fill>
                <patternFill>
                  <bgColor theme="0"/>
                </patternFill>
              </fill>
              <border>
                <vertical/>
                <horizontal/>
              </border>
            </x14:dxf>
          </x14:cfRule>
          <xm:sqref>L90:P90</xm:sqref>
        </x14:conditionalFormatting>
        <x14:conditionalFormatting xmlns:xm="http://schemas.microsoft.com/office/excel/2006/main">
          <x14:cfRule type="expression" priority="39" id="{3F551598-63E0-4230-87E0-C7E12A7A92A7}">
            <xm:f>$P$7='Assessment Details'!$N$23</xm:f>
            <x14:dxf>
              <border>
                <left style="thin">
                  <color theme="0"/>
                </left>
                <right style="thin">
                  <color theme="0"/>
                </right>
                <top style="thin">
                  <color theme="0"/>
                </top>
                <bottom style="thin">
                  <color theme="0"/>
                </bottom>
                <vertical/>
                <horizontal/>
              </border>
            </x14:dxf>
          </x14:cfRule>
          <xm:sqref>L90:P90</xm:sqref>
        </x14:conditionalFormatting>
        <x14:conditionalFormatting xmlns:xm="http://schemas.microsoft.com/office/excel/2006/main">
          <x14:cfRule type="expression" priority="38" id="{8C833DE1-D3B7-4FC5-BCAF-B680478BF265}">
            <xm:f>$V$7='Assessment Details'!$N$23</xm:f>
            <x14:dxf>
              <font>
                <color theme="0"/>
              </font>
              <fill>
                <patternFill>
                  <bgColor theme="0"/>
                </patternFill>
              </fill>
            </x14:dxf>
          </x14:cfRule>
          <xm:sqref>R90:W90</xm:sqref>
        </x14:conditionalFormatting>
        <x14:conditionalFormatting xmlns:xm="http://schemas.microsoft.com/office/excel/2006/main">
          <x14:cfRule type="expression" priority="37" id="{03FECB25-F5AC-46F8-A6C5-92A112BD3CD1}">
            <xm:f>$V$7='Assessment Details'!$N$23</xm:f>
            <x14:dxf>
              <border>
                <left style="thin">
                  <color theme="0"/>
                </left>
                <right style="thin">
                  <color theme="0"/>
                </right>
                <top style="thin">
                  <color theme="0"/>
                </top>
                <bottom style="thin">
                  <color theme="0"/>
                </bottom>
                <vertical/>
                <horizontal/>
              </border>
            </x14:dxf>
          </x14:cfRule>
          <xm:sqref>R90:W90</xm:sqref>
        </x14:conditionalFormatting>
        <x14:conditionalFormatting xmlns:xm="http://schemas.microsoft.com/office/excel/2006/main">
          <x14:cfRule type="expression" priority="35" id="{06AF455A-119C-4748-B1A1-ED9BEB37CC91}">
            <xm:f>$P$7='Assessment Details'!$N$23</xm:f>
            <x14:dxf>
              <font>
                <color theme="0"/>
              </font>
              <fill>
                <patternFill>
                  <bgColor theme="0"/>
                </patternFill>
              </fill>
              <border>
                <vertical/>
                <horizontal/>
              </border>
            </x14:dxf>
          </x14:cfRule>
          <xm:sqref>X10:X16 X49:X51 X18:X29 X31:X42 X44:X47 X53:X58 X60:X66 X68:X73 X75:X81 X83:X89 X91:X100</xm:sqref>
        </x14:conditionalFormatting>
        <x14:conditionalFormatting xmlns:xm="http://schemas.microsoft.com/office/excel/2006/main">
          <x14:cfRule type="expression" priority="34" id="{ABC7A8A1-D163-4453-877A-191135E5288E}">
            <xm:f>$P$7='Assessment Details'!$N$23</xm:f>
            <x14:dxf>
              <border>
                <left style="thin">
                  <color theme="0"/>
                </left>
                <right style="thin">
                  <color theme="0"/>
                </right>
                <top style="thin">
                  <color theme="0"/>
                </top>
                <bottom style="thin">
                  <color theme="0"/>
                </bottom>
                <vertical/>
                <horizontal/>
              </border>
            </x14:dxf>
          </x14:cfRule>
          <xm:sqref>X10:X16 X49:X51 X18:X29 X31:X42 X44:X47 X53:X58 X60:X66 X68:X73 X75:X81 X83:X89 X91:X100</xm:sqref>
        </x14:conditionalFormatting>
        <x14:conditionalFormatting xmlns:xm="http://schemas.microsoft.com/office/excel/2006/main">
          <x14:cfRule type="expression" priority="33" id="{D4A1FB8B-9A6F-4D5A-87DE-8437C2FEA5F4}">
            <xm:f>$P$7='Assessment Details'!$N$23</xm:f>
            <x14:dxf>
              <font>
                <color theme="0"/>
              </font>
              <fill>
                <patternFill>
                  <bgColor theme="0"/>
                </patternFill>
              </fill>
              <border>
                <vertical/>
                <horizontal/>
              </border>
            </x14:dxf>
          </x14:cfRule>
          <xm:sqref>X48</xm:sqref>
        </x14:conditionalFormatting>
        <x14:conditionalFormatting xmlns:xm="http://schemas.microsoft.com/office/excel/2006/main">
          <x14:cfRule type="expression" priority="32" id="{702E3ADF-3980-4B25-89A5-EF096DCCD8F6}">
            <xm:f>$P$7='Assessment Details'!$N$23</xm:f>
            <x14:dxf>
              <border>
                <left style="thin">
                  <color theme="0"/>
                </left>
                <right style="thin">
                  <color theme="0"/>
                </right>
                <top style="thin">
                  <color theme="0"/>
                </top>
                <bottom style="thin">
                  <color theme="0"/>
                </bottom>
                <vertical/>
                <horizontal/>
              </border>
            </x14:dxf>
          </x14:cfRule>
          <xm:sqref>X48</xm:sqref>
        </x14:conditionalFormatting>
        <x14:conditionalFormatting xmlns:xm="http://schemas.microsoft.com/office/excel/2006/main">
          <x14:cfRule type="expression" priority="30" id="{258B7964-1DDD-42CC-8176-865BF7F43F24}">
            <xm:f>$P$7='Assessment Details'!$N$23</xm:f>
            <x14:dxf>
              <font>
                <color theme="0"/>
              </font>
              <fill>
                <patternFill>
                  <bgColor theme="0"/>
                </patternFill>
              </fill>
              <border>
                <vertical/>
                <horizontal/>
              </border>
            </x14:dxf>
          </x14:cfRule>
          <xm:sqref>X9</xm:sqref>
        </x14:conditionalFormatting>
        <x14:conditionalFormatting xmlns:xm="http://schemas.microsoft.com/office/excel/2006/main">
          <x14:cfRule type="expression" priority="29" id="{7BB3A65E-2FFF-4780-BA07-E396F8C92B2F}">
            <xm:f>$P$7='Assessment Details'!$N$23</xm:f>
            <x14:dxf>
              <border>
                <left style="thin">
                  <color theme="0"/>
                </left>
                <right style="thin">
                  <color theme="0"/>
                </right>
                <top style="thin">
                  <color theme="0"/>
                </top>
                <bottom style="thin">
                  <color theme="0"/>
                </bottom>
                <vertical/>
                <horizontal/>
              </border>
            </x14:dxf>
          </x14:cfRule>
          <xm:sqref>X9</xm:sqref>
        </x14:conditionalFormatting>
        <x14:conditionalFormatting xmlns:xm="http://schemas.microsoft.com/office/excel/2006/main">
          <x14:cfRule type="expression" priority="27" id="{779EE763-74DF-4BD9-9F1F-3F97AD73E70F}">
            <xm:f>$P$7='Assessment Details'!$N$23</xm:f>
            <x14:dxf>
              <font>
                <color theme="0"/>
              </font>
              <fill>
                <patternFill>
                  <bgColor theme="0"/>
                </patternFill>
              </fill>
              <border>
                <vertical/>
                <horizontal/>
              </border>
            </x14:dxf>
          </x14:cfRule>
          <xm:sqref>X17</xm:sqref>
        </x14:conditionalFormatting>
        <x14:conditionalFormatting xmlns:xm="http://schemas.microsoft.com/office/excel/2006/main">
          <x14:cfRule type="expression" priority="26" id="{F92D0C3A-CBEC-4FCE-86A8-17D840D00825}">
            <xm:f>$P$7='Assessment Details'!$N$23</xm:f>
            <x14:dxf>
              <border>
                <left style="thin">
                  <color theme="0"/>
                </left>
                <right style="thin">
                  <color theme="0"/>
                </right>
                <top style="thin">
                  <color theme="0"/>
                </top>
                <bottom style="thin">
                  <color theme="0"/>
                </bottom>
                <vertical/>
                <horizontal/>
              </border>
            </x14:dxf>
          </x14:cfRule>
          <xm:sqref>X17</xm:sqref>
        </x14:conditionalFormatting>
        <x14:conditionalFormatting xmlns:xm="http://schemas.microsoft.com/office/excel/2006/main">
          <x14:cfRule type="expression" priority="24" id="{027B81C1-6272-451D-B4B8-47058050C058}">
            <xm:f>$P$7='Assessment Details'!$N$23</xm:f>
            <x14:dxf>
              <font>
                <color theme="0"/>
              </font>
              <fill>
                <patternFill>
                  <bgColor theme="0"/>
                </patternFill>
              </fill>
              <border>
                <vertical/>
                <horizontal/>
              </border>
            </x14:dxf>
          </x14:cfRule>
          <xm:sqref>X30</xm:sqref>
        </x14:conditionalFormatting>
        <x14:conditionalFormatting xmlns:xm="http://schemas.microsoft.com/office/excel/2006/main">
          <x14:cfRule type="expression" priority="23" id="{4D3B5EA4-9B11-4F47-A1E2-053463420900}">
            <xm:f>$P$7='Assessment Details'!$N$23</xm:f>
            <x14:dxf>
              <border>
                <left style="thin">
                  <color theme="0"/>
                </left>
                <right style="thin">
                  <color theme="0"/>
                </right>
                <top style="thin">
                  <color theme="0"/>
                </top>
                <bottom style="thin">
                  <color theme="0"/>
                </bottom>
                <vertical/>
                <horizontal/>
              </border>
            </x14:dxf>
          </x14:cfRule>
          <xm:sqref>X30</xm:sqref>
        </x14:conditionalFormatting>
        <x14:conditionalFormatting xmlns:xm="http://schemas.microsoft.com/office/excel/2006/main">
          <x14:cfRule type="expression" priority="21" id="{D1977690-7C99-4F9A-A385-8225523AE7C5}">
            <xm:f>$P$7='Assessment Details'!$N$23</xm:f>
            <x14:dxf>
              <font>
                <color theme="0"/>
              </font>
              <fill>
                <patternFill>
                  <bgColor theme="0"/>
                </patternFill>
              </fill>
              <border>
                <vertical/>
                <horizontal/>
              </border>
            </x14:dxf>
          </x14:cfRule>
          <xm:sqref>X43</xm:sqref>
        </x14:conditionalFormatting>
        <x14:conditionalFormatting xmlns:xm="http://schemas.microsoft.com/office/excel/2006/main">
          <x14:cfRule type="expression" priority="20" id="{02B16B7F-9900-4D08-AD13-3051DACA57E6}">
            <xm:f>$P$7='Assessment Details'!$N$23</xm:f>
            <x14:dxf>
              <border>
                <left style="thin">
                  <color theme="0"/>
                </left>
                <right style="thin">
                  <color theme="0"/>
                </right>
                <top style="thin">
                  <color theme="0"/>
                </top>
                <bottom style="thin">
                  <color theme="0"/>
                </bottom>
                <vertical/>
                <horizontal/>
              </border>
            </x14:dxf>
          </x14:cfRule>
          <xm:sqref>X43</xm:sqref>
        </x14:conditionalFormatting>
        <x14:conditionalFormatting xmlns:xm="http://schemas.microsoft.com/office/excel/2006/main">
          <x14:cfRule type="expression" priority="18" id="{851B2D0E-EE59-432B-86AE-4FC98C58D018}">
            <xm:f>$P$7='Assessment Details'!$N$23</xm:f>
            <x14:dxf>
              <font>
                <color theme="0"/>
              </font>
              <fill>
                <patternFill>
                  <bgColor theme="0"/>
                </patternFill>
              </fill>
              <border>
                <vertical/>
                <horizontal/>
              </border>
            </x14:dxf>
          </x14:cfRule>
          <xm:sqref>X52</xm:sqref>
        </x14:conditionalFormatting>
        <x14:conditionalFormatting xmlns:xm="http://schemas.microsoft.com/office/excel/2006/main">
          <x14:cfRule type="expression" priority="17" id="{AF11453C-7B9A-47F5-A23D-103B7E6120F5}">
            <xm:f>$P$7='Assessment Details'!$N$23</xm:f>
            <x14:dxf>
              <border>
                <left style="thin">
                  <color theme="0"/>
                </left>
                <right style="thin">
                  <color theme="0"/>
                </right>
                <top style="thin">
                  <color theme="0"/>
                </top>
                <bottom style="thin">
                  <color theme="0"/>
                </bottom>
                <vertical/>
                <horizontal/>
              </border>
            </x14:dxf>
          </x14:cfRule>
          <xm:sqref>X52</xm:sqref>
        </x14:conditionalFormatting>
        <x14:conditionalFormatting xmlns:xm="http://schemas.microsoft.com/office/excel/2006/main">
          <x14:cfRule type="expression" priority="15" id="{BDA04989-118F-431C-9128-402229EDB742}">
            <xm:f>$P$7='Assessment Details'!$N$23</xm:f>
            <x14:dxf>
              <font>
                <color theme="0"/>
              </font>
              <fill>
                <patternFill>
                  <bgColor theme="0"/>
                </patternFill>
              </fill>
              <border>
                <vertical/>
                <horizontal/>
              </border>
            </x14:dxf>
          </x14:cfRule>
          <xm:sqref>X59</xm:sqref>
        </x14:conditionalFormatting>
        <x14:conditionalFormatting xmlns:xm="http://schemas.microsoft.com/office/excel/2006/main">
          <x14:cfRule type="expression" priority="14" id="{DD27F743-136F-4F86-96CC-24A0C7078F4D}">
            <xm:f>$P$7='Assessment Details'!$N$23</xm:f>
            <x14:dxf>
              <border>
                <left style="thin">
                  <color theme="0"/>
                </left>
                <right style="thin">
                  <color theme="0"/>
                </right>
                <top style="thin">
                  <color theme="0"/>
                </top>
                <bottom style="thin">
                  <color theme="0"/>
                </bottom>
                <vertical/>
                <horizontal/>
              </border>
            </x14:dxf>
          </x14:cfRule>
          <xm:sqref>X59</xm:sqref>
        </x14:conditionalFormatting>
        <x14:conditionalFormatting xmlns:xm="http://schemas.microsoft.com/office/excel/2006/main">
          <x14:cfRule type="expression" priority="12" id="{FF303370-E145-4234-90FB-DE980C45532D}">
            <xm:f>$P$7='Assessment Details'!$N$23</xm:f>
            <x14:dxf>
              <font>
                <color theme="0"/>
              </font>
              <fill>
                <patternFill>
                  <bgColor theme="0"/>
                </patternFill>
              </fill>
              <border>
                <vertical/>
                <horizontal/>
              </border>
            </x14:dxf>
          </x14:cfRule>
          <xm:sqref>X67</xm:sqref>
        </x14:conditionalFormatting>
        <x14:conditionalFormatting xmlns:xm="http://schemas.microsoft.com/office/excel/2006/main">
          <x14:cfRule type="expression" priority="11" id="{2632A259-519C-48E3-8FBB-B6242A1337A6}">
            <xm:f>$P$7='Assessment Details'!$N$23</xm:f>
            <x14:dxf>
              <border>
                <left style="thin">
                  <color theme="0"/>
                </left>
                <right style="thin">
                  <color theme="0"/>
                </right>
                <top style="thin">
                  <color theme="0"/>
                </top>
                <bottom style="thin">
                  <color theme="0"/>
                </bottom>
                <vertical/>
                <horizontal/>
              </border>
            </x14:dxf>
          </x14:cfRule>
          <xm:sqref>X67</xm:sqref>
        </x14:conditionalFormatting>
        <x14:conditionalFormatting xmlns:xm="http://schemas.microsoft.com/office/excel/2006/main">
          <x14:cfRule type="expression" priority="9" id="{187E2EFC-BF3D-45C7-925F-2464160CBCBF}">
            <xm:f>$P$7='Assessment Details'!$N$23</xm:f>
            <x14:dxf>
              <font>
                <color theme="0"/>
              </font>
              <fill>
                <patternFill>
                  <bgColor theme="0"/>
                </patternFill>
              </fill>
              <border>
                <vertical/>
                <horizontal/>
              </border>
            </x14:dxf>
          </x14:cfRule>
          <xm:sqref>X74</xm:sqref>
        </x14:conditionalFormatting>
        <x14:conditionalFormatting xmlns:xm="http://schemas.microsoft.com/office/excel/2006/main">
          <x14:cfRule type="expression" priority="8" id="{3C5F7B95-E605-4AD1-9B8A-92CCF8687D8A}">
            <xm:f>$P$7='Assessment Details'!$N$23</xm:f>
            <x14:dxf>
              <border>
                <left style="thin">
                  <color theme="0"/>
                </left>
                <right style="thin">
                  <color theme="0"/>
                </right>
                <top style="thin">
                  <color theme="0"/>
                </top>
                <bottom style="thin">
                  <color theme="0"/>
                </bottom>
                <vertical/>
                <horizontal/>
              </border>
            </x14:dxf>
          </x14:cfRule>
          <xm:sqref>X74</xm:sqref>
        </x14:conditionalFormatting>
        <x14:conditionalFormatting xmlns:xm="http://schemas.microsoft.com/office/excel/2006/main">
          <x14:cfRule type="expression" priority="6" id="{8312C7E2-5FCA-405D-A25A-378E6A65001A}">
            <xm:f>$P$7='Assessment Details'!$N$23</xm:f>
            <x14:dxf>
              <font>
                <color theme="0"/>
              </font>
              <fill>
                <patternFill>
                  <bgColor theme="0"/>
                </patternFill>
              </fill>
              <border>
                <vertical/>
                <horizontal/>
              </border>
            </x14:dxf>
          </x14:cfRule>
          <xm:sqref>X82</xm:sqref>
        </x14:conditionalFormatting>
        <x14:conditionalFormatting xmlns:xm="http://schemas.microsoft.com/office/excel/2006/main">
          <x14:cfRule type="expression" priority="5" id="{2ABA13B5-80B7-40DC-BBE5-C00321C31963}">
            <xm:f>$P$7='Assessment Details'!$N$23</xm:f>
            <x14:dxf>
              <border>
                <left style="thin">
                  <color theme="0"/>
                </left>
                <right style="thin">
                  <color theme="0"/>
                </right>
                <top style="thin">
                  <color theme="0"/>
                </top>
                <bottom style="thin">
                  <color theme="0"/>
                </bottom>
                <vertical/>
                <horizontal/>
              </border>
            </x14:dxf>
          </x14:cfRule>
          <xm:sqref>X82</xm:sqref>
        </x14:conditionalFormatting>
        <x14:conditionalFormatting xmlns:xm="http://schemas.microsoft.com/office/excel/2006/main">
          <x14:cfRule type="expression" priority="3" id="{A6D317C5-B5ED-435A-990C-B88E15394D9C}">
            <xm:f>$P$7='Assessment Details'!$N$23</xm:f>
            <x14:dxf>
              <font>
                <color theme="0"/>
              </font>
              <fill>
                <patternFill>
                  <bgColor theme="0"/>
                </patternFill>
              </fill>
              <border>
                <vertical/>
                <horizontal/>
              </border>
            </x14:dxf>
          </x14:cfRule>
          <xm:sqref>X90</xm:sqref>
        </x14:conditionalFormatting>
        <x14:conditionalFormatting xmlns:xm="http://schemas.microsoft.com/office/excel/2006/main">
          <x14:cfRule type="expression" priority="2" id="{94E5855F-7FDC-4C62-97F8-C2DC96E16261}">
            <xm:f>$P$7='Assessment Details'!$N$23</xm:f>
            <x14:dxf>
              <border>
                <left style="thin">
                  <color theme="0"/>
                </left>
                <right style="thin">
                  <color theme="0"/>
                </right>
                <top style="thin">
                  <color theme="0"/>
                </top>
                <bottom style="thin">
                  <color theme="0"/>
                </bottom>
                <vertical/>
                <horizontal/>
              </border>
            </x14:dxf>
          </x14:cfRule>
          <xm:sqref>X90</xm:sqref>
        </x14:conditionalFormatting>
        <x14:conditionalFormatting xmlns:xm="http://schemas.microsoft.com/office/excel/2006/main">
          <x14:cfRule type="expression" priority="1" id="{CA85C2F4-B3B6-4EDC-AAA8-13898B5EA085}">
            <xm:f>'Pre-Assessment Estimator'!$AF$4=ais_no</xm:f>
            <x14:dxf>
              <font>
                <color theme="0"/>
              </font>
              <fill>
                <patternFill>
                  <bgColor theme="0"/>
                </patternFill>
              </fill>
              <border>
                <left/>
                <right/>
                <top/>
                <bottom/>
                <vertical/>
                <horizontal/>
              </border>
            </x14:dxf>
          </x14:cfRule>
          <xm:sqref>X9:X100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73"/>
  <sheetViews>
    <sheetView zoomScaleNormal="100" workbookViewId="0">
      <selection activeCell="U7" sqref="U7"/>
    </sheetView>
  </sheetViews>
  <sheetFormatPr defaultColWidth="9.140625" defaultRowHeight="15" x14ac:dyDescent="0.25"/>
  <cols>
    <col min="1" max="1" width="2.7109375" style="1" customWidth="1"/>
    <col min="2" max="2" width="17" style="1" bestFit="1" customWidth="1"/>
    <col min="3" max="3" width="15.85546875" style="1" customWidth="1"/>
    <col min="4" max="16" width="9.140625" style="1"/>
    <col min="17" max="17" width="3.140625" style="1" customWidth="1"/>
    <col min="18" max="16384" width="9.140625" style="1"/>
  </cols>
  <sheetData>
    <row r="1" spans="1:18" ht="15" customHeight="1" thickBot="1" x14ac:dyDescent="0.3">
      <c r="B1" s="948"/>
      <c r="C1" s="949"/>
      <c r="D1" s="949"/>
      <c r="E1" s="949"/>
      <c r="F1" s="949"/>
      <c r="G1" s="949"/>
      <c r="H1" s="949"/>
      <c r="I1" s="949"/>
      <c r="J1" s="949"/>
      <c r="K1" s="949"/>
      <c r="L1" s="949"/>
    </row>
    <row r="2" spans="1:18" ht="42" customHeight="1" x14ac:dyDescent="0.35">
      <c r="B2" s="954" t="s">
        <v>323</v>
      </c>
      <c r="C2" s="955"/>
      <c r="D2" s="955"/>
      <c r="E2" s="955"/>
      <c r="F2" s="955"/>
      <c r="G2" s="955"/>
      <c r="H2" s="955"/>
      <c r="I2" s="955"/>
      <c r="J2" s="955"/>
      <c r="K2" s="955"/>
      <c r="L2" s="955"/>
      <c r="M2" s="766"/>
      <c r="N2" s="767"/>
      <c r="O2" s="767"/>
      <c r="P2" s="813" t="str">
        <f>IF('Manuell filtrering og justering'!H2='Manuell filtrering og justering'!I2,"Bespoke","")</f>
        <v/>
      </c>
    </row>
    <row r="3" spans="1:18" ht="15" customHeight="1" x14ac:dyDescent="0.25">
      <c r="B3" s="768"/>
      <c r="C3" s="769"/>
      <c r="D3" s="769"/>
      <c r="E3" s="769"/>
      <c r="F3" s="769"/>
      <c r="G3" s="769"/>
      <c r="H3" s="769"/>
      <c r="I3" s="769"/>
      <c r="J3" s="769"/>
      <c r="K3" s="769"/>
      <c r="L3" s="769"/>
      <c r="M3" s="3"/>
      <c r="N3" s="3"/>
      <c r="O3" s="3"/>
      <c r="P3" s="770"/>
    </row>
    <row r="4" spans="1:18" ht="15" customHeight="1" x14ac:dyDescent="0.25">
      <c r="B4" s="771" t="s">
        <v>2</v>
      </c>
      <c r="C4" s="771" t="s">
        <v>6</v>
      </c>
      <c r="D4" s="956" t="s">
        <v>7</v>
      </c>
      <c r="E4" s="957"/>
      <c r="F4" s="957"/>
      <c r="G4" s="957"/>
      <c r="H4" s="957"/>
      <c r="I4" s="957"/>
      <c r="J4" s="957"/>
      <c r="K4" s="957"/>
      <c r="L4" s="957"/>
      <c r="M4" s="957"/>
      <c r="N4" s="957"/>
      <c r="O4" s="957"/>
      <c r="P4" s="958"/>
    </row>
    <row r="5" spans="1:18" ht="63" customHeight="1" x14ac:dyDescent="0.25">
      <c r="B5" s="785" t="s">
        <v>582</v>
      </c>
      <c r="C5" s="773">
        <v>43782</v>
      </c>
      <c r="D5" s="952" t="s">
        <v>583</v>
      </c>
      <c r="E5" s="952"/>
      <c r="F5" s="952"/>
      <c r="G5" s="952"/>
      <c r="H5" s="952"/>
      <c r="I5" s="952"/>
      <c r="J5" s="952"/>
      <c r="K5" s="952"/>
      <c r="L5" s="952"/>
      <c r="M5" s="952"/>
      <c r="N5" s="952"/>
      <c r="O5" s="952"/>
      <c r="P5" s="952"/>
    </row>
    <row r="6" spans="1:18" ht="18.75" customHeight="1" x14ac:dyDescent="0.25">
      <c r="A6" s="3"/>
      <c r="B6" s="774"/>
      <c r="C6" s="775"/>
      <c r="D6" s="776"/>
      <c r="E6" s="776"/>
      <c r="F6" s="776"/>
      <c r="G6" s="776"/>
      <c r="H6" s="776"/>
      <c r="I6" s="776"/>
      <c r="J6" s="776"/>
      <c r="K6" s="776"/>
      <c r="L6" s="776"/>
      <c r="M6" s="776"/>
      <c r="N6" s="777"/>
      <c r="O6" s="777"/>
      <c r="P6" s="777"/>
      <c r="Q6" s="3"/>
      <c r="R6" s="3"/>
    </row>
    <row r="7" spans="1:18" x14ac:dyDescent="0.25">
      <c r="B7" s="778" t="s">
        <v>3</v>
      </c>
      <c r="C7" s="779" t="s">
        <v>6</v>
      </c>
      <c r="D7" s="780" t="s">
        <v>7</v>
      </c>
      <c r="E7" s="781"/>
      <c r="F7" s="781"/>
      <c r="G7" s="781"/>
      <c r="H7" s="781"/>
      <c r="I7" s="781"/>
      <c r="J7" s="781"/>
      <c r="K7" s="781"/>
      <c r="L7" s="781"/>
      <c r="M7" s="781"/>
      <c r="N7" s="781"/>
      <c r="O7" s="781"/>
      <c r="P7" s="782"/>
    </row>
    <row r="8" spans="1:18" x14ac:dyDescent="0.25">
      <c r="B8" s="785" t="s">
        <v>521</v>
      </c>
      <c r="C8" s="773">
        <v>43342</v>
      </c>
      <c r="D8" s="952" t="s">
        <v>520</v>
      </c>
      <c r="E8" s="952"/>
      <c r="F8" s="952"/>
      <c r="G8" s="952"/>
      <c r="H8" s="952"/>
      <c r="I8" s="952"/>
      <c r="J8" s="952"/>
      <c r="K8" s="952"/>
      <c r="L8" s="952"/>
      <c r="M8" s="952"/>
      <c r="N8" s="952"/>
      <c r="O8" s="952"/>
      <c r="P8" s="952"/>
    </row>
    <row r="9" spans="1:18" ht="24" customHeight="1" x14ac:dyDescent="0.25">
      <c r="B9" s="772" t="s">
        <v>511</v>
      </c>
      <c r="C9" s="773">
        <v>43125</v>
      </c>
      <c r="D9" s="952" t="s">
        <v>512</v>
      </c>
      <c r="E9" s="952"/>
      <c r="F9" s="952"/>
      <c r="G9" s="952"/>
      <c r="H9" s="952"/>
      <c r="I9" s="952"/>
      <c r="J9" s="952"/>
      <c r="K9" s="952"/>
      <c r="L9" s="952"/>
      <c r="M9" s="952"/>
      <c r="N9" s="952"/>
      <c r="O9" s="952"/>
      <c r="P9" s="952"/>
    </row>
    <row r="10" spans="1:18" ht="51.75" customHeight="1" x14ac:dyDescent="0.25">
      <c r="B10" s="772" t="s">
        <v>500</v>
      </c>
      <c r="C10" s="773">
        <v>43117</v>
      </c>
      <c r="D10" s="952" t="s">
        <v>510</v>
      </c>
      <c r="E10" s="952"/>
      <c r="F10" s="952"/>
      <c r="G10" s="952"/>
      <c r="H10" s="952"/>
      <c r="I10" s="952"/>
      <c r="J10" s="952"/>
      <c r="K10" s="952"/>
      <c r="L10" s="952"/>
      <c r="M10" s="952"/>
      <c r="N10" s="952"/>
      <c r="O10" s="952"/>
      <c r="P10" s="952"/>
    </row>
    <row r="11" spans="1:18" ht="99.75" customHeight="1" x14ac:dyDescent="0.25">
      <c r="B11" s="783" t="s">
        <v>395</v>
      </c>
      <c r="C11" s="784">
        <v>42825</v>
      </c>
      <c r="D11" s="959" t="s">
        <v>504</v>
      </c>
      <c r="E11" s="960"/>
      <c r="F11" s="960"/>
      <c r="G11" s="960"/>
      <c r="H11" s="960"/>
      <c r="I11" s="960"/>
      <c r="J11" s="960"/>
      <c r="K11" s="960"/>
      <c r="L11" s="960"/>
      <c r="M11" s="960"/>
      <c r="N11" s="960"/>
      <c r="O11" s="960"/>
      <c r="P11" s="960"/>
    </row>
    <row r="12" spans="1:18" ht="30" customHeight="1" x14ac:dyDescent="0.25">
      <c r="B12" s="785" t="s">
        <v>390</v>
      </c>
      <c r="C12" s="773">
        <v>42689</v>
      </c>
      <c r="D12" s="953" t="s">
        <v>396</v>
      </c>
      <c r="E12" s="953"/>
      <c r="F12" s="953"/>
      <c r="G12" s="953"/>
      <c r="H12" s="953"/>
      <c r="I12" s="953"/>
      <c r="J12" s="953"/>
      <c r="K12" s="953"/>
      <c r="L12" s="953"/>
      <c r="M12" s="953"/>
      <c r="N12" s="953"/>
      <c r="O12" s="953"/>
      <c r="P12" s="953"/>
    </row>
    <row r="13" spans="1:18" ht="30" customHeight="1" x14ac:dyDescent="0.25">
      <c r="B13" s="785" t="s">
        <v>389</v>
      </c>
      <c r="C13" s="773">
        <v>42643</v>
      </c>
      <c r="D13" s="950" t="s">
        <v>397</v>
      </c>
      <c r="E13" s="951"/>
      <c r="F13" s="951"/>
      <c r="G13" s="951"/>
      <c r="H13" s="951"/>
      <c r="I13" s="951"/>
      <c r="J13" s="951"/>
      <c r="K13" s="951"/>
      <c r="L13" s="951"/>
      <c r="M13" s="951"/>
      <c r="N13" s="951"/>
      <c r="O13" s="951"/>
      <c r="P13" s="951"/>
    </row>
    <row r="14" spans="1:18" x14ac:dyDescent="0.25">
      <c r="B14" s="783" t="s">
        <v>385</v>
      </c>
      <c r="C14" s="784">
        <v>42639</v>
      </c>
      <c r="D14" s="961" t="s">
        <v>386</v>
      </c>
      <c r="E14" s="960"/>
      <c r="F14" s="960"/>
      <c r="G14" s="960"/>
      <c r="H14" s="960"/>
      <c r="I14" s="960"/>
      <c r="J14" s="960"/>
      <c r="K14" s="960"/>
      <c r="L14" s="960"/>
      <c r="M14" s="960"/>
      <c r="N14" s="960"/>
      <c r="O14" s="960"/>
      <c r="P14" s="960"/>
    </row>
    <row r="15" spans="1:18" x14ac:dyDescent="0.25">
      <c r="B15" s="783" t="s">
        <v>388</v>
      </c>
      <c r="C15" s="784">
        <v>42613</v>
      </c>
      <c r="D15" s="961" t="s">
        <v>387</v>
      </c>
      <c r="E15" s="960"/>
      <c r="F15" s="960"/>
      <c r="G15" s="960"/>
      <c r="H15" s="960"/>
      <c r="I15" s="960"/>
      <c r="J15" s="960"/>
      <c r="K15" s="960"/>
      <c r="L15" s="960"/>
      <c r="M15" s="960"/>
      <c r="N15" s="960"/>
      <c r="O15" s="960"/>
      <c r="P15" s="960"/>
    </row>
    <row r="16" spans="1:18" x14ac:dyDescent="0.25">
      <c r="B16" s="783"/>
      <c r="C16" s="784"/>
      <c r="D16" s="959"/>
      <c r="E16" s="960"/>
      <c r="F16" s="960"/>
      <c r="G16" s="960"/>
      <c r="H16" s="960"/>
      <c r="I16" s="960"/>
      <c r="J16" s="960"/>
      <c r="K16" s="960"/>
      <c r="L16" s="960"/>
      <c r="M16" s="960"/>
      <c r="N16" s="960"/>
      <c r="O16" s="960"/>
      <c r="P16" s="960"/>
    </row>
    <row r="17" spans="2:16" ht="13.5" customHeight="1" x14ac:dyDescent="0.25">
      <c r="B17" s="783"/>
      <c r="C17" s="784"/>
      <c r="D17" s="959"/>
      <c r="E17" s="960"/>
      <c r="F17" s="960"/>
      <c r="G17" s="960"/>
      <c r="H17" s="960"/>
      <c r="I17" s="960"/>
      <c r="J17" s="960"/>
      <c r="K17" s="960"/>
      <c r="L17" s="960"/>
      <c r="M17" s="960"/>
      <c r="N17" s="960"/>
      <c r="O17" s="960"/>
      <c r="P17" s="960"/>
    </row>
    <row r="18" spans="2:16" x14ac:dyDescent="0.25">
      <c r="B18" s="783"/>
      <c r="C18" s="784"/>
      <c r="D18" s="959"/>
      <c r="E18" s="960"/>
      <c r="F18" s="960"/>
      <c r="G18" s="960"/>
      <c r="H18" s="960"/>
      <c r="I18" s="960"/>
      <c r="J18" s="960"/>
      <c r="K18" s="960"/>
      <c r="L18" s="960"/>
      <c r="M18" s="960"/>
      <c r="N18" s="960"/>
      <c r="O18" s="960"/>
      <c r="P18" s="960"/>
    </row>
    <row r="19" spans="2:16" x14ac:dyDescent="0.25">
      <c r="B19" s="786"/>
      <c r="C19" s="786"/>
      <c r="D19" s="786"/>
      <c r="E19" s="786"/>
      <c r="F19" s="786"/>
      <c r="G19" s="786"/>
      <c r="H19" s="786"/>
      <c r="I19" s="786"/>
      <c r="J19" s="786"/>
      <c r="K19" s="786"/>
      <c r="L19" s="786"/>
      <c r="M19" s="786"/>
      <c r="N19" s="786"/>
      <c r="O19" s="786"/>
      <c r="P19" s="786"/>
    </row>
    <row r="20" spans="2:16" x14ac:dyDescent="0.25">
      <c r="B20" s="786"/>
      <c r="C20" s="786"/>
      <c r="D20" s="786"/>
      <c r="E20" s="786"/>
      <c r="F20" s="786"/>
      <c r="G20" s="786"/>
      <c r="H20" s="786"/>
      <c r="I20" s="786"/>
      <c r="J20" s="786"/>
      <c r="K20" s="786"/>
      <c r="L20" s="786"/>
      <c r="M20" s="786"/>
      <c r="N20" s="786"/>
      <c r="O20" s="786"/>
      <c r="P20" s="786"/>
    </row>
    <row r="21" spans="2:16" x14ac:dyDescent="0.25">
      <c r="B21" s="786"/>
      <c r="C21" s="786"/>
      <c r="D21" s="786"/>
      <c r="E21" s="786"/>
      <c r="F21" s="786"/>
      <c r="G21" s="786"/>
      <c r="H21" s="786"/>
      <c r="I21" s="786"/>
      <c r="J21" s="786"/>
      <c r="K21" s="786"/>
      <c r="L21" s="786"/>
      <c r="M21" s="786"/>
      <c r="N21" s="786"/>
      <c r="O21" s="786"/>
      <c r="P21" s="786"/>
    </row>
    <row r="22" spans="2:16" x14ac:dyDescent="0.25">
      <c r="B22" s="786"/>
      <c r="C22" s="786"/>
      <c r="D22" s="786"/>
      <c r="E22" s="786"/>
      <c r="F22" s="786"/>
      <c r="G22" s="786"/>
      <c r="H22" s="786"/>
      <c r="I22" s="786"/>
      <c r="J22" s="786"/>
      <c r="K22" s="786"/>
      <c r="L22" s="786"/>
      <c r="M22" s="786"/>
      <c r="N22" s="786"/>
      <c r="O22" s="786"/>
      <c r="P22" s="786"/>
    </row>
    <row r="23" spans="2:16" x14ac:dyDescent="0.25">
      <c r="B23" s="786"/>
      <c r="C23" s="786"/>
      <c r="D23" s="786"/>
      <c r="E23" s="786"/>
      <c r="F23" s="786"/>
      <c r="G23" s="786"/>
      <c r="H23" s="786"/>
      <c r="I23" s="786"/>
      <c r="J23" s="786"/>
      <c r="K23" s="786"/>
      <c r="L23" s="786"/>
      <c r="M23" s="786"/>
      <c r="N23" s="786"/>
      <c r="O23" s="786"/>
      <c r="P23" s="786"/>
    </row>
    <row r="24" spans="2:16" x14ac:dyDescent="0.25">
      <c r="B24" s="786"/>
      <c r="C24" s="786"/>
      <c r="D24" s="786"/>
      <c r="E24" s="786"/>
      <c r="F24" s="786"/>
      <c r="G24" s="786"/>
      <c r="H24" s="786"/>
      <c r="I24" s="786"/>
      <c r="J24" s="786"/>
      <c r="K24" s="786"/>
      <c r="L24" s="786"/>
      <c r="M24" s="786"/>
      <c r="N24" s="786"/>
      <c r="O24" s="786"/>
      <c r="P24" s="786"/>
    </row>
    <row r="25" spans="2:16" x14ac:dyDescent="0.25">
      <c r="B25" s="786"/>
      <c r="C25" s="786"/>
      <c r="D25" s="786"/>
      <c r="E25" s="786"/>
      <c r="F25" s="786"/>
      <c r="G25" s="786"/>
      <c r="H25" s="786"/>
      <c r="I25" s="786"/>
      <c r="J25" s="786"/>
      <c r="K25" s="786"/>
      <c r="L25" s="786"/>
      <c r="M25" s="786"/>
      <c r="N25" s="786"/>
      <c r="O25" s="786"/>
      <c r="P25" s="786"/>
    </row>
    <row r="26" spans="2:16" x14ac:dyDescent="0.25">
      <c r="B26" s="786"/>
      <c r="C26" s="786"/>
      <c r="D26" s="786"/>
      <c r="E26" s="786"/>
      <c r="F26" s="786"/>
      <c r="G26" s="786"/>
      <c r="H26" s="786"/>
      <c r="I26" s="786"/>
      <c r="J26" s="786"/>
      <c r="K26" s="786"/>
      <c r="L26" s="786"/>
      <c r="M26" s="786"/>
      <c r="N26" s="786"/>
      <c r="O26" s="786"/>
      <c r="P26" s="786"/>
    </row>
    <row r="27" spans="2:16" x14ac:dyDescent="0.25">
      <c r="B27" s="3"/>
      <c r="C27" s="3"/>
      <c r="D27" s="3"/>
      <c r="E27" s="3"/>
      <c r="F27" s="3"/>
      <c r="G27" s="3"/>
      <c r="H27" s="3"/>
      <c r="I27" s="3"/>
      <c r="J27" s="3"/>
      <c r="K27" s="3"/>
      <c r="L27" s="3"/>
      <c r="M27" s="3"/>
      <c r="N27" s="3"/>
      <c r="O27" s="3"/>
      <c r="P27" s="3"/>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c r="N41" s="3"/>
      <c r="O41" s="3"/>
      <c r="P41" s="3"/>
    </row>
    <row r="42" spans="2:16" x14ac:dyDescent="0.25">
      <c r="B42" s="3"/>
      <c r="C42" s="3"/>
      <c r="D42" s="3"/>
      <c r="E42" s="3"/>
      <c r="F42" s="3"/>
      <c r="G42" s="3"/>
      <c r="H42" s="3"/>
      <c r="I42" s="3"/>
      <c r="J42" s="3"/>
      <c r="K42" s="3"/>
      <c r="L42" s="3"/>
      <c r="M42" s="3"/>
      <c r="N42" s="3"/>
      <c r="O42" s="3"/>
      <c r="P42" s="3"/>
    </row>
    <row r="43" spans="2:16" x14ac:dyDescent="0.25">
      <c r="B43" s="3"/>
      <c r="C43" s="3"/>
      <c r="D43" s="3"/>
      <c r="E43" s="3"/>
      <c r="F43" s="3"/>
      <c r="G43" s="3"/>
      <c r="H43" s="3"/>
      <c r="I43" s="3"/>
      <c r="J43" s="3"/>
      <c r="K43" s="3"/>
      <c r="L43" s="3"/>
      <c r="M43" s="3"/>
      <c r="N43" s="3"/>
      <c r="O43" s="3"/>
      <c r="P43" s="3"/>
    </row>
    <row r="44" spans="2:16" x14ac:dyDescent="0.25">
      <c r="B44" s="3"/>
      <c r="C44" s="3"/>
      <c r="D44" s="3"/>
      <c r="E44" s="3"/>
      <c r="F44" s="3"/>
      <c r="G44" s="3"/>
      <c r="H44" s="3"/>
      <c r="I44" s="3"/>
      <c r="J44" s="3"/>
      <c r="K44" s="3"/>
      <c r="L44" s="3"/>
      <c r="M44" s="3"/>
      <c r="N44" s="3"/>
      <c r="O44" s="3"/>
      <c r="P44" s="3"/>
    </row>
    <row r="45" spans="2:16" x14ac:dyDescent="0.25">
      <c r="B45" s="3"/>
      <c r="C45" s="3"/>
      <c r="D45" s="3"/>
      <c r="E45" s="3"/>
      <c r="F45" s="3"/>
      <c r="G45" s="3"/>
      <c r="H45" s="3"/>
      <c r="I45" s="3"/>
      <c r="J45" s="3"/>
      <c r="K45" s="3"/>
      <c r="L45" s="3"/>
      <c r="M45" s="3"/>
      <c r="N45" s="3"/>
      <c r="O45" s="3"/>
      <c r="P45" s="3"/>
    </row>
    <row r="46" spans="2:16" x14ac:dyDescent="0.25">
      <c r="B46" s="3"/>
      <c r="C46" s="3"/>
      <c r="D46" s="3"/>
      <c r="E46" s="3"/>
      <c r="F46" s="3"/>
      <c r="G46" s="3"/>
      <c r="H46" s="3"/>
      <c r="I46" s="3"/>
      <c r="J46" s="3"/>
      <c r="K46" s="3"/>
      <c r="L46" s="3"/>
      <c r="M46" s="3"/>
      <c r="N46" s="3"/>
      <c r="O46" s="3"/>
      <c r="P46" s="3"/>
    </row>
    <row r="47" spans="2:16" x14ac:dyDescent="0.25">
      <c r="B47" s="3"/>
      <c r="C47" s="3"/>
      <c r="D47" s="3"/>
      <c r="E47" s="3"/>
      <c r="F47" s="3"/>
      <c r="G47" s="3"/>
      <c r="H47" s="3"/>
      <c r="I47" s="3"/>
      <c r="J47" s="3"/>
      <c r="K47" s="3"/>
      <c r="L47" s="3"/>
      <c r="M47" s="3"/>
      <c r="N47" s="3"/>
      <c r="O47" s="3"/>
      <c r="P47" s="3"/>
    </row>
    <row r="48" spans="2:16"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row r="68" spans="2:16" x14ac:dyDescent="0.25">
      <c r="B68" s="3"/>
      <c r="C68" s="3"/>
      <c r="D68" s="3"/>
      <c r="E68" s="3"/>
      <c r="F68" s="3"/>
      <c r="G68" s="3"/>
      <c r="H68" s="3"/>
      <c r="I68" s="3"/>
      <c r="J68" s="3"/>
      <c r="K68" s="3"/>
      <c r="L68" s="3"/>
      <c r="M68" s="3"/>
      <c r="N68" s="3"/>
      <c r="O68" s="3"/>
      <c r="P68" s="3"/>
    </row>
    <row r="69" spans="2:16" x14ac:dyDescent="0.25">
      <c r="B69" s="3"/>
      <c r="C69" s="3"/>
      <c r="D69" s="3"/>
      <c r="E69" s="3"/>
      <c r="F69" s="3"/>
      <c r="G69" s="3"/>
      <c r="H69" s="3"/>
      <c r="I69" s="3"/>
      <c r="J69" s="3"/>
      <c r="K69" s="3"/>
      <c r="L69" s="3"/>
      <c r="M69" s="3"/>
      <c r="N69" s="3"/>
      <c r="O69" s="3"/>
      <c r="P69" s="3"/>
    </row>
    <row r="70" spans="2:16" x14ac:dyDescent="0.25">
      <c r="B70" s="3"/>
      <c r="C70" s="3"/>
      <c r="D70" s="3"/>
      <c r="E70" s="3"/>
      <c r="F70" s="3"/>
      <c r="G70" s="3"/>
      <c r="H70" s="3"/>
      <c r="I70" s="3"/>
      <c r="J70" s="3"/>
      <c r="K70" s="3"/>
      <c r="L70" s="3"/>
      <c r="M70" s="3"/>
      <c r="N70" s="3"/>
      <c r="O70" s="3"/>
      <c r="P70" s="3"/>
    </row>
    <row r="71" spans="2:16" x14ac:dyDescent="0.25">
      <c r="B71" s="3"/>
      <c r="C71" s="3"/>
      <c r="D71" s="3"/>
      <c r="E71" s="3"/>
      <c r="F71" s="3"/>
      <c r="G71" s="3"/>
      <c r="H71" s="3"/>
      <c r="I71" s="3"/>
      <c r="J71" s="3"/>
      <c r="K71" s="3"/>
      <c r="L71" s="3"/>
      <c r="M71" s="3"/>
      <c r="N71" s="3"/>
      <c r="O71" s="3"/>
      <c r="P71" s="3"/>
    </row>
    <row r="72" spans="2:16" x14ac:dyDescent="0.25">
      <c r="B72" s="3"/>
      <c r="C72" s="3"/>
      <c r="D72" s="3"/>
      <c r="E72" s="3"/>
      <c r="F72" s="3"/>
      <c r="G72" s="3"/>
      <c r="H72" s="3"/>
      <c r="I72" s="3"/>
      <c r="J72" s="3"/>
      <c r="K72" s="3"/>
      <c r="L72" s="3"/>
      <c r="M72" s="3"/>
      <c r="N72" s="3"/>
      <c r="O72" s="3"/>
      <c r="P72" s="3"/>
    </row>
    <row r="73" spans="2:16" x14ac:dyDescent="0.25">
      <c r="B73" s="3"/>
      <c r="C73" s="3"/>
      <c r="D73" s="3"/>
      <c r="E73" s="3"/>
      <c r="F73" s="3"/>
      <c r="G73" s="3"/>
      <c r="H73" s="3"/>
      <c r="I73" s="3"/>
      <c r="J73" s="3"/>
      <c r="K73" s="3"/>
      <c r="L73" s="3"/>
      <c r="M73" s="3"/>
      <c r="N73" s="3"/>
      <c r="O73" s="3"/>
      <c r="P73" s="3"/>
    </row>
  </sheetData>
  <sheetProtection algorithmName="SHA-512" hashValue="znb6NSszKqCnHc0haMBQm3YOlYRxAAQmcOBYXMbK9W2nGryEP1qV++LYJCP03htJZix4RjkqELAXxoRa9a9kYQ==" saltValue="OZDTphCs+owBKGH6FHajZQ==" spinCount="100000" sheet="1" objects="1" scenarios="1"/>
  <mergeCells count="15">
    <mergeCell ref="D16:P16"/>
    <mergeCell ref="D17:P17"/>
    <mergeCell ref="D18:P18"/>
    <mergeCell ref="D11:P11"/>
    <mergeCell ref="D15:P15"/>
    <mergeCell ref="D14:P14"/>
    <mergeCell ref="B1:L1"/>
    <mergeCell ref="D13:P13"/>
    <mergeCell ref="D5:P5"/>
    <mergeCell ref="D12:P12"/>
    <mergeCell ref="B2:L2"/>
    <mergeCell ref="D4:P4"/>
    <mergeCell ref="D10:P10"/>
    <mergeCell ref="D9:P9"/>
    <mergeCell ref="D8:P8"/>
  </mergeCells>
  <phoneticPr fontId="22"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B22"/>
  <sheetViews>
    <sheetView workbookViewId="0">
      <selection activeCell="H33" sqref="H33"/>
    </sheetView>
  </sheetViews>
  <sheetFormatPr defaultColWidth="8.85546875" defaultRowHeight="15" x14ac:dyDescent="0.25"/>
  <cols>
    <col min="2" max="2" width="9.140625" customWidth="1"/>
  </cols>
  <sheetData>
    <row r="5" spans="2:2" x14ac:dyDescent="0.25">
      <c r="B5" s="31"/>
    </row>
    <row r="6" spans="2:2" x14ac:dyDescent="0.25">
      <c r="B6" s="31"/>
    </row>
    <row r="7" spans="2:2" x14ac:dyDescent="0.25">
      <c r="B7" s="31"/>
    </row>
    <row r="8" spans="2:2" x14ac:dyDescent="0.25">
      <c r="B8" s="31"/>
    </row>
    <row r="9" spans="2:2" x14ac:dyDescent="0.25">
      <c r="B9" s="31"/>
    </row>
    <row r="10" spans="2:2" x14ac:dyDescent="0.25">
      <c r="B10" s="31"/>
    </row>
    <row r="11" spans="2:2" x14ac:dyDescent="0.25">
      <c r="B11" s="31"/>
    </row>
    <row r="12" spans="2:2" x14ac:dyDescent="0.25">
      <c r="B12" s="31"/>
    </row>
    <row r="13" spans="2:2" x14ac:dyDescent="0.25">
      <c r="B13" s="31"/>
    </row>
    <row r="14" spans="2:2" x14ac:dyDescent="0.25">
      <c r="B14" s="31"/>
    </row>
    <row r="15" spans="2:2" x14ac:dyDescent="0.25">
      <c r="B15" s="31"/>
    </row>
    <row r="16" spans="2:2" x14ac:dyDescent="0.25">
      <c r="B16" s="31"/>
    </row>
    <row r="17" spans="2:2" x14ac:dyDescent="0.25">
      <c r="B17" s="31"/>
    </row>
    <row r="18" spans="2:2" x14ac:dyDescent="0.25">
      <c r="B18" s="31"/>
    </row>
    <row r="19" spans="2:2" x14ac:dyDescent="0.25">
      <c r="B19" s="31"/>
    </row>
    <row r="20" spans="2:2" x14ac:dyDescent="0.25">
      <c r="B20" s="31"/>
    </row>
    <row r="21" spans="2:2" x14ac:dyDescent="0.25">
      <c r="B21" s="31"/>
    </row>
    <row r="22" spans="2:2" x14ac:dyDescent="0.25">
      <c r="B22"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fc5000-3977-4bb9-85fe-95b8458bb4bf">605893-383881373-1093</_dlc_DocId>
    <_dlc_DocIdUrl xmlns="94fc5000-3977-4bb9-85fe-95b8458bb4bf">
      <Url>http://bikube/Oppdrag/605893/02/_layouts/15/DocIdRedir.aspx?ID=605893-383881373-1093</Url>
      <Description>605893-383881373-1093</Description>
    </_dlc_DocIdUrl>
    <FraTekst xmlns="8f686a36-9368-4dda-9e9f-a86bde0d326a" xsi:nil="true"/>
    <Revisjon xmlns="8f686a36-9368-4dda-9e9f-a86bde0d326a" xsi:nil="true"/>
    <KopiTekst xmlns="8f686a36-9368-4dda-9e9f-a86bde0d326a" xsi:nil="true"/>
    <Aktivitet xmlns="8f686a36-9368-4dda-9e9f-a86bde0d326a" xsi:nil="true"/>
    <Dokumenttype xmlns="8f686a36-9368-4dda-9e9f-a86bde0d326a">Oppdragsdokument</Dokumenttype>
    <Dokumenttema xmlns="8f686a36-9368-4dda-9e9f-a86bde0d326a" xsi:nil="true"/>
    <TilTekst xmlns="8f686a36-9368-4dda-9e9f-a86bde0d326a" xsi:nil="true"/>
    <RevisjonsDato xmlns="8f686a36-9368-4dda-9e9f-a86bde0d326a" xsi:nil="true"/>
    <Oppdragsnummer xmlns="8f686a36-9368-4dda-9e9f-a86bde0d326a">605893-02</Oppdragsnumm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ED8D844509B40B8ED2A4F57557FDF" ma:contentTypeVersion="10" ma:contentTypeDescription="Opprett et nytt dokument." ma:contentTypeScope="" ma:versionID="5a3588df43d0e122934e98f713478315">
  <xsd:schema xmlns:xsd="http://www.w3.org/2001/XMLSchema" xmlns:xs="http://www.w3.org/2001/XMLSchema" xmlns:p="http://schemas.microsoft.com/office/2006/metadata/properties" xmlns:ns2="94fc5000-3977-4bb9-85fe-95b8458bb4bf" xmlns:ns3="8f686a36-9368-4dda-9e9f-a86bde0d326a" targetNamespace="http://schemas.microsoft.com/office/2006/metadata/properties" ma:root="true" ma:fieldsID="5dc860a208286b0380a3671511075df2" ns2:_="" ns3:_="">
    <xsd:import namespace="94fc5000-3977-4bb9-85fe-95b8458bb4bf"/>
    <xsd:import namespace="8f686a36-9368-4dda-9e9f-a86bde0d326a"/>
    <xsd:element name="properties">
      <xsd:complexType>
        <xsd:sequence>
          <xsd:element name="documentManagement">
            <xsd:complexType>
              <xsd:all>
                <xsd:element ref="ns2:_dlc_DocId" minOccurs="0"/>
                <xsd:element ref="ns2:_dlc_DocIdUrl" minOccurs="0"/>
                <xsd:element ref="ns2:_dlc_DocIdPersistId" minOccurs="0"/>
                <xsd:element ref="ns3:Dokumenttype"/>
                <xsd:element ref="ns3:Aktivitet" minOccurs="0"/>
                <xsd:element ref="ns3:Dokumenttema" minOccurs="0"/>
                <xsd:element ref="ns3:Revisjon" minOccurs="0"/>
                <xsd:element ref="ns3:RevisjonsDato" minOccurs="0"/>
                <xsd:element ref="ns3:TilTekst" minOccurs="0"/>
                <xsd:element ref="ns3:FraTekst" minOccurs="0"/>
                <xsd:element ref="ns3:KopiTekst" minOccurs="0"/>
                <xsd:element ref="ns3:SharedWithUsers" minOccurs="0"/>
                <xsd:element ref="ns3:Oppdra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c5000-3977-4bb9-85fe-95b8458bb4bf"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686a36-9368-4dda-9e9f-a86bde0d326a" elementFormDefault="qualified">
    <xsd:import namespace="http://schemas.microsoft.com/office/2006/documentManagement/types"/>
    <xsd:import namespace="http://schemas.microsoft.com/office/infopath/2007/PartnerControls"/>
    <xsd:element name="Dokumenttype" ma:index="11" ma:displayName="Dokumenttype" ma:default="Oppdragsdokument" ma:internalName="Dokumenttype">
      <xsd:simpleType>
        <xsd:restriction base="dms:Choice">
          <xsd:enumeration value="Oppdragsdokument"/>
          <xsd:enumeration value="Avtale"/>
          <xsd:enumeration value="Kart"/>
          <xsd:enumeration value="Notat"/>
          <xsd:enumeration value="Rapport"/>
          <xsd:enumeration value="Tegning"/>
          <xsd:enumeration value="Tilbud"/>
          <xsd:enumeration value="Brev"/>
          <xsd:enumeration value="Møte"/>
          <xsd:enumeration value="E-post"/>
          <xsd:enumeration value="Sjekkliste"/>
        </xsd:restriction>
      </xsd:simpleType>
    </xsd:element>
    <xsd:element name="Aktivitet" ma:index="12" nillable="true" ma:displayName="Aktivitet" ma:list="{4A005FC5-2181-4245-9789-C7D57B48DB22}" ma:internalName="Aktivitet" ma:showField="Title" ma:web="8f686a36-9368-4dda-9e9f-a86bde0d326a">
      <xsd:simpleType>
        <xsd:restriction base="dms:Lookup"/>
      </xsd:simpleType>
    </xsd:element>
    <xsd:element name="Dokumenttema" ma:index="13" nillable="true" ma:displayName="Dokumenttema" ma:list="{49143DDE-213C-4E8B-A328-CB38FE75E5AB}" ma:internalName="Dokumenttema" ma:showField="Title" ma:web="8f686a36-9368-4dda-9e9f-a86bde0d326a">
      <xsd:simpleType>
        <xsd:restriction base="dms:Lookup"/>
      </xsd:simpleType>
    </xsd:element>
    <xsd:element name="Revisjon" ma:index="14" nillable="true" ma:displayName="Revisjon" ma:internalName="Revisjon">
      <xsd:simpleType>
        <xsd:restriction base="dms:Text">
          <xsd:maxLength value="255"/>
        </xsd:restriction>
      </xsd:simpleType>
    </xsd:element>
    <xsd:element name="RevisjonsDato" ma:index="15" nillable="true" ma:displayName="RevisjonsDato" ma:format="DateOnly" ma:internalName="RevisjonsDato">
      <xsd:simpleType>
        <xsd:restriction base="dms:DateTime"/>
      </xsd:simpleType>
    </xsd:element>
    <xsd:element name="TilTekst" ma:index="16" nillable="true" ma:displayName="Til" ma:internalName="TilTekst">
      <xsd:simpleType>
        <xsd:restriction base="dms:Note">
          <xsd:maxLength value="255"/>
        </xsd:restriction>
      </xsd:simpleType>
    </xsd:element>
    <xsd:element name="FraTekst" ma:index="17" nillable="true" ma:displayName="Fra" ma:internalName="FraTekst">
      <xsd:simpleType>
        <xsd:restriction base="dms:Note">
          <xsd:maxLength value="255"/>
        </xsd:restriction>
      </xsd:simpleType>
    </xsd:element>
    <xsd:element name="KopiTekst" ma:index="18" nillable="true" ma:displayName="Kopi" ma:internalName="KopiTekst">
      <xsd:simpleType>
        <xsd:restriction base="dms:Note">
          <xsd:maxLength value="255"/>
        </xsd:restriction>
      </xsd:simpleType>
    </xsd:element>
    <xsd:element name="SharedWithUsers" ma:index="19"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pdragsnummer" ma:index="20" nillable="true" ma:displayName="Oppdragsnummer" ma:default="605893-02" ma:internalName="Oppdrags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F68772-2ABF-4F37-8594-F905212249AD}">
  <ds:schemaRefs>
    <ds:schemaRef ds:uri="8f686a36-9368-4dda-9e9f-a86bde0d326a"/>
    <ds:schemaRef ds:uri="http://purl.org/dc/elements/1.1/"/>
    <ds:schemaRef ds:uri="http://www.w3.org/XML/1998/namespace"/>
    <ds:schemaRef ds:uri="http://purl.org/dc/dcmitype/"/>
    <ds:schemaRef ds:uri="http://schemas.microsoft.com/office/2006/documentManagement/types"/>
    <ds:schemaRef ds:uri="94fc5000-3977-4bb9-85fe-95b8458bb4bf"/>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9D2125B-24D9-472D-B56D-38274035C0C9}">
  <ds:schemaRefs>
    <ds:schemaRef ds:uri="http://schemas.microsoft.com/sharepoint/v3/contenttype/forms"/>
  </ds:schemaRefs>
</ds:datastoreItem>
</file>

<file path=customXml/itemProps3.xml><?xml version="1.0" encoding="utf-8"?>
<ds:datastoreItem xmlns:ds="http://schemas.openxmlformats.org/officeDocument/2006/customXml" ds:itemID="{6C70E7C2-77F2-4C8F-9884-B0215EA76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c5000-3977-4bb9-85fe-95b8458bb4bf"/>
    <ds:schemaRef ds:uri="8f686a36-9368-4dda-9e9f-a86bde0d3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1DD3A8-8D41-4FD7-A662-C510F7F38A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674</vt:i4>
      </vt:variant>
    </vt:vector>
  </HeadingPairs>
  <TitlesOfParts>
    <vt:vector size="685" baseType="lpstr">
      <vt:lpstr>Instructions</vt:lpstr>
      <vt:lpstr>Assessment Details</vt:lpstr>
      <vt:lpstr>Pre-Assessment Estimator</vt:lpstr>
      <vt:lpstr>Poeng</vt:lpstr>
      <vt:lpstr>Manuell filtrering og justering</vt:lpstr>
      <vt:lpstr>Summary of Building Performance</vt:lpstr>
      <vt:lpstr>PAE available for copy</vt:lpstr>
      <vt:lpstr>Version Control</vt:lpstr>
      <vt:lpstr>Sheet1</vt:lpstr>
      <vt:lpstr>Sheet2</vt:lpstr>
      <vt:lpstr>Sheet3</vt:lpstr>
      <vt:lpstr>_PSc1</vt:lpstr>
      <vt:lpstr>_PSc2</vt:lpstr>
      <vt:lpstr>Achieved_const</vt:lpstr>
      <vt:lpstr>Achieved_design</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vt:lpstr>
      <vt:lpstr>AD_catlevel01</vt:lpstr>
      <vt:lpstr>AD_catlevel02</vt:lpstr>
      <vt:lpstr>AD_catlevel03</vt:lpstr>
      <vt:lpstr>AD_client</vt:lpstr>
      <vt:lpstr>AD_Contractor</vt:lpstr>
      <vt:lpstr>AD_Developer</vt:lpstr>
      <vt:lpstr>AD_GIA</vt:lpstr>
      <vt:lpstr>AD_heat</vt:lpstr>
      <vt:lpstr>AD_labcat_list</vt:lpstr>
      <vt:lpstr>AD_Labsize</vt:lpstr>
      <vt:lpstr>AD_Labsize_list</vt:lpstr>
      <vt:lpstr>AD_Labsize01</vt:lpstr>
      <vt:lpstr>AD_Labsize02</vt:lpstr>
      <vt:lpstr>AD_Labsize03</vt:lpstr>
      <vt:lpstr>AD_labsize04</vt:lpstr>
      <vt:lpstr>AD_Landscape</vt:lpstr>
      <vt:lpstr>AD_MultiRes_option01a</vt:lpstr>
      <vt:lpstr>AD_MultiRes_option01b</vt:lpstr>
      <vt:lpstr>AD_Multitenant</vt:lpstr>
      <vt:lpstr>AD_NaturalHazards</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AD_SiteAccess</vt:lpstr>
      <vt:lpstr>AD_stage_list</vt:lpstr>
      <vt:lpstr>AD_Statement04</vt:lpstr>
      <vt:lpstr>AD_statement05</vt:lpstr>
      <vt:lpstr>AD_statement06</vt:lpstr>
      <vt:lpstr>AD_tra01type</vt:lpstr>
      <vt:lpstr>AD_Trans</vt:lpstr>
      <vt:lpstr>AD_type_list</vt:lpstr>
      <vt:lpstr>AD_Vehiclewash</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ADBT2</vt:lpstr>
      <vt:lpstr>ADBT3</vt:lpstr>
      <vt:lpstr>ADBT8</vt:lpstr>
      <vt:lpstr>ADBT9</vt:lpstr>
      <vt:lpstr>ADFume_option01</vt:lpstr>
      <vt:lpstr>ADIND_option02</vt:lpstr>
      <vt:lpstr>ADIND_option03</vt:lpstr>
      <vt:lpstr>ADPT</vt:lpstr>
      <vt:lpstr>ADPT01</vt:lpstr>
      <vt:lpstr>ADPT02</vt:lpstr>
      <vt:lpstr>ADPT03</vt:lpstr>
      <vt:lpstr>ADPT04</vt:lpstr>
      <vt:lpstr>AIS_NA</vt:lpstr>
      <vt:lpstr>ais_no</vt:lpstr>
      <vt:lpstr>AIS_statement29</vt:lpstr>
      <vt:lpstr>ais_yes</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BP_34</vt:lpstr>
      <vt:lpstr>BP_35</vt:lpstr>
      <vt:lpstr>BP_36</vt:lpstr>
      <vt:lpstr>BP_38</vt:lpstr>
      <vt:lpstr>BP_39</vt:lpstr>
      <vt:lpstr>BP_40</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BP_Trans_score</vt:lpstr>
      <vt:lpstr>BP_Waste_Score</vt:lpstr>
      <vt:lpstr>BP_Water_score</vt:lpstr>
      <vt:lpstr>'PAE available for copy'!BRK_Banner</vt:lpstr>
      <vt:lpstr>BRK_Banner</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Ene01_27</vt:lpstr>
      <vt:lpstr>Ene01_28</vt:lpstr>
      <vt:lpstr>Ene01_41</vt:lpstr>
      <vt:lpstr>Ene01_42</vt:lpstr>
      <vt:lpstr>Ene01_credits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Hea01_Crit1</vt:lpstr>
      <vt:lpstr>Hea01_Crit1_cont</vt:lpstr>
      <vt:lpstr>Hea01_Crit1_credits</vt:lpstr>
      <vt:lpstr>Hea01_minstd</vt:lpstr>
      <vt:lpstr>Hea01_user</vt:lpstr>
      <vt:lpstr>Hea02_25</vt:lpstr>
      <vt:lpstr>Hea02_26</vt:lpstr>
      <vt:lpstr>Hea02_credits</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'PAE available for copy'!HUG</vt:lpstr>
      <vt:lpstr>HUG</vt:lpstr>
      <vt:lpstr>HW_c_user</vt:lpstr>
      <vt:lpstr>HW_d_user</vt:lpstr>
      <vt:lpstr>HW_tot_user</vt:lpstr>
      <vt:lpstr>Inn_01</vt:lpstr>
      <vt:lpstr>Inn_02</vt:lpstr>
      <vt:lpstr>Inn_03</vt:lpstr>
      <vt:lpstr>Inn_04</vt:lpstr>
      <vt:lpstr>Inn_05</vt:lpstr>
      <vt:lpstr>Inn_06</vt:lpstr>
      <vt:lpstr>Inn_07</vt:lpstr>
      <vt:lpstr>Inn_08</vt:lpstr>
      <vt:lpstr>Inn_09</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janei</vt:lpstr>
      <vt:lpstr>LE_01</vt:lpstr>
      <vt:lpstr>LE_02</vt:lpstr>
      <vt:lpstr>LE_04</vt:lpstr>
      <vt:lpstr>LE_05</vt:lpstr>
      <vt:lpstr>LE_06</vt:lpstr>
      <vt:lpstr>LE_cont_tot</vt:lpstr>
      <vt:lpstr>LE_Credits</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LE03_minstd</vt:lpstr>
      <vt:lpstr>LE04_13</vt:lpstr>
      <vt:lpstr>LE04_14</vt:lpstr>
      <vt:lpstr>LE04_credits</vt:lpstr>
      <vt:lpstr>LE04_tot</vt:lpstr>
      <vt:lpstr>LE04_user</vt:lpstr>
      <vt:lpstr>LE05_14</vt:lpstr>
      <vt:lpstr>LE05_15</vt:lpstr>
      <vt:lpstr>LE05_credits</vt:lpstr>
      <vt:lpstr>LE05_minstd</vt:lpstr>
      <vt:lpstr>LE05_minstdach</vt:lpstr>
      <vt:lpstr>LE05_tot</vt:lpstr>
      <vt:lpstr>LE05_user</vt:lpstr>
      <vt:lpstr>LE06_contr</vt:lpstr>
      <vt:lpstr>LE06_credits</vt:lpstr>
      <vt:lpstr>LE06_minstd</vt:lpstr>
      <vt:lpstr>LE06_tot</vt:lpstr>
      <vt:lpstr>LE06_user</vt:lpstr>
      <vt:lpstr>Lue_c_user</vt:lpstr>
      <vt:lpstr>Lue_d_user</vt:lpstr>
      <vt:lpstr>Lue_tot_user</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Man01_37</vt:lpstr>
      <vt:lpstr>Man01_38</vt:lpstr>
      <vt:lpstr>Man01_39</vt:lpstr>
      <vt:lpstr>Man01_credits</vt:lpstr>
      <vt:lpstr>Man01_Exemp</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Man03_minstd</vt:lpstr>
      <vt:lpstr>Man03_Tot</vt:lpstr>
      <vt:lpstr>Man03_user</vt:lpstr>
      <vt:lpstr>Man04_17</vt:lpstr>
      <vt:lpstr>Man04_cont</vt:lpstr>
      <vt:lpstr>Man04_credits</vt:lpstr>
      <vt:lpstr>Man04_minstd</vt:lpstr>
      <vt:lpstr>Man04_tot</vt:lpstr>
      <vt:lpstr>Man04_user</vt:lpstr>
      <vt:lpstr>Man05_10</vt:lpstr>
      <vt:lpstr>Man05_cont</vt:lpstr>
      <vt:lpstr>Man05_credits</vt:lpstr>
      <vt:lpstr>Man05_minstd</vt:lpstr>
      <vt:lpstr>Man05_tot</vt:lpstr>
      <vt:lpstr>Man05_user</vt:lpstr>
      <vt:lpstr>Man06_cont</vt:lpstr>
      <vt:lpstr>Man06_credits</vt:lpstr>
      <vt:lpstr>Man06_minstd</vt:lpstr>
      <vt:lpstr>Man06_user</vt:lpstr>
      <vt:lpstr>Man07_cont</vt:lpstr>
      <vt:lpstr>Man07_credits</vt:lpstr>
      <vt:lpstr>Man07_minstd</vt:lpstr>
      <vt:lpstr>Man07_user</vt:lpstr>
      <vt:lpstr>Mat_01</vt:lpstr>
      <vt:lpstr>Mat_03</vt:lpstr>
      <vt:lpstr>Mat_05</vt:lpstr>
      <vt:lpstr>Mat_06</vt:lpstr>
      <vt:lpstr>Mat_c_user</vt:lpstr>
      <vt:lpstr>Mat_cont_tot</vt:lpstr>
      <vt:lpstr>Mat_Credits</vt:lpstr>
      <vt:lpstr>Mat_d_user</vt:lpstr>
      <vt:lpstr>Mat_tot_user</vt:lpstr>
      <vt:lpstr>Mat01_08</vt:lpstr>
      <vt:lpstr>Mat01_27</vt:lpstr>
      <vt:lpstr>Mat01_28</vt:lpstr>
      <vt:lpstr>Mat01_credits</vt:lpstr>
      <vt:lpstr>Mat01_Crit1</vt:lpstr>
      <vt:lpstr>Mat01_Crit1_cont</vt:lpstr>
      <vt:lpstr>Mat01_Crit1_credits</vt:lpstr>
      <vt:lpstr>Mat01_minstd</vt:lpstr>
      <vt:lpstr>Mat01_tot</vt:lpstr>
      <vt:lpstr>Mat01_user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Mat06_cont</vt:lpstr>
      <vt:lpstr>Mat06_credits</vt:lpstr>
      <vt:lpstr>Mat06_minstd</vt:lpstr>
      <vt:lpstr>Mat06_user</vt:lpstr>
      <vt:lpstr>Note_minstand</vt:lpstr>
      <vt:lpstr>Note_minstand_const</vt:lpstr>
      <vt:lpstr>Note_minstand_design</vt:lpstr>
      <vt:lpstr>Poeng_bort</vt:lpstr>
      <vt:lpstr>Poeng_tilgj</vt:lpstr>
      <vt:lpstr>Poeng_tot</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'Assessment Details'!Print_Area</vt:lpstr>
      <vt:lpstr>Instructions!Print_Area</vt:lpstr>
      <vt:lpstr>'PAE available for copy'!Print_Area</vt:lpstr>
      <vt:lpstr>'Pre-Assessment Estimator'!Print_Area</vt:lpstr>
      <vt:lpstr>'Summary of Building Performance'!Print_Area</vt:lpstr>
      <vt:lpstr>'Version Control'!Print_Area</vt:lpstr>
      <vt:lpstr>'PAE available for copy'!Print_Titles</vt:lpstr>
      <vt:lpstr>'Pre-Assessment Estimator'!Print_Titles</vt:lpstr>
      <vt:lpstr>projecttype</vt:lpstr>
      <vt:lpstr>Score_const</vt:lpstr>
      <vt:lpstr>Score_design</vt:lpstr>
      <vt:lpstr>Score_Initial</vt:lpstr>
      <vt:lpstr>status</vt:lpstr>
      <vt:lpstr>Tra_01</vt:lpstr>
      <vt:lpstr>Tra_02</vt:lpstr>
      <vt:lpstr>Tra_03</vt:lpstr>
      <vt:lpstr>Tra_04</vt:lpstr>
      <vt:lpstr>Tra_05</vt:lpstr>
      <vt:lpstr>Tra_06</vt:lpstr>
      <vt:lpstr>Tra_c_user</vt:lpstr>
      <vt:lpstr>Tra_cont_tot</vt:lpstr>
      <vt:lpstr>Tra_Credits</vt:lpstr>
      <vt:lpstr>Tra_d_user</vt:lpstr>
      <vt:lpstr>Tra_tot_user</vt:lpstr>
      <vt:lpstr>Tra01_07</vt:lpstr>
      <vt:lpstr>TRa01_08</vt:lpstr>
      <vt:lpstr>TRA01_BuildType</vt:lpstr>
      <vt:lpstr>Tra01_credits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Tra03_02</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Tra06_minstd</vt:lpstr>
      <vt:lpstr>Tra06_user</vt:lpstr>
      <vt:lpstr>TVC_current_date</vt:lpstr>
      <vt:lpstr>TVC_current_version</vt:lpstr>
      <vt:lpstr>Wat__Credits</vt:lpstr>
      <vt:lpstr>Wat_01</vt:lpstr>
      <vt:lpstr>Wat_02</vt:lpstr>
      <vt:lpstr>Wat_03</vt:lpstr>
      <vt:lpstr>Wat_04</vt:lpstr>
      <vt:lpstr>Wat_c_user</vt:lpstr>
      <vt:lpstr>Wat_cont_tot</vt:lpstr>
      <vt:lpstr>Wat_Credits</vt:lpstr>
      <vt:lpstr>Wat_d_user</vt:lpstr>
      <vt:lpstr>Wat_tot_user</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Wst_01</vt:lpstr>
      <vt:lpstr>Wst_02</vt:lpstr>
      <vt:lpstr>Wst_03</vt:lpstr>
      <vt:lpstr>Wst_04</vt:lpstr>
      <vt:lpstr>Wst_c_user</vt:lpstr>
      <vt:lpstr>Wst_cont_tot</vt:lpstr>
      <vt:lpstr>Wst_Credits</vt:lpstr>
      <vt:lpstr>Wst_d_user</vt:lpstr>
      <vt:lpstr>Wst_tot_user</vt:lpstr>
      <vt:lpstr>Wst01_17</vt:lpstr>
      <vt:lpstr>Wst01_18</vt:lpstr>
      <vt:lpstr>Wst01_27</vt:lpstr>
      <vt:lpstr>Wst01_28</vt:lpstr>
      <vt:lpstr>Wst01_credits</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Oddbjørn Dahlstrøm</cp:lastModifiedBy>
  <cp:lastPrinted>2019-08-28T07:56:51Z</cp:lastPrinted>
  <dcterms:created xsi:type="dcterms:W3CDTF">2011-03-28T14:05:06Z</dcterms:created>
  <dcterms:modified xsi:type="dcterms:W3CDTF">2019-11-13T08:39:12Z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05446b8c-3d17-4d95-804c-9dd4d73841b3</vt:lpwstr>
  </property>
  <property fmtid="{D5CDD505-2E9C-101B-9397-08002B2CF9AE}" pid="3" name="ContentTypeId">
    <vt:lpwstr>0x010100473ED8D844509B40B8ED2A4F57557FDF</vt:lpwstr>
  </property>
</Properties>
</file>